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hidePivotFieldList="1" defaultThemeVersion="202300"/>
  <mc:AlternateContent xmlns:mc="http://schemas.openxmlformats.org/markup-compatibility/2006">
    <mc:Choice Requires="x15">
      <x15ac:absPath xmlns:x15ac="http://schemas.microsoft.com/office/spreadsheetml/2010/11/ac" url="/Users/jotham/Documents/Data Projects/Client Data Analysis/"/>
    </mc:Choice>
  </mc:AlternateContent>
  <xr:revisionPtr revIDLastSave="0" documentId="13_ncr:1_{082EE789-A223-564C-B267-D2740E27B11E}" xr6:coauthVersionLast="47" xr6:coauthVersionMax="47" xr10:uidLastSave="{00000000-0000-0000-0000-000000000000}"/>
  <bookViews>
    <workbookView xWindow="0" yWindow="620" windowWidth="28800" windowHeight="17380" activeTab="6" xr2:uid="{024E9423-3C74-6F47-B568-6922B202F5FB}"/>
  </bookViews>
  <sheets>
    <sheet name="Raw Data" sheetId="1" state="hidden" r:id="rId1"/>
    <sheet name="Clean Data" sheetId="5" r:id="rId2"/>
    <sheet name="Pivot Tables" sheetId="10" r:id="rId3"/>
    <sheet name="Main Dashboard" sheetId="4" r:id="rId4"/>
    <sheet name="Age" sheetId="18" r:id="rId5"/>
    <sheet name="Demographic" sheetId="20" r:id="rId6"/>
    <sheet name="Counsellors" sheetId="21" r:id="rId7"/>
  </sheets>
  <definedNames>
    <definedName name="Slicer_Counsellor">#N/A</definedName>
    <definedName name="Slicer_Gender">#N/A</definedName>
    <definedName name="Slicer_Months__Date_Referred">#N/A</definedName>
    <definedName name="Slicer_Referring_Organisation">#N/A</definedName>
    <definedName name="Slicer_Status">#N/A</definedName>
  </definedNames>
  <calcPr calcId="191029"/>
  <pivotCaches>
    <pivotCache cacheId="175"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 i="5" l="1"/>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202" i="5"/>
  <c r="Q203" i="5"/>
  <c r="Q204" i="5"/>
  <c r="Q205" i="5"/>
  <c r="Q206" i="5"/>
  <c r="Q207" i="5"/>
  <c r="Q208" i="5"/>
  <c r="Q209" i="5"/>
  <c r="Q210" i="5"/>
  <c r="Q211" i="5"/>
  <c r="Q212" i="5"/>
  <c r="Q213" i="5"/>
  <c r="N5" i="5"/>
  <c r="N4"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S29" i="10"/>
  <c r="S28" i="10"/>
  <c r="S27" i="10"/>
  <c r="S26" i="10"/>
  <c r="S8" i="10"/>
  <c r="S7" i="10"/>
  <c r="S6" i="10"/>
  <c r="S5" i="10"/>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5" i="5"/>
  <c r="L6" i="5"/>
  <c r="L7" i="5"/>
  <c r="L8" i="5"/>
  <c r="L9" i="5"/>
  <c r="L10" i="5"/>
  <c r="L11" i="5"/>
  <c r="L12" i="5"/>
  <c r="L13" i="5"/>
  <c r="L14" i="5"/>
  <c r="L15" i="5"/>
  <c r="L16" i="5"/>
  <c r="L17" i="5"/>
  <c r="L18" i="5"/>
  <c r="L19" i="5"/>
  <c r="L20" i="5"/>
  <c r="L21" i="5"/>
  <c r="L22" i="5"/>
  <c r="L23" i="5"/>
  <c r="L24" i="5"/>
  <c r="L4"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174" i="5"/>
  <c r="R175" i="5"/>
  <c r="R176" i="5"/>
  <c r="R177" i="5"/>
  <c r="R178" i="5"/>
  <c r="R179" i="5"/>
  <c r="R180" i="5"/>
  <c r="R181" i="5"/>
  <c r="R182" i="5"/>
  <c r="R183" i="5"/>
  <c r="R184" i="5"/>
  <c r="R185" i="5"/>
  <c r="R186" i="5"/>
  <c r="R187" i="5"/>
  <c r="R188" i="5"/>
  <c r="R189" i="5"/>
  <c r="R190" i="5"/>
  <c r="R191" i="5"/>
  <c r="R192" i="5"/>
  <c r="R193" i="5"/>
  <c r="R194" i="5"/>
  <c r="R195" i="5"/>
  <c r="R196" i="5"/>
  <c r="R197" i="5"/>
  <c r="R198" i="5"/>
  <c r="R199" i="5"/>
  <c r="R200" i="5"/>
  <c r="R201" i="5"/>
  <c r="R202" i="5"/>
  <c r="R203" i="5"/>
  <c r="R204" i="5"/>
  <c r="R205" i="5"/>
  <c r="R206" i="5"/>
  <c r="R207" i="5"/>
  <c r="R208" i="5"/>
  <c r="R209" i="5"/>
  <c r="R210" i="5"/>
  <c r="R211" i="5"/>
  <c r="R212" i="5"/>
  <c r="R213" i="5"/>
  <c r="R4" i="5"/>
  <c r="B17" i="10"/>
  <c r="C213" i="5"/>
  <c r="D213" i="5" s="1"/>
  <c r="C212" i="5"/>
  <c r="D212" i="5" s="1"/>
  <c r="C211" i="5"/>
  <c r="D211" i="5" s="1"/>
  <c r="C210" i="5"/>
  <c r="D210" i="5" s="1"/>
  <c r="C209" i="5"/>
  <c r="D209" i="5" s="1"/>
  <c r="C208" i="5"/>
  <c r="D208" i="5" s="1"/>
  <c r="C207" i="5"/>
  <c r="D207" i="5" s="1"/>
  <c r="C206" i="5"/>
  <c r="D206" i="5" s="1"/>
  <c r="C205" i="5"/>
  <c r="D205" i="5" s="1"/>
  <c r="C204" i="5"/>
  <c r="D204" i="5" s="1"/>
  <c r="C203" i="5"/>
  <c r="D203" i="5" s="1"/>
  <c r="C202" i="5"/>
  <c r="D202" i="5" s="1"/>
  <c r="C201" i="5"/>
  <c r="D201" i="5" s="1"/>
  <c r="C200" i="5"/>
  <c r="D200" i="5" s="1"/>
  <c r="C199" i="5"/>
  <c r="D199" i="5" s="1"/>
  <c r="C198" i="5"/>
  <c r="D198" i="5" s="1"/>
  <c r="C197" i="5"/>
  <c r="D197" i="5" s="1"/>
  <c r="C196" i="5"/>
  <c r="D196" i="5" s="1"/>
  <c r="C195" i="5"/>
  <c r="D195" i="5" s="1"/>
  <c r="C194" i="5"/>
  <c r="D194" i="5" s="1"/>
  <c r="C193" i="5"/>
  <c r="D193" i="5" s="1"/>
  <c r="C192" i="5"/>
  <c r="D192" i="5" s="1"/>
  <c r="C191" i="5"/>
  <c r="D191" i="5" s="1"/>
  <c r="C190" i="5"/>
  <c r="D190" i="5" s="1"/>
  <c r="C189" i="5"/>
  <c r="D189" i="5" s="1"/>
  <c r="C188" i="5"/>
  <c r="D188" i="5" s="1"/>
  <c r="C187" i="5"/>
  <c r="D187" i="5" s="1"/>
  <c r="C186" i="5"/>
  <c r="D186" i="5" s="1"/>
  <c r="C185" i="5"/>
  <c r="D185" i="5" s="1"/>
  <c r="C184" i="5"/>
  <c r="D184" i="5" s="1"/>
  <c r="C183" i="5"/>
  <c r="D183" i="5" s="1"/>
  <c r="C182" i="5"/>
  <c r="D182" i="5" s="1"/>
  <c r="C181" i="5"/>
  <c r="D181" i="5" s="1"/>
  <c r="C180" i="5"/>
  <c r="D180" i="5" s="1"/>
  <c r="C179" i="5"/>
  <c r="D179" i="5" s="1"/>
  <c r="C178" i="5"/>
  <c r="D178" i="5" s="1"/>
  <c r="C177" i="5"/>
  <c r="D177" i="5" s="1"/>
  <c r="C176" i="5"/>
  <c r="D176" i="5" s="1"/>
  <c r="C175" i="5"/>
  <c r="D175" i="5" s="1"/>
  <c r="C174" i="5"/>
  <c r="D174" i="5" s="1"/>
  <c r="C173" i="5"/>
  <c r="D173" i="5" s="1"/>
  <c r="C172" i="5"/>
  <c r="D172" i="5" s="1"/>
  <c r="C171" i="5"/>
  <c r="D171" i="5" s="1"/>
  <c r="C170" i="5"/>
  <c r="D170" i="5" s="1"/>
  <c r="C169" i="5"/>
  <c r="D169" i="5" s="1"/>
  <c r="C168" i="5"/>
  <c r="D168" i="5" s="1"/>
  <c r="C167" i="5"/>
  <c r="D167" i="5" s="1"/>
  <c r="C166" i="5"/>
  <c r="D166" i="5" s="1"/>
  <c r="C165" i="5"/>
  <c r="D165" i="5" s="1"/>
  <c r="C164" i="5"/>
  <c r="D164" i="5" s="1"/>
  <c r="C163" i="5"/>
  <c r="D163" i="5" s="1"/>
  <c r="C162" i="5"/>
  <c r="D162" i="5" s="1"/>
  <c r="C161" i="5"/>
  <c r="D161" i="5" s="1"/>
  <c r="C160" i="5"/>
  <c r="D160" i="5" s="1"/>
  <c r="C159" i="5"/>
  <c r="D159" i="5" s="1"/>
  <c r="C158" i="5"/>
  <c r="D158" i="5" s="1"/>
  <c r="C157" i="5"/>
  <c r="D157" i="5" s="1"/>
  <c r="C156" i="5"/>
  <c r="D156" i="5" s="1"/>
  <c r="C155" i="5"/>
  <c r="D155" i="5" s="1"/>
  <c r="C154" i="5"/>
  <c r="D154" i="5" s="1"/>
  <c r="C153" i="5"/>
  <c r="D153" i="5" s="1"/>
  <c r="C152" i="5"/>
  <c r="D152" i="5" s="1"/>
  <c r="C151" i="5"/>
  <c r="D151" i="5" s="1"/>
  <c r="C150" i="5"/>
  <c r="D150" i="5" s="1"/>
  <c r="C149" i="5"/>
  <c r="D149" i="5" s="1"/>
  <c r="C148" i="5"/>
  <c r="D148" i="5" s="1"/>
  <c r="C147" i="5"/>
  <c r="D147" i="5" s="1"/>
  <c r="C146" i="5"/>
  <c r="D146" i="5" s="1"/>
  <c r="C145" i="5"/>
  <c r="D145" i="5" s="1"/>
  <c r="C144" i="5"/>
  <c r="D144" i="5" s="1"/>
  <c r="C143" i="5"/>
  <c r="D143" i="5" s="1"/>
  <c r="C142" i="5"/>
  <c r="D142" i="5" s="1"/>
  <c r="C141" i="5"/>
  <c r="D141" i="5" s="1"/>
  <c r="C140" i="5"/>
  <c r="D140" i="5" s="1"/>
  <c r="C139" i="5"/>
  <c r="D139" i="5" s="1"/>
  <c r="C138" i="5"/>
  <c r="D138" i="5" s="1"/>
  <c r="C137" i="5"/>
  <c r="D137" i="5" s="1"/>
  <c r="C136" i="5"/>
  <c r="D136" i="5" s="1"/>
  <c r="C135" i="5"/>
  <c r="D135" i="5" s="1"/>
  <c r="C134" i="5"/>
  <c r="D134" i="5" s="1"/>
  <c r="C133" i="5"/>
  <c r="D133" i="5" s="1"/>
  <c r="C132" i="5"/>
  <c r="D132" i="5" s="1"/>
  <c r="C131" i="5"/>
  <c r="D131" i="5" s="1"/>
  <c r="C130" i="5"/>
  <c r="D130" i="5" s="1"/>
  <c r="C129" i="5"/>
  <c r="D129" i="5" s="1"/>
  <c r="C128" i="5"/>
  <c r="D128" i="5" s="1"/>
  <c r="C127" i="5"/>
  <c r="D127" i="5" s="1"/>
  <c r="C126" i="5"/>
  <c r="D126" i="5" s="1"/>
  <c r="C125" i="5"/>
  <c r="D125" i="5" s="1"/>
  <c r="C124" i="5"/>
  <c r="D124" i="5" s="1"/>
  <c r="C123" i="5"/>
  <c r="D123" i="5" s="1"/>
  <c r="C122" i="5"/>
  <c r="D122" i="5" s="1"/>
  <c r="C121" i="5"/>
  <c r="D121" i="5" s="1"/>
  <c r="C120" i="5"/>
  <c r="D120" i="5" s="1"/>
  <c r="C119" i="5"/>
  <c r="D119" i="5" s="1"/>
  <c r="C118" i="5"/>
  <c r="D118" i="5" s="1"/>
  <c r="C117" i="5"/>
  <c r="D117" i="5" s="1"/>
  <c r="C116" i="5"/>
  <c r="D116" i="5" s="1"/>
  <c r="C115" i="5"/>
  <c r="D115" i="5" s="1"/>
  <c r="C114" i="5"/>
  <c r="D114" i="5" s="1"/>
  <c r="C113" i="5"/>
  <c r="D113" i="5" s="1"/>
  <c r="C112" i="5"/>
  <c r="D112" i="5" s="1"/>
  <c r="C111" i="5"/>
  <c r="D111" i="5" s="1"/>
  <c r="C110" i="5"/>
  <c r="D110" i="5" s="1"/>
  <c r="C109" i="5"/>
  <c r="D109" i="5" s="1"/>
  <c r="C108" i="5"/>
  <c r="D108" i="5" s="1"/>
  <c r="C107" i="5"/>
  <c r="D107" i="5" s="1"/>
  <c r="C106" i="5"/>
  <c r="D106" i="5" s="1"/>
  <c r="C105" i="5"/>
  <c r="D105" i="5" s="1"/>
  <c r="C104" i="5"/>
  <c r="D104" i="5" s="1"/>
  <c r="C103" i="5"/>
  <c r="D103" i="5" s="1"/>
  <c r="C102" i="5"/>
  <c r="D102" i="5" s="1"/>
  <c r="C101" i="5"/>
  <c r="D101" i="5" s="1"/>
  <c r="C100" i="5"/>
  <c r="D100" i="5" s="1"/>
  <c r="C99" i="5"/>
  <c r="D99" i="5" s="1"/>
  <c r="C98" i="5"/>
  <c r="D98" i="5" s="1"/>
  <c r="C97" i="5"/>
  <c r="D97" i="5" s="1"/>
  <c r="C96" i="5"/>
  <c r="D96" i="5" s="1"/>
  <c r="C95" i="5"/>
  <c r="D95" i="5" s="1"/>
  <c r="C94" i="5"/>
  <c r="D94" i="5" s="1"/>
  <c r="C93" i="5"/>
  <c r="D93" i="5" s="1"/>
  <c r="C92" i="5"/>
  <c r="D92" i="5" s="1"/>
  <c r="C91" i="5"/>
  <c r="D91" i="5" s="1"/>
  <c r="C90" i="5"/>
  <c r="D90" i="5" s="1"/>
  <c r="C89" i="5"/>
  <c r="D89" i="5" s="1"/>
  <c r="C88" i="5"/>
  <c r="D88" i="5" s="1"/>
  <c r="C87" i="5"/>
  <c r="D87" i="5" s="1"/>
  <c r="C86" i="5"/>
  <c r="D86" i="5" s="1"/>
  <c r="C85" i="5"/>
  <c r="D85" i="5" s="1"/>
  <c r="C84" i="5"/>
  <c r="D84" i="5" s="1"/>
  <c r="C83" i="5"/>
  <c r="D83" i="5" s="1"/>
  <c r="C82" i="5"/>
  <c r="D82" i="5" s="1"/>
  <c r="C81" i="5"/>
  <c r="D81" i="5" s="1"/>
  <c r="C80" i="5"/>
  <c r="D80" i="5" s="1"/>
  <c r="C79" i="5"/>
  <c r="D79" i="5" s="1"/>
  <c r="C78" i="5"/>
  <c r="D78" i="5" s="1"/>
  <c r="C77" i="5"/>
  <c r="D77" i="5" s="1"/>
  <c r="C76" i="5"/>
  <c r="D76" i="5" s="1"/>
  <c r="C75" i="5"/>
  <c r="D75" i="5" s="1"/>
  <c r="C74" i="5"/>
  <c r="D74" i="5" s="1"/>
  <c r="C73" i="5"/>
  <c r="D73" i="5" s="1"/>
  <c r="C72" i="5"/>
  <c r="D72" i="5" s="1"/>
  <c r="C71" i="5"/>
  <c r="D71" i="5" s="1"/>
  <c r="C70" i="5"/>
  <c r="D70" i="5" s="1"/>
  <c r="C69" i="5"/>
  <c r="D69" i="5" s="1"/>
  <c r="C68" i="5"/>
  <c r="D68" i="5" s="1"/>
  <c r="C67" i="5"/>
  <c r="D67" i="5" s="1"/>
  <c r="C66" i="5"/>
  <c r="D66" i="5" s="1"/>
  <c r="C65" i="5"/>
  <c r="D65" i="5" s="1"/>
  <c r="C64" i="5"/>
  <c r="D64" i="5" s="1"/>
  <c r="C63" i="5"/>
  <c r="D63" i="5" s="1"/>
  <c r="C62" i="5"/>
  <c r="D62" i="5" s="1"/>
  <c r="C61" i="5"/>
  <c r="D61" i="5" s="1"/>
  <c r="C60" i="5"/>
  <c r="D60" i="5" s="1"/>
  <c r="C59" i="5"/>
  <c r="D59" i="5" s="1"/>
  <c r="C58" i="5"/>
  <c r="D58" i="5" s="1"/>
  <c r="C57" i="5"/>
  <c r="D57" i="5" s="1"/>
  <c r="C56" i="5"/>
  <c r="D56" i="5" s="1"/>
  <c r="C55" i="5"/>
  <c r="D55" i="5" s="1"/>
  <c r="C54" i="5"/>
  <c r="D54" i="5" s="1"/>
  <c r="C53" i="5"/>
  <c r="D53" i="5" s="1"/>
  <c r="C52" i="5"/>
  <c r="D52" i="5" s="1"/>
  <c r="C51" i="5"/>
  <c r="D51" i="5" s="1"/>
  <c r="C50" i="5"/>
  <c r="D50" i="5" s="1"/>
  <c r="C49" i="5"/>
  <c r="D49" i="5" s="1"/>
  <c r="C48" i="5"/>
  <c r="D48" i="5" s="1"/>
  <c r="C47" i="5"/>
  <c r="D47" i="5" s="1"/>
  <c r="C46" i="5"/>
  <c r="D46" i="5" s="1"/>
  <c r="C45" i="5"/>
  <c r="D45" i="5" s="1"/>
  <c r="C44" i="5"/>
  <c r="D44" i="5" s="1"/>
  <c r="C43" i="5"/>
  <c r="D43" i="5" s="1"/>
  <c r="C42" i="5"/>
  <c r="D42" i="5" s="1"/>
  <c r="C41" i="5"/>
  <c r="D41" i="5" s="1"/>
  <c r="C40" i="5"/>
  <c r="D40" i="5" s="1"/>
  <c r="C39" i="5"/>
  <c r="D39" i="5" s="1"/>
  <c r="C38" i="5"/>
  <c r="D38" i="5" s="1"/>
  <c r="C37" i="5"/>
  <c r="D37" i="5" s="1"/>
  <c r="C36" i="5"/>
  <c r="D36" i="5" s="1"/>
  <c r="C35" i="5"/>
  <c r="D35" i="5" s="1"/>
  <c r="C34" i="5"/>
  <c r="D34" i="5" s="1"/>
  <c r="C33" i="5"/>
  <c r="D33" i="5" s="1"/>
  <c r="C32" i="5"/>
  <c r="D32" i="5" s="1"/>
  <c r="C31" i="5"/>
  <c r="D31" i="5" s="1"/>
  <c r="C30" i="5"/>
  <c r="D30" i="5" s="1"/>
  <c r="C29" i="5"/>
  <c r="D29" i="5" s="1"/>
  <c r="C28" i="5"/>
  <c r="D28" i="5" s="1"/>
  <c r="C27" i="5"/>
  <c r="D27" i="5" s="1"/>
  <c r="C26" i="5"/>
  <c r="D26" i="5" s="1"/>
  <c r="C25" i="5"/>
  <c r="D25" i="5" s="1"/>
  <c r="C24" i="5"/>
  <c r="D24" i="5" s="1"/>
  <c r="C23" i="5"/>
  <c r="D23" i="5" s="1"/>
  <c r="C22" i="5"/>
  <c r="D22" i="5" s="1"/>
  <c r="C21" i="5"/>
  <c r="D21" i="5" s="1"/>
  <c r="C20" i="5"/>
  <c r="D20" i="5" s="1"/>
  <c r="C19" i="5"/>
  <c r="D19" i="5" s="1"/>
  <c r="C18" i="5"/>
  <c r="D18" i="5" s="1"/>
  <c r="C17" i="5"/>
  <c r="D17" i="5" s="1"/>
  <c r="C16" i="5"/>
  <c r="D16" i="5" s="1"/>
  <c r="C15" i="5"/>
  <c r="D15" i="5" s="1"/>
  <c r="C14" i="5"/>
  <c r="D14" i="5" s="1"/>
  <c r="C13" i="5"/>
  <c r="D13" i="5" s="1"/>
  <c r="C12" i="5"/>
  <c r="D12" i="5" s="1"/>
  <c r="C11" i="5"/>
  <c r="D11" i="5" s="1"/>
  <c r="C10" i="5"/>
  <c r="D10" i="5" s="1"/>
  <c r="C9" i="5"/>
  <c r="D9" i="5" s="1"/>
  <c r="C8" i="5"/>
  <c r="D8" i="5" s="1"/>
  <c r="C7" i="5"/>
  <c r="D7" i="5" s="1"/>
  <c r="C6" i="5"/>
  <c r="D6" i="5" s="1"/>
  <c r="C5" i="5"/>
  <c r="D5" i="5" s="1"/>
  <c r="C4" i="5"/>
  <c r="D4" i="5" s="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AJ10" i="10"/>
  <c r="AJ9" i="10"/>
  <c r="AJ8" i="10"/>
  <c r="AJ7" i="10"/>
  <c r="AJ6" i="10"/>
  <c r="Z83" i="10"/>
  <c r="Z82" i="10"/>
  <c r="T8" i="10"/>
  <c r="C29" i="10"/>
  <c r="C37" i="10"/>
  <c r="G36" i="10"/>
  <c r="B35" i="10"/>
  <c r="B38" i="10"/>
  <c r="T7" i="10"/>
  <c r="C30" i="10"/>
  <c r="S43" i="10"/>
  <c r="T6" i="10"/>
  <c r="S39" i="10"/>
  <c r="T5" i="10"/>
  <c r="B39" i="10"/>
  <c r="B4" i="10"/>
  <c r="C35" i="10"/>
  <c r="C38" i="10"/>
  <c r="G6" i="10"/>
  <c r="C39" i="10"/>
  <c r="B40" i="10"/>
  <c r="T29" i="10"/>
  <c r="C25" i="10"/>
  <c r="T28" i="10"/>
  <c r="C26" i="10"/>
  <c r="B36" i="10"/>
  <c r="G4" i="10"/>
  <c r="T27" i="10"/>
  <c r="C27" i="10"/>
  <c r="C40" i="10"/>
  <c r="G35" i="10"/>
  <c r="G7" i="10"/>
  <c r="C36" i="10"/>
  <c r="T26" i="10"/>
  <c r="C28" i="10"/>
  <c r="B37" i="10"/>
  <c r="G5" i="10"/>
  <c r="AK8" i="10" l="1"/>
  <c r="H44" i="10"/>
</calcChain>
</file>

<file path=xl/sharedStrings.xml><?xml version="1.0" encoding="utf-8"?>
<sst xmlns="http://schemas.openxmlformats.org/spreadsheetml/2006/main" count="3679" uniqueCount="332">
  <si>
    <t>Client ID</t>
  </si>
  <si>
    <t>SLCSS Synthetic Database</t>
  </si>
  <si>
    <t>DOB</t>
  </si>
  <si>
    <t>Age</t>
  </si>
  <si>
    <t>Gender</t>
  </si>
  <si>
    <t>Nationality</t>
  </si>
  <si>
    <t>Ethnicity</t>
  </si>
  <si>
    <t>Sexuality</t>
  </si>
  <si>
    <t>Date Referred</t>
  </si>
  <si>
    <t>Date Assessed</t>
  </si>
  <si>
    <t>Date Allocated</t>
  </si>
  <si>
    <t>Date Sessions Completed</t>
  </si>
  <si>
    <t>Status</t>
  </si>
  <si>
    <t xml:space="preserve">Counsellor </t>
  </si>
  <si>
    <t>002</t>
  </si>
  <si>
    <t>001</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</si>
  <si>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</si>
  <si>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</si>
  <si>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</si>
  <si>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</si>
  <si>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</si>
  <si>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</si>
  <si>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</si>
  <si>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</si>
  <si>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</si>
  <si>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</si>
  <si>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</si>
  <si>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</si>
  <si>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</si>
  <si>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</si>
  <si>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</si>
  <si>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</si>
  <si>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</si>
  <si>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</si>
  <si>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</si>
  <si>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</si>
  <si>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</si>
  <si>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</si>
  <si>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</si>
  <si>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</si>
  <si>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</si>
  <si>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</si>
  <si>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</si>
  <si>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</si>
  <si>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</si>
  <si>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</si>
  <si>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</si>
  <si>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</si>
  <si>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</si>
  <si>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</si>
  <si>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</si>
  <si>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</si>
  <si>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</si>
  <si>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</si>
  <si>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</si>
  <si>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</si>
  <si>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</si>
  <si>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</si>
  <si>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</si>
  <si>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</si>
  <si>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</si>
  <si>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</si>
  <si>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</si>
  <si>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</si>
  <si>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</si>
  <si>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</si>
  <si>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</si>
  <si>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</si>
  <si>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</si>
  <si>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</si>
  <si>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</si>
  <si>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</si>
  <si>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</si>
  <si>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</si>
  <si>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</si>
  <si>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</si>
  <si>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</si>
  <si>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</si>
  <si>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</si>
  <si>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</si>
  <si>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</si>
  <si>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</si>
  <si>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</si>
  <si>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</si>
  <si>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</si>
  <si>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</si>
  <si>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</si>
  <si>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</si>
  <si>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</si>
  <si>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</si>
  <si>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</si>
  <si>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</si>
  <si>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</si>
  <si>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</si>
  <si>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</si>
  <si>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</si>
  <si>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</si>
  <si>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</si>
  <si>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</si>
  <si>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</si>
  <si>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</si>
  <si>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</si>
  <si>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</si>
  <si>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</si>
  <si>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</si>
  <si>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</si>
  <si>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</si>
  <si>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</si>
  <si>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</si>
  <si>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</si>
  <si>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</si>
  <si>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</si>
  <si>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</si>
  <si>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</si>
  <si>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</si>
  <si>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</si>
  <si>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</si>
  <si>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</si>
  <si>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</si>
  <si>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</si>
  <si>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</si>
  <si>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</si>
  <si>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</si>
  <si>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</si>
  <si>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</si>
  <si>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</si>
  <si>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</si>
  <si>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</si>
  <si>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</si>
  <si>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</si>
  <si>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</si>
  <si>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</si>
  <si>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</si>
  <si>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</si>
  <si>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</si>
  <si>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</si>
  <si>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</si>
  <si>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</si>
  <si>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</si>
  <si>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</si>
  <si>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</si>
  <si>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</si>
  <si>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</si>
  <si>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</si>
  <si>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</si>
  <si>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</si>
  <si>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</si>
  <si>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</si>
  <si>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</si>
  <si>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</si>
  <si>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</si>
  <si>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</si>
  <si>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</si>
  <si>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</si>
  <si>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</si>
  <si>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</si>
  <si>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</si>
  <si>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</si>
  <si>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</si>
  <si>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</si>
  <si>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</si>
  <si>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</si>
  <si>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</si>
  <si>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</si>
  <si>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</si>
  <si>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</si>
  <si>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</si>
  <si>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</si>
  <si>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</si>
  <si>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</si>
  <si>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</si>
  <si>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</si>
  <si>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</si>
  <si>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</si>
  <si>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</si>
  <si>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</si>
  <si>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</si>
  <si>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</si>
  <si>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</si>
  <si>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</si>
  <si>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</si>
  <si>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</si>
  <si>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</si>
  <si>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</si>
  <si>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</si>
  <si>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</si>
  <si>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</si>
  <si>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</si>
  <si>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</si>
  <si>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</si>
  <si>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</si>
  <si>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</si>
  <si>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</si>
  <si>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</si>
  <si>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</si>
  <si>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</si>
  <si>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</si>
  <si>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</si>
  <si>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</si>
  <si>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</si>
  <si>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</si>
  <si>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</si>
  <si>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</si>
  <si>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</si>
  <si>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</si>
  <si>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</si>
  <si>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</si>
  <si>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</si>
  <si>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</si>
  <si>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</si>
  <si>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</si>
  <si>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</si>
  <si>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</si>
  <si>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</si>
  <si>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</si>
  <si>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</si>
  <si>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</si>
  <si>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</si>
  <si>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</si>
  <si>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</si>
  <si>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</si>
  <si>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</si>
  <si>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</si>
  <si>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</si>
  <si>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Male</t>
  </si>
  <si>
    <t>Female</t>
  </si>
  <si>
    <t>N/A</t>
  </si>
  <si>
    <t>Other</t>
  </si>
  <si>
    <t>British</t>
  </si>
  <si>
    <t>Ghanaian</t>
  </si>
  <si>
    <t>Nigerian</t>
  </si>
  <si>
    <t>Indian</t>
  </si>
  <si>
    <t>Jamaican</t>
  </si>
  <si>
    <t>Polish</t>
  </si>
  <si>
    <t>Kenyan</t>
  </si>
  <si>
    <t>Japanese</t>
  </si>
  <si>
    <t>Thai</t>
  </si>
  <si>
    <t>Cameroonian</t>
  </si>
  <si>
    <t>Congelese</t>
  </si>
  <si>
    <t>Congolese</t>
  </si>
  <si>
    <t>Pakistani</t>
  </si>
  <si>
    <t>Asian</t>
  </si>
  <si>
    <t>White</t>
  </si>
  <si>
    <t>Black / African / Caribbean</t>
  </si>
  <si>
    <t>Black / African</t>
  </si>
  <si>
    <t>Black / African/ Carribbean</t>
  </si>
  <si>
    <t>Homosexual</t>
  </si>
  <si>
    <t>Heterosexual</t>
  </si>
  <si>
    <t>Prefer not to say</t>
  </si>
  <si>
    <t>Referring Organisation</t>
  </si>
  <si>
    <t>London Counselling Hub</t>
  </si>
  <si>
    <t>Family/Friend</t>
  </si>
  <si>
    <t>Southside Care</t>
  </si>
  <si>
    <t>Self Referred</t>
  </si>
  <si>
    <t>Hope Outreach</t>
  </si>
  <si>
    <t>Completed</t>
  </si>
  <si>
    <t>Referred (waiting)</t>
  </si>
  <si>
    <t>Assessed (awaiting allocation)</t>
  </si>
  <si>
    <t>Withdrawn</t>
  </si>
  <si>
    <t>Not Suitable</t>
  </si>
  <si>
    <t>Allocated (active)</t>
  </si>
  <si>
    <t>Mr Smith</t>
  </si>
  <si>
    <t>Ms Patel</t>
  </si>
  <si>
    <t>Ms Brown</t>
  </si>
  <si>
    <t>Ms Hughes</t>
  </si>
  <si>
    <t>Count of Client ID</t>
  </si>
  <si>
    <t>Grand Total</t>
  </si>
  <si>
    <t>Total Clients</t>
  </si>
  <si>
    <t>Ethnicity Group</t>
  </si>
  <si>
    <t>Age Group</t>
  </si>
  <si>
    <t>Referall Month</t>
  </si>
  <si>
    <t>Row Labels</t>
  </si>
  <si>
    <t>Mr Johnson</t>
  </si>
  <si>
    <t>Total Counsellors</t>
  </si>
  <si>
    <t>Client Count</t>
  </si>
  <si>
    <t>Client Status</t>
  </si>
  <si>
    <t>Client Gender Distribution</t>
  </si>
  <si>
    <t>18–24</t>
  </si>
  <si>
    <t>25–34</t>
  </si>
  <si>
    <t>35–44</t>
  </si>
  <si>
    <t>45–54</t>
  </si>
  <si>
    <t>55–64</t>
  </si>
  <si>
    <t>65+</t>
  </si>
  <si>
    <t>Count</t>
  </si>
  <si>
    <t>Average of Age</t>
  </si>
  <si>
    <t>Average client age</t>
  </si>
  <si>
    <t>Client age group</t>
  </si>
  <si>
    <t>Column1</t>
  </si>
  <si>
    <t>Days before assessment</t>
  </si>
  <si>
    <t>Days before allocation</t>
  </si>
  <si>
    <t>Jan</t>
  </si>
  <si>
    <t>Feb</t>
  </si>
  <si>
    <t>Mar</t>
  </si>
  <si>
    <t>Apr</t>
  </si>
  <si>
    <t>May</t>
  </si>
  <si>
    <t>Jun</t>
  </si>
  <si>
    <t>Jul</t>
  </si>
  <si>
    <t>Aug</t>
  </si>
  <si>
    <t>Sep</t>
  </si>
  <si>
    <t>Oct</t>
  </si>
  <si>
    <t>Nov</t>
  </si>
  <si>
    <t>Dec</t>
  </si>
  <si>
    <t>Average of Days before allocation</t>
  </si>
  <si>
    <t>Average of Days before assessment</t>
  </si>
  <si>
    <t>Average wait time for clients</t>
  </si>
  <si>
    <t>Month (2024)</t>
  </si>
  <si>
    <t>Clients</t>
  </si>
  <si>
    <t>Referrals per month</t>
  </si>
  <si>
    <t>Referring Organisations</t>
  </si>
  <si>
    <t>Allocated(active)</t>
  </si>
  <si>
    <t>Percentage</t>
  </si>
  <si>
    <t>Average age by gender</t>
  </si>
  <si>
    <t>Age statistics</t>
  </si>
  <si>
    <t>Max. of Age</t>
  </si>
  <si>
    <t>Min. of Age</t>
  </si>
  <si>
    <t>Median age</t>
  </si>
  <si>
    <t>Count of Age</t>
  </si>
  <si>
    <t>Avergae referral age per month</t>
  </si>
  <si>
    <t>Average age per status</t>
  </si>
  <si>
    <t>BAME</t>
  </si>
  <si>
    <t>Client Nationality count</t>
  </si>
  <si>
    <t>Client Ethnicity Count</t>
  </si>
  <si>
    <t>Client Ethnicity group</t>
  </si>
  <si>
    <t>Counsellor</t>
  </si>
  <si>
    <t>Total clients per counsellor</t>
  </si>
  <si>
    <t>Unallocated</t>
  </si>
  <si>
    <t>Assessment Date Clean</t>
  </si>
  <si>
    <t>Date Allocated Clean</t>
  </si>
  <si>
    <t>2024</t>
  </si>
  <si>
    <t>2025</t>
  </si>
  <si>
    <t>Date</t>
  </si>
  <si>
    <t>Counsellor/ClientStatus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</si>
</sst>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_(* \(#,##0\);_(* &quot;-&quot;_);_(@_)"/>
    <numFmt numFmtId="43" formatCode="_(* #,##0.00_);_(* \(#,##0.00\);_(* &quot;-&quot;??_);_(@_)"/>
    <numFmt numFmtId="164" formatCode="[$-809]dd\ mmmm\ yyyy;@"/>
    <numFmt numFmtId="165" formatCode="yyyymm"/>
    <numFmt numFmtId="167" formatCode="dd/mm/yyyy;@"/>
  </numFmts>
  <fonts count="5" x14ac:knownFonts="1">
    <font>
      <sz val="12"/>
      <color theme="1"/>
      <name val="Aptos Narrow"/>
      <family val="2"/>
      <scheme val="minor"/>
    </font>
    <font>
      <b/>
      <u/>
      <sz val="28"/>
      <color theme="1"/>
      <name val="Aptos Narrow"/>
      <scheme val="minor"/>
    </font>
    <font>
      <b/>
      <u/>
      <sz val="12"/>
      <color theme="1"/>
      <name val="Aptos Narrow"/>
      <scheme val="minor"/>
    </font>
    <font>
      <sz val="8"/>
      <name val="Aptos Narrow"/>
      <family val="2"/>
      <scheme val="minor"/>
    </font>
    <font>
      <sz val="12"/>
      <color theme="1"/>
      <name val="Aptos Narrow"/>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21">
    <xf numFmtId="0" fontId="0" fillId="0" borderId="0" xfId="0"/>
    <xf numFmtId="0" fontId="1" fillId="0" borderId="0" xfId="0" applyFont="1"/>
    <xf numFmtId="0" fontId="2" fillId="0" borderId="0" xfId="0" applyFont="1"/>
    <xf numFmtId="2" fontId="0" fillId="0" borderId="0" xfId="0" applyNumberFormat="1"/>
    <xf numFmtId="49" fontId="0" fillId="0" borderId="0" xfId="0" applyNumberFormat="1"/>
    <xf numFmtId="14" fontId="0" fillId="0" borderId="0" xfId="0" applyNumberFormat="1"/>
    <xf numFmtId="164" fontId="0" fillId="0" borderId="0" xfId="0" applyNumberFormat="1"/>
    <xf numFmtId="165" fontId="0" fillId="0" borderId="0" xfId="0" applyNumberFormat="1"/>
    <xf numFmtId="0" fontId="0" fillId="2" borderId="0" xfId="0" applyFill="1"/>
    <xf numFmtId="0" fontId="0" fillId="0" borderId="0" xfId="0" pivotButton="1"/>
    <xf numFmtId="0" fontId="0" fillId="0" borderId="0" xfId="0" applyAlignment="1">
      <alignment horizontal="left"/>
    </xf>
    <xf numFmtId="9" fontId="0" fillId="0" borderId="0" xfId="2" applyFont="1"/>
    <xf numFmtId="41" fontId="0" fillId="0" borderId="0" xfId="0" applyNumberFormat="1"/>
    <xf numFmtId="41" fontId="0" fillId="0" borderId="0" xfId="1" applyNumberFormat="1" applyFont="1"/>
    <xf numFmtId="1" fontId="0" fillId="0" borderId="0" xfId="0" applyNumberFormat="1"/>
    <xf numFmtId="37" fontId="0" fillId="0" borderId="0" xfId="1" applyNumberFormat="1" applyFont="1"/>
    <xf numFmtId="0" fontId="0" fillId="0" borderId="0" xfId="0" applyAlignment="1">
      <alignment horizontal="left" indent="1"/>
    </xf>
    <xf numFmtId="0" fontId="0" fillId="0" borderId="0" xfId="0" applyNumberFormat="1"/>
    <xf numFmtId="167" fontId="0" fillId="0" borderId="0" xfId="0" applyNumberFormat="1"/>
    <xf numFmtId="10" fontId="0" fillId="0" borderId="0" xfId="0" applyNumberFormat="1"/>
    <xf numFmtId="0" fontId="0" fillId="0" borderId="0" xfId="0" applyAlignment="1">
      <alignment horizontal="left" indent="2"/>
    </xf>
  </cellXfs>
  <cellStyles count="3">
    <cellStyle name="Comma" xfId="1" builtinId="3"/>
    <cellStyle name="Normal" xfId="0" builtinId="0"/>
    <cellStyle name="Per cent" xfId="2" builtinId="5"/>
  </cellStyles>
  <dxfs count="178">
    <dxf>
      <numFmt numFmtId="1" formatCode="0"/>
    </dxf>
    <dxf>
      <numFmt numFmtId="1" formatCode="0"/>
    </dxf>
    <dxf>
      <numFmt numFmtId="1" formatCode="0"/>
    </dxf>
    <dxf>
      <numFmt numFmtId="1" formatCode="0"/>
    </dxf>
    <dxf>
      <numFmt numFmtId="1" formatCode="0"/>
    </dxf>
    <dxf>
      <numFmt numFmtId="33" formatCode="_(* #,##0_);_(* \(#,##0\);_(* &quot;-&quot;_);_(@_)"/>
    </dxf>
    <dxf>
      <numFmt numFmtId="1" formatCode="0"/>
    </dxf>
    <dxf>
      <numFmt numFmtId="1" formatCode="0"/>
    </dxf>
    <dxf>
      <numFmt numFmtId="1" formatCode="0"/>
    </dxf>
    <dxf>
      <numFmt numFmtId="33" formatCode="_(* #,##0_);_(* \(#,##0\);_(* &quot;-&quot;_);_(@_)"/>
    </dxf>
    <dxf>
      <numFmt numFmtId="1" formatCode="0"/>
    </dxf>
    <dxf>
      <numFmt numFmtId="1" formatCode="0"/>
    </dxf>
    <dxf>
      <numFmt numFmtId="1" formatCode="0"/>
    </dxf>
    <dxf>
      <numFmt numFmtId="1" formatCode="0"/>
    </dxf>
    <dxf>
      <numFmt numFmtId="1" formatCode="0"/>
    </dxf>
    <dxf>
      <numFmt numFmtId="33" formatCode="_(* #,##0_);_(* \(#,##0\);_(* &quot;-&quot;_);_(@_)"/>
    </dxf>
    <dxf>
      <numFmt numFmtId="1" formatCode="0"/>
    </dxf>
    <dxf>
      <numFmt numFmtId="1" formatCode="0"/>
    </dxf>
    <dxf>
      <numFmt numFmtId="1" formatCode="0"/>
    </dxf>
    <dxf>
      <numFmt numFmtId="33" formatCode="_(* #,##0_);_(* \(#,##0\);_(* &quot;-&quot;_);_(@_)"/>
    </dxf>
    <dxf>
      <numFmt numFmtId="1" formatCode="0"/>
    </dxf>
    <dxf>
      <numFmt numFmtId="1" formatCode="0"/>
    </dxf>
    <dxf>
      <numFmt numFmtId="1" formatCode="0"/>
    </dxf>
    <dxf>
      <numFmt numFmtId="1" formatCode="0"/>
    </dxf>
    <dxf>
      <numFmt numFmtId="1" formatCode="0"/>
    </dxf>
    <dxf>
      <numFmt numFmtId="33" formatCode="_(* #,##0_);_(* \(#,##0\);_(* &quot;-&quot;_);_(@_)"/>
    </dxf>
    <dxf>
      <numFmt numFmtId="1" formatCode="0"/>
    </dxf>
    <dxf>
      <numFmt numFmtId="1" formatCode="0"/>
    </dxf>
    <dxf>
      <numFmt numFmtId="1" formatCode="0"/>
    </dxf>
    <dxf>
      <numFmt numFmtId="33" formatCode="_(* #,##0_);_(* \(#,##0\);_(* &quot;-&quot;_);_(@_)"/>
    </dxf>
    <dxf>
      <numFmt numFmtId="1" formatCode="0"/>
    </dxf>
    <dxf>
      <numFmt numFmtId="1" formatCode="0"/>
    </dxf>
    <dxf>
      <numFmt numFmtId="1" formatCode="0"/>
    </dxf>
    <dxf>
      <numFmt numFmtId="1" formatCode="0"/>
    </dxf>
    <dxf>
      <numFmt numFmtId="1" formatCode="0"/>
    </dxf>
    <dxf>
      <numFmt numFmtId="33" formatCode="_(* #,##0_);_(* \(#,##0\);_(* &quot;-&quot;_);_(@_)"/>
    </dxf>
    <dxf>
      <numFmt numFmtId="1" formatCode="0"/>
    </dxf>
    <dxf>
      <numFmt numFmtId="1" formatCode="0"/>
    </dxf>
    <dxf>
      <numFmt numFmtId="1" formatCode="0"/>
    </dxf>
    <dxf>
      <numFmt numFmtId="33" formatCode="_(* #,##0_);_(* \(#,##0\);_(* &quot;-&quot;_);_(@_)"/>
    </dxf>
    <dxf>
      <numFmt numFmtId="1" formatCode="0"/>
    </dxf>
    <dxf>
      <numFmt numFmtId="1" formatCode="0"/>
    </dxf>
    <dxf>
      <numFmt numFmtId="1" formatCode="0"/>
    </dxf>
    <dxf>
      <numFmt numFmtId="1" formatCode="0"/>
    </dxf>
    <dxf>
      <numFmt numFmtId="1" formatCode="0"/>
    </dxf>
    <dxf>
      <numFmt numFmtId="33" formatCode="_(* #,##0_);_(* \(#,##0\);_(* &quot;-&quot;_);_(@_)"/>
    </dxf>
    <dxf>
      <numFmt numFmtId="1" formatCode="0"/>
    </dxf>
    <dxf>
      <numFmt numFmtId="1" formatCode="0"/>
    </dxf>
    <dxf>
      <numFmt numFmtId="1" formatCode="0"/>
    </dxf>
    <dxf>
      <numFmt numFmtId="33" formatCode="_(* #,##0_);_(* \(#,##0\);_(* &quot;-&quot;_);_(@_)"/>
    </dxf>
    <dxf>
      <numFmt numFmtId="1" formatCode="0"/>
    </dxf>
    <dxf>
      <numFmt numFmtId="1" formatCode="0"/>
    </dxf>
    <dxf>
      <numFmt numFmtId="1" formatCode="0"/>
    </dxf>
    <dxf>
      <numFmt numFmtId="1" formatCode="0"/>
    </dxf>
    <dxf>
      <numFmt numFmtId="1" formatCode="0"/>
    </dxf>
    <dxf>
      <numFmt numFmtId="33" formatCode="_(* #,##0_);_(* \(#,##0\);_(* &quot;-&quot;_);_(@_)"/>
    </dxf>
    <dxf>
      <numFmt numFmtId="1" formatCode="0"/>
    </dxf>
    <dxf>
      <numFmt numFmtId="1" formatCode="0"/>
    </dxf>
    <dxf>
      <numFmt numFmtId="1" formatCode="0"/>
    </dxf>
    <dxf>
      <numFmt numFmtId="33" formatCode="_(* #,##0_);_(* \(#,##0\);_(* &quot;-&quot;_);_(@_)"/>
    </dxf>
    <dxf>
      <numFmt numFmtId="1" formatCode="0"/>
    </dxf>
    <dxf>
      <numFmt numFmtId="1" formatCode="0"/>
    </dxf>
    <dxf>
      <numFmt numFmtId="1" formatCode="0"/>
    </dxf>
    <dxf>
      <numFmt numFmtId="1" formatCode="0"/>
    </dxf>
    <dxf>
      <numFmt numFmtId="1" formatCode="0"/>
    </dxf>
    <dxf>
      <numFmt numFmtId="33" formatCode="_(* #,##0_);_(* \(#,##0\);_(* &quot;-&quot;_);_(@_)"/>
    </dxf>
    <dxf>
      <numFmt numFmtId="1" formatCode="0"/>
    </dxf>
    <dxf>
      <numFmt numFmtId="1" formatCode="0"/>
    </dxf>
    <dxf>
      <numFmt numFmtId="1" formatCode="0"/>
    </dxf>
    <dxf>
      <numFmt numFmtId="33" formatCode="_(* #,##0_);_(* \(#,##0\);_(* &quot;-&quot;_);_(@_)"/>
    </dxf>
    <dxf>
      <numFmt numFmtId="1" formatCode="0"/>
    </dxf>
    <dxf>
      <numFmt numFmtId="1" formatCode="0"/>
    </dxf>
    <dxf>
      <numFmt numFmtId="1" formatCode="0"/>
    </dxf>
    <dxf>
      <numFmt numFmtId="1" formatCode="0"/>
    </dxf>
    <dxf>
      <numFmt numFmtId="1" formatCode="0"/>
    </dxf>
    <dxf>
      <numFmt numFmtId="33" formatCode="_(* #,##0_);_(* \(#,##0\);_(* &quot;-&quot;_);_(@_)"/>
    </dxf>
    <dxf>
      <numFmt numFmtId="1" formatCode="0"/>
    </dxf>
    <dxf>
      <numFmt numFmtId="1" formatCode="0"/>
    </dxf>
    <dxf>
      <numFmt numFmtId="1" formatCode="0"/>
    </dxf>
    <dxf>
      <numFmt numFmtId="33" formatCode="_(* #,##0_);_(* \(#,##0\);_(* &quot;-&quot;_);_(@_)"/>
    </dxf>
    <dxf>
      <numFmt numFmtId="1" formatCode="0"/>
    </dxf>
    <dxf>
      <numFmt numFmtId="1" formatCode="0"/>
    </dxf>
    <dxf>
      <numFmt numFmtId="1" formatCode="0"/>
    </dxf>
    <dxf>
      <numFmt numFmtId="1" formatCode="0"/>
    </dxf>
    <dxf>
      <numFmt numFmtId="1" formatCode="0"/>
    </dxf>
    <dxf>
      <numFmt numFmtId="33" formatCode="_(* #,##0_);_(* \(#,##0\);_(* &quot;-&quot;_);_(@_)"/>
    </dxf>
    <dxf>
      <numFmt numFmtId="1" formatCode="0"/>
    </dxf>
    <dxf>
      <numFmt numFmtId="1" formatCode="0"/>
    </dxf>
    <dxf>
      <numFmt numFmtId="1" formatCode="0"/>
    </dxf>
    <dxf>
      <numFmt numFmtId="33" formatCode="_(* #,##0_);_(* \(#,##0\);_(* &quot;-&quot;_);_(@_)"/>
    </dxf>
    <dxf>
      <numFmt numFmtId="1" formatCode="0"/>
    </dxf>
    <dxf>
      <numFmt numFmtId="1" formatCode="0"/>
    </dxf>
    <dxf>
      <numFmt numFmtId="1" formatCode="0"/>
    </dxf>
    <dxf>
      <numFmt numFmtId="1" formatCode="0"/>
    </dxf>
    <dxf>
      <numFmt numFmtId="1" formatCode="0"/>
    </dxf>
    <dxf>
      <numFmt numFmtId="33" formatCode="_(* #,##0_);_(* \(#,##0\);_(* &quot;-&quot;_);_(@_)"/>
    </dxf>
    <dxf>
      <numFmt numFmtId="1" formatCode="0"/>
    </dxf>
    <dxf>
      <numFmt numFmtId="1" formatCode="0"/>
    </dxf>
    <dxf>
      <numFmt numFmtId="1" formatCode="0"/>
    </dxf>
    <dxf>
      <numFmt numFmtId="33" formatCode="_(* #,##0_);_(* \(#,##0\);_(* &quot;-&quot;_);_(@_)"/>
    </dxf>
    <dxf>
      <numFmt numFmtId="1" formatCode="0"/>
    </dxf>
    <dxf>
      <numFmt numFmtId="1" formatCode="0"/>
    </dxf>
    <dxf>
      <numFmt numFmtId="1" formatCode="0"/>
    </dxf>
    <dxf>
      <numFmt numFmtId="1" formatCode="0"/>
    </dxf>
    <dxf>
      <numFmt numFmtId="1" formatCode="0"/>
    </dxf>
    <dxf>
      <numFmt numFmtId="33" formatCode="_(* #,##0_);_(* \(#,##0\);_(* &quot;-&quot;_);_(@_)"/>
    </dxf>
    <dxf>
      <numFmt numFmtId="1" formatCode="0"/>
    </dxf>
    <dxf>
      <numFmt numFmtId="1" formatCode="0"/>
    </dxf>
    <dxf>
      <numFmt numFmtId="1" formatCode="0"/>
    </dxf>
    <dxf>
      <numFmt numFmtId="33" formatCode="_(* #,##0_);_(* \(#,##0\);_(* &quot;-&quot;_);_(@_)"/>
    </dxf>
    <dxf>
      <numFmt numFmtId="1" formatCode="0"/>
    </dxf>
    <dxf>
      <numFmt numFmtId="1" formatCode="0"/>
    </dxf>
    <dxf>
      <numFmt numFmtId="1" formatCode="0"/>
    </dxf>
    <dxf>
      <numFmt numFmtId="1" formatCode="0"/>
    </dxf>
    <dxf>
      <numFmt numFmtId="1" formatCode="0"/>
    </dxf>
    <dxf>
      <numFmt numFmtId="33" formatCode="_(* #,##0_);_(* \(#,##0\);_(* &quot;-&quot;_);_(@_)"/>
    </dxf>
    <dxf>
      <numFmt numFmtId="1" formatCode="0"/>
    </dxf>
    <dxf>
      <numFmt numFmtId="1" formatCode="0"/>
    </dxf>
    <dxf>
      <numFmt numFmtId="1" formatCode="0"/>
    </dxf>
    <dxf>
      <numFmt numFmtId="33" formatCode="_(* #,##0_);_(* \(#,##0\);_(* &quot;-&quot;_);_(@_)"/>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65" formatCode="yyyymm"/>
    </dxf>
    <dxf>
      <numFmt numFmtId="19" formatCode="dd/mm/yyyy"/>
    </dxf>
    <dxf>
      <numFmt numFmtId="19" formatCode="dd/mm/yyyy"/>
    </dxf>
    <dxf>
      <numFmt numFmtId="30" formatCode="@"/>
    </dxf>
    <dxf>
      <numFmt numFmtId="19" formatCode="dd/mm/yyyy"/>
    </dxf>
    <dxf>
      <numFmt numFmtId="167" formatCode="dd/mm/yyyy;@"/>
    </dxf>
    <dxf>
      <numFmt numFmtId="33" formatCode="_(* #,##0_);_(* \(#,##0\);_(* &quot;-&quot;_);_(@_)"/>
    </dxf>
    <dxf>
      <numFmt numFmtId="1" formatCode="0"/>
    </dxf>
    <dxf>
      <numFmt numFmtId="1" formatCode="0"/>
    </dxf>
    <dxf>
      <numFmt numFmtId="33" formatCode="_(* #,##0_);_(* \(#,##0\);_(* &quot;-&quot;_);_(@_)"/>
    </dxf>
    <dxf>
      <numFmt numFmtId="1" formatCode="0"/>
    </dxf>
    <dxf>
      <numFmt numFmtId="1" formatCode="0"/>
    </dxf>
    <dxf>
      <numFmt numFmtId="1" formatCode="0"/>
    </dxf>
    <dxf>
      <numFmt numFmtId="1" formatCode="0"/>
    </dxf>
    <dxf>
      <numFmt numFmtId="33" formatCode="_(* #,##0_);_(* \(#,##0\);_(* &quot;-&quot;_);_(@_)"/>
    </dxf>
    <dxf>
      <numFmt numFmtId="1" formatCode="0"/>
    </dxf>
    <dxf>
      <numFmt numFmtId="1" formatCode="0"/>
    </dxf>
    <dxf>
      <font>
        <b val="0"/>
        <i val="0"/>
        <strike val="0"/>
        <condense val="0"/>
        <extend val="0"/>
        <outline val="0"/>
        <shadow val="0"/>
        <u val="none"/>
        <vertAlign val="baseline"/>
        <sz val="12"/>
        <color theme="1"/>
        <name val="Aptos Narrow"/>
        <family val="2"/>
        <scheme val="minor"/>
      </font>
    </dxf>
    <dxf>
      <alignment horizontal="left" vertical="bottom" textRotation="0" wrapText="0" indent="0" justifyLastLine="0" shrinkToFit="0" readingOrder="0"/>
    </dxf>
    <dxf>
      <numFmt numFmtId="0" formatCode="General"/>
    </dxf>
    <dxf>
      <numFmt numFmtId="19" formatCode="dd/mm/yyyy"/>
    </dxf>
    <dxf>
      <numFmt numFmtId="19" formatCode="dd/mm/yyyy"/>
    </dxf>
    <dxf>
      <numFmt numFmtId="19" formatCode="dd/mm/yyyy"/>
    </dxf>
    <dxf>
      <numFmt numFmtId="165" formatCode="yyyym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30" formatCode="@"/>
    </dxf>
    <dxf>
      <numFmt numFmtId="0" formatCode="General"/>
    </dxf>
    <dxf>
      <numFmt numFmtId="19" formatCode="dd/mm/yyyy"/>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30" formatCode="@"/>
    </dxf>
    <dxf>
      <fill>
        <patternFill>
          <bgColor rgb="FFEFDEB6"/>
        </patternFill>
      </fill>
    </dxf>
    <dxf>
      <fill>
        <patternFill patternType="none">
          <bgColor auto="1"/>
        </patternFill>
      </fill>
      <border diagonalUp="0" diagonalDown="0">
        <left/>
        <right/>
        <top/>
        <bottom/>
        <vertical/>
        <horizontal/>
      </border>
    </dxf>
    <dxf>
      <font>
        <b/>
        <i val="0"/>
        <color theme="0" tint="-0.499984740745262"/>
      </font>
      <fill>
        <patternFill>
          <bgColor rgb="FFEFDEB6"/>
        </patternFill>
      </fill>
      <border>
        <top style="thin">
          <color theme="4"/>
        </top>
        <bottom style="thin">
          <color theme="4"/>
        </bottom>
        <vertical/>
        <horizontal/>
      </border>
    </dxf>
    <dxf>
      <font>
        <b val="0"/>
        <i val="0"/>
        <color theme="1"/>
      </font>
      <fill>
        <patternFill patternType="none">
          <fgColor auto="1"/>
          <bgColor auto="1"/>
        </patternFill>
      </fill>
      <border diagonalUp="0" diagonalDown="0">
        <left/>
        <right/>
        <top/>
        <bottom/>
        <vertical/>
        <horizontal/>
      </border>
    </dxf>
  </dxfs>
  <tableStyles count="1" defaultTableStyle="TableStyleMedium2" defaultPivotStyle="PivotStyleLight16">
    <tableStyle name="1" pivot="0" table="0" count="12" xr9:uid="{3867BD8F-4B7B-934A-9036-CD5252F8C50C}">
      <tableStyleElement type="wholeTable" dxfId="177"/>
      <tableStyleElement type="headerRow" dxfId="176"/>
      <tableStyleElement type="firstColumnStripe" dxfId="175"/>
      <tableStyleElement type="firstHeaderCell" dxfId="174"/>
    </tableStyle>
  </tableStyles>
  <colors>
    <mruColors>
      <color rgb="FFF5BEC9"/>
      <color rgb="FFEFDEB6"/>
      <color rgb="FFDABD63"/>
      <color rgb="FFE9AF00"/>
      <color rgb="FFDDA9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 client data.xlsx]Pivot Tables!Monthly referrals</c:name>
    <c:fmtId val="5"/>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rgbClr val="00B0F0"/>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670570288303003E-2"/>
          <c:y val="3.2693569553805778E-2"/>
          <c:w val="0.93640522674391746"/>
          <c:h val="0.85945959880014999"/>
        </c:manualLayout>
      </c:layout>
      <c:lineChart>
        <c:grouping val="standard"/>
        <c:varyColors val="0"/>
        <c:ser>
          <c:idx val="0"/>
          <c:order val="0"/>
          <c:tx>
            <c:strRef>
              <c:f>'Pivot Tables'!$J$4</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Tables'!$I$5:$I$17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Tables'!$J$5:$J$17</c:f>
              <c:numCache>
                <c:formatCode>General</c:formatCode>
                <c:ptCount val="12"/>
                <c:pt idx="0">
                  <c:v>25</c:v>
                </c:pt>
                <c:pt idx="1">
                  <c:v>20</c:v>
                </c:pt>
                <c:pt idx="2">
                  <c:v>16</c:v>
                </c:pt>
                <c:pt idx="3">
                  <c:v>19</c:v>
                </c:pt>
                <c:pt idx="4">
                  <c:v>18</c:v>
                </c:pt>
                <c:pt idx="5">
                  <c:v>16</c:v>
                </c:pt>
                <c:pt idx="6">
                  <c:v>16</c:v>
                </c:pt>
                <c:pt idx="7">
                  <c:v>16</c:v>
                </c:pt>
                <c:pt idx="8">
                  <c:v>10</c:v>
                </c:pt>
                <c:pt idx="9">
                  <c:v>20</c:v>
                </c:pt>
                <c:pt idx="10">
                  <c:v>15</c:v>
                </c:pt>
                <c:pt idx="11">
                  <c:v>19</c:v>
                </c:pt>
              </c:numCache>
            </c:numRef>
          </c:val>
          <c:smooth val="0"/>
          <c:extLst>
            <c:ext xmlns:c16="http://schemas.microsoft.com/office/drawing/2014/chart" uri="{C3380CC4-5D6E-409C-BE32-E72D297353CC}">
              <c16:uniqueId val="{00000000-5CD0-DF47-B5FE-94D5EC4CC20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27791136"/>
        <c:axId val="927929424"/>
      </c:lineChart>
      <c:catAx>
        <c:axId val="92779113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27929424"/>
        <c:crosses val="autoZero"/>
        <c:auto val="1"/>
        <c:lblAlgn val="ctr"/>
        <c:lblOffset val="100"/>
        <c:noMultiLvlLbl val="0"/>
      </c:catAx>
      <c:valAx>
        <c:axId val="927929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2779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 client data.xlsx]Pivot Tables!PivotTable3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Tables'!$Y$4</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Tables'!$X$5:$X$11</c:f>
              <c:strCache>
                <c:ptCount val="6"/>
                <c:pt idx="0">
                  <c:v>Mr Johnson</c:v>
                </c:pt>
                <c:pt idx="1">
                  <c:v>Mr Smith</c:v>
                </c:pt>
                <c:pt idx="2">
                  <c:v>Ms Brown</c:v>
                </c:pt>
                <c:pt idx="3">
                  <c:v>Ms Hughes</c:v>
                </c:pt>
                <c:pt idx="4">
                  <c:v>Ms Patel</c:v>
                </c:pt>
                <c:pt idx="5">
                  <c:v>Unallocated</c:v>
                </c:pt>
              </c:strCache>
            </c:strRef>
          </c:cat>
          <c:val>
            <c:numRef>
              <c:f>'Pivot Tables'!$Y$5:$Y$11</c:f>
              <c:numCache>
                <c:formatCode>General</c:formatCode>
                <c:ptCount val="6"/>
                <c:pt idx="0">
                  <c:v>42</c:v>
                </c:pt>
                <c:pt idx="1">
                  <c:v>37</c:v>
                </c:pt>
                <c:pt idx="2">
                  <c:v>46</c:v>
                </c:pt>
                <c:pt idx="3">
                  <c:v>35</c:v>
                </c:pt>
                <c:pt idx="4">
                  <c:v>34</c:v>
                </c:pt>
                <c:pt idx="5">
                  <c:v>16</c:v>
                </c:pt>
              </c:numCache>
            </c:numRef>
          </c:val>
          <c:extLst>
            <c:ext xmlns:c16="http://schemas.microsoft.com/office/drawing/2014/chart" uri="{C3380CC4-5D6E-409C-BE32-E72D297353CC}">
              <c16:uniqueId val="{00000000-7E7B-3E4C-AE6B-EF3A046FA3FE}"/>
            </c:ext>
          </c:extLst>
        </c:ser>
        <c:dLbls>
          <c:showLegendKey val="0"/>
          <c:showVal val="1"/>
          <c:showCatName val="0"/>
          <c:showSerName val="0"/>
          <c:showPercent val="0"/>
          <c:showBubbleSize val="0"/>
        </c:dLbls>
        <c:gapWidth val="95"/>
        <c:overlap val="100"/>
        <c:axId val="1004791424"/>
        <c:axId val="689120448"/>
      </c:barChart>
      <c:catAx>
        <c:axId val="100479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689120448"/>
        <c:crosses val="autoZero"/>
        <c:auto val="1"/>
        <c:lblAlgn val="ctr"/>
        <c:lblOffset val="100"/>
        <c:noMultiLvlLbl val="0"/>
      </c:catAx>
      <c:valAx>
        <c:axId val="689120448"/>
        <c:scaling>
          <c:orientation val="minMax"/>
        </c:scaling>
        <c:delete val="1"/>
        <c:axPos val="l"/>
        <c:numFmt formatCode="General" sourceLinked="1"/>
        <c:majorTickMark val="none"/>
        <c:minorTickMark val="none"/>
        <c:tickLblPos val="nextTo"/>
        <c:crossAx val="100479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[Synthetic client data.xlsx]Pivot Tables!Referring Org</c:name>
    <c:fmtId val="18"/>
  </c:pivotSource>
  <c:chart>
    <c:autoTitleDeleted val="1"/>
    <c:pivotFmts>
      <c:pivotFmt>
        <c:idx val="0"/>
        <c:spPr>
          <a:solidFill>
            <a:schemeClr val="accent2"/>
          </a:solidFill>
          <a:ln>
            <a:noFill/>
          </a:ln>
          <a:effectLst>
            <a:outerShdw blurRad="317500" algn="ctr" rotWithShape="0">
              <a:prstClr val="black">
                <a:alpha val="25000"/>
              </a:prstClr>
            </a:outerShdw>
          </a:effectLst>
        </c:spPr>
        <c:marker>
          <c:symbol val="circle"/>
          <c:size val="6"/>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hade val="50000"/>
            </a:schemeClr>
          </a:solidFill>
          <a:ln>
            <a:noFill/>
          </a:ln>
          <a:effectLst>
            <a:outerShdw blurRad="317500" algn="ctr" rotWithShape="0">
              <a:prstClr val="black">
                <a:alpha val="25000"/>
              </a:prstClr>
            </a:outerShdw>
          </a:effectLst>
        </c:spPr>
      </c:pivotFmt>
      <c:pivotFmt>
        <c:idx val="3"/>
        <c:spPr>
          <a:solidFill>
            <a:schemeClr val="accent2">
              <a:shade val="70000"/>
            </a:schemeClr>
          </a:solidFill>
          <a:ln>
            <a:noFill/>
          </a:ln>
          <a:effectLst>
            <a:outerShdw blurRad="317500" algn="ctr" rotWithShape="0">
              <a:prstClr val="black">
                <a:alpha val="25000"/>
              </a:prstClr>
            </a:outerShdw>
          </a:effectLst>
        </c:spPr>
      </c:pivotFmt>
      <c:pivotFmt>
        <c:idx val="4"/>
        <c:spPr>
          <a:solidFill>
            <a:schemeClr val="accent2">
              <a:shade val="90000"/>
            </a:schemeClr>
          </a:solidFill>
          <a:ln>
            <a:noFill/>
          </a:ln>
          <a:effectLst>
            <a:outerShdw blurRad="317500" algn="ctr" rotWithShape="0">
              <a:prstClr val="black">
                <a:alpha val="25000"/>
              </a:prstClr>
            </a:outerShdw>
          </a:effectLst>
        </c:spPr>
      </c:pivotFmt>
      <c:pivotFmt>
        <c:idx val="5"/>
        <c:spPr>
          <a:solidFill>
            <a:schemeClr val="accent2"/>
          </a:solidFill>
          <a:ln>
            <a:noFill/>
          </a:ln>
          <a:effectLst>
            <a:outerShdw blurRad="317500" algn="ctr" rotWithShape="0">
              <a:prstClr val="black">
                <a:alpha val="25000"/>
              </a:prstClr>
            </a:outerShdw>
          </a:effectLst>
        </c:spPr>
      </c:pivotFmt>
      <c:pivotFmt>
        <c:idx val="6"/>
        <c:spPr>
          <a:solidFill>
            <a:schemeClr val="accent2">
              <a:tint val="70000"/>
            </a:schemeClr>
          </a:solidFill>
          <a:ln>
            <a:noFill/>
          </a:ln>
          <a:effectLst>
            <a:outerShdw blurRad="317500" algn="ctr" rotWithShape="0">
              <a:prstClr val="black">
                <a:alpha val="25000"/>
              </a:prstClr>
            </a:outerShdw>
          </a:effectLst>
        </c:spPr>
      </c:pivotFmt>
      <c:pivotFmt>
        <c:idx val="7"/>
        <c:spPr>
          <a:solidFill>
            <a:schemeClr val="accent2"/>
          </a:solidFill>
          <a:ln>
            <a:noFill/>
          </a:ln>
          <a:effectLst>
            <a:outerShdw blurRad="317500" algn="ctr" rotWithShape="0">
              <a:prstClr val="black">
                <a:alpha val="25000"/>
              </a:prstClr>
            </a:outerShdw>
          </a:effectLst>
        </c:spPr>
      </c:pivotFmt>
      <c:pivotFmt>
        <c:idx val="8"/>
        <c:spPr>
          <a:solidFill>
            <a:schemeClr val="accent2"/>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hade val="50000"/>
            </a:schemeClr>
          </a:solidFill>
          <a:ln>
            <a:noFill/>
          </a:ln>
          <a:effectLst>
            <a:outerShdw blurRad="317500" algn="ctr" rotWithShape="0">
              <a:prstClr val="black">
                <a:alpha val="25000"/>
              </a:prstClr>
            </a:outerShdw>
          </a:effectLst>
        </c:spPr>
      </c:pivotFmt>
      <c:pivotFmt>
        <c:idx val="10"/>
        <c:spPr>
          <a:solidFill>
            <a:schemeClr val="accent2">
              <a:shade val="70000"/>
            </a:schemeClr>
          </a:solidFill>
          <a:ln>
            <a:noFill/>
          </a:ln>
          <a:effectLst>
            <a:outerShdw blurRad="317500" algn="ctr" rotWithShape="0">
              <a:prstClr val="black">
                <a:alpha val="25000"/>
              </a:prstClr>
            </a:outerShdw>
          </a:effectLst>
        </c:spPr>
        <c:dLbl>
          <c:idx val="0"/>
          <c:layout>
            <c:manualLayout>
              <c:x val="7.5989202651475102E-3"/>
              <c:y val="5.2238428647368058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shade val="90000"/>
            </a:schemeClr>
          </a:solidFill>
          <a:ln>
            <a:noFill/>
          </a:ln>
          <a:effectLst>
            <a:outerShdw blurRad="317500" algn="ctr" rotWithShape="0">
              <a:prstClr val="black">
                <a:alpha val="25000"/>
              </a:prstClr>
            </a:outerShdw>
          </a:effectLst>
        </c:spPr>
      </c:pivotFmt>
      <c:pivotFmt>
        <c:idx val="12"/>
        <c:spPr>
          <a:solidFill>
            <a:schemeClr val="accent2"/>
          </a:solidFill>
          <a:ln>
            <a:noFill/>
          </a:ln>
          <a:effectLst>
            <a:outerShdw blurRad="317500" algn="ctr" rotWithShape="0">
              <a:prstClr val="black">
                <a:alpha val="25000"/>
              </a:prstClr>
            </a:outerShdw>
          </a:effectLst>
        </c:spPr>
      </c:pivotFmt>
      <c:pivotFmt>
        <c:idx val="13"/>
        <c:spPr>
          <a:solidFill>
            <a:schemeClr val="accent2">
              <a:tint val="70000"/>
            </a:schemeClr>
          </a:solidFill>
          <a:ln>
            <a:noFill/>
          </a:ln>
          <a:effectLst>
            <a:outerShdw blurRad="317500" algn="ctr" rotWithShape="0">
              <a:prstClr val="black">
                <a:alpha val="25000"/>
              </a:prstClr>
            </a:outerShdw>
          </a:effectLst>
        </c:spPr>
      </c:pivotFmt>
      <c:pivotFmt>
        <c:idx val="14"/>
        <c:spPr>
          <a:solidFill>
            <a:schemeClr val="accent2"/>
          </a:solidFill>
          <a:ln>
            <a:noFill/>
          </a:ln>
          <a:effectLst>
            <a:outerShdw blurRad="317500" algn="ctr" rotWithShape="0">
              <a:prstClr val="black">
                <a:alpha val="25000"/>
              </a:prstClr>
            </a:outerShdw>
          </a:effectLst>
        </c:spPr>
      </c:pivotFmt>
    </c:pivotFmts>
    <c:plotArea>
      <c:layout/>
      <c:doughnutChart>
        <c:varyColors val="1"/>
        <c:ser>
          <c:idx val="0"/>
          <c:order val="0"/>
          <c:tx>
            <c:strRef>
              <c:f>'Pivot Tables'!$J$20</c:f>
              <c:strCache>
                <c:ptCount val="1"/>
                <c:pt idx="0">
                  <c:v>Total</c:v>
                </c:pt>
              </c:strCache>
            </c:strRef>
          </c:tx>
          <c:dPt>
            <c:idx val="0"/>
            <c:bubble3D val="0"/>
            <c:spPr>
              <a:solidFill>
                <a:schemeClr val="accent2">
                  <a:shade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574-4C4F-AB46-DBCA033288DC}"/>
              </c:ext>
            </c:extLst>
          </c:dPt>
          <c:dPt>
            <c:idx val="1"/>
            <c:bubble3D val="0"/>
            <c:spPr>
              <a:solidFill>
                <a:schemeClr val="accent2">
                  <a:shade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574-4C4F-AB46-DBCA033288DC}"/>
              </c:ext>
            </c:extLst>
          </c:dPt>
          <c:dPt>
            <c:idx val="2"/>
            <c:bubble3D val="0"/>
            <c:spPr>
              <a:solidFill>
                <a:schemeClr val="accent2">
                  <a:shade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574-4C4F-AB46-DBCA033288DC}"/>
              </c:ext>
            </c:extLst>
          </c:dPt>
          <c:dPt>
            <c:idx val="3"/>
            <c:bubble3D val="0"/>
            <c:spPr>
              <a:solidFill>
                <a:schemeClr val="accent2">
                  <a:tint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A574-4C4F-AB46-DBCA033288DC}"/>
              </c:ext>
            </c:extLst>
          </c:dPt>
          <c:dPt>
            <c:idx val="4"/>
            <c:bubble3D val="0"/>
            <c:spPr>
              <a:solidFill>
                <a:schemeClr val="accent2">
                  <a:tint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A574-4C4F-AB46-DBCA033288DC}"/>
              </c:ext>
            </c:extLst>
          </c:dPt>
          <c:dPt>
            <c:idx val="5"/>
            <c:bubble3D val="0"/>
            <c:spPr>
              <a:solidFill>
                <a:schemeClr val="accent2">
                  <a:tint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A574-4C4F-AB46-DBCA033288DC}"/>
              </c:ext>
            </c:extLst>
          </c:dPt>
          <c:dLbls>
            <c:dLbl>
              <c:idx val="1"/>
              <c:layout>
                <c:manualLayout>
                  <c:x val="7.5989202651475102E-3"/>
                  <c:y val="5.223842864736805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574-4C4F-AB46-DBCA033288DC}"/>
                </c:ext>
              </c:extLst>
            </c:dLbl>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Tables'!$I$21:$I$27</c:f>
              <c:strCache>
                <c:ptCount val="6"/>
                <c:pt idx="0">
                  <c:v>Family/Friend</c:v>
                </c:pt>
                <c:pt idx="1">
                  <c:v>Hope Outreach</c:v>
                </c:pt>
                <c:pt idx="2">
                  <c:v>London Counselling Hub</c:v>
                </c:pt>
                <c:pt idx="3">
                  <c:v>Other</c:v>
                </c:pt>
                <c:pt idx="4">
                  <c:v>Self Referred</c:v>
                </c:pt>
                <c:pt idx="5">
                  <c:v>Southside Care</c:v>
                </c:pt>
              </c:strCache>
            </c:strRef>
          </c:cat>
          <c:val>
            <c:numRef>
              <c:f>'Pivot Tables'!$J$21:$J$27</c:f>
              <c:numCache>
                <c:formatCode>General</c:formatCode>
                <c:ptCount val="6"/>
                <c:pt idx="0">
                  <c:v>24</c:v>
                </c:pt>
                <c:pt idx="1">
                  <c:v>7</c:v>
                </c:pt>
                <c:pt idx="2">
                  <c:v>67</c:v>
                </c:pt>
                <c:pt idx="3">
                  <c:v>1</c:v>
                </c:pt>
                <c:pt idx="4">
                  <c:v>49</c:v>
                </c:pt>
                <c:pt idx="5">
                  <c:v>62</c:v>
                </c:pt>
              </c:numCache>
            </c:numRef>
          </c:val>
          <c:extLst>
            <c:ext xmlns:c16="http://schemas.microsoft.com/office/drawing/2014/chart" uri="{C3380CC4-5D6E-409C-BE32-E72D297353CC}">
              <c16:uniqueId val="{0000000C-A574-4C4F-AB46-DBCA033288DC}"/>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r"/>
      <c:layout>
        <c:manualLayout>
          <c:xMode val="edge"/>
          <c:yMode val="edge"/>
          <c:x val="0.69896202974628163"/>
          <c:y val="0.19915624864518419"/>
          <c:w val="0.2343713035870516"/>
          <c:h val="0.57898246572232182"/>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4202198162729659"/>
          <c:y val="3.7037037037037035E-2"/>
          <c:w val="0.52193985126859144"/>
          <c:h val="0.84204505686789155"/>
        </c:manualLayout>
      </c:layout>
      <c:barChart>
        <c:barDir val="bar"/>
        <c:grouping val="clustered"/>
        <c:varyColors val="0"/>
        <c:ser>
          <c:idx val="0"/>
          <c:order val="0"/>
          <c:tx>
            <c:strRef>
              <c:f>'Pivot Tables'!$B$34</c:f>
              <c:strCache>
                <c:ptCount val="1"/>
                <c:pt idx="0">
                  <c:v>Percentage</c:v>
                </c:pt>
              </c:strCache>
            </c:strRef>
          </c:tx>
          <c:spPr>
            <a:gradFill flip="none" rotWithShape="1">
              <a:gsLst>
                <a:gs pos="0">
                  <a:schemeClr val="accent4">
                    <a:shade val="76000"/>
                  </a:schemeClr>
                </a:gs>
                <a:gs pos="75000">
                  <a:schemeClr val="accent4">
                    <a:shade val="76000"/>
                    <a:lumMod val="60000"/>
                    <a:lumOff val="40000"/>
                  </a:schemeClr>
                </a:gs>
                <a:gs pos="51000">
                  <a:schemeClr val="accent4">
                    <a:shade val="76000"/>
                    <a:alpha val="75000"/>
                  </a:schemeClr>
                </a:gs>
                <a:gs pos="100000">
                  <a:schemeClr val="accent4">
                    <a:shade val="76000"/>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Tables'!$A$35:$A$40</c:f>
              <c:strCache>
                <c:ptCount val="6"/>
                <c:pt idx="0">
                  <c:v>Allocated(active)</c:v>
                </c:pt>
                <c:pt idx="1">
                  <c:v>Assessed (awaiting allocation)</c:v>
                </c:pt>
                <c:pt idx="2">
                  <c:v>Completed</c:v>
                </c:pt>
                <c:pt idx="3">
                  <c:v>Not Suitable</c:v>
                </c:pt>
                <c:pt idx="4">
                  <c:v>Referred (waiting)</c:v>
                </c:pt>
                <c:pt idx="5">
                  <c:v>Withdrawn</c:v>
                </c:pt>
              </c:strCache>
            </c:strRef>
          </c:cat>
          <c:val>
            <c:numRef>
              <c:f>'Pivot Tables'!$B$35:$B$40</c:f>
              <c:numCache>
                <c:formatCode>0%</c:formatCode>
                <c:ptCount val="6"/>
                <c:pt idx="0">
                  <c:v>1.9047619047619049E-2</c:v>
                </c:pt>
                <c:pt idx="1">
                  <c:v>2.3809523809523808E-2</c:v>
                </c:pt>
                <c:pt idx="2">
                  <c:v>0.87619047619047619</c:v>
                </c:pt>
                <c:pt idx="3">
                  <c:v>1.9047619047619049E-2</c:v>
                </c:pt>
                <c:pt idx="4">
                  <c:v>3.3333333333333333E-2</c:v>
                </c:pt>
                <c:pt idx="5">
                  <c:v>2.8571428571428571E-2</c:v>
                </c:pt>
              </c:numCache>
            </c:numRef>
          </c:val>
          <c:extLst>
            <c:ext xmlns:c16="http://schemas.microsoft.com/office/drawing/2014/chart" uri="{C3380CC4-5D6E-409C-BE32-E72D297353CC}">
              <c16:uniqueId val="{00000000-F7EF-A248-B6A1-B19293E1E280}"/>
            </c:ext>
          </c:extLst>
        </c:ser>
        <c:ser>
          <c:idx val="1"/>
          <c:order val="1"/>
          <c:tx>
            <c:strRef>
              <c:f>'Pivot Tables'!$C$34</c:f>
              <c:strCache>
                <c:ptCount val="1"/>
                <c:pt idx="0">
                  <c:v>Column1</c:v>
                </c:pt>
              </c:strCache>
            </c:strRef>
          </c:tx>
          <c:spPr>
            <a:gradFill flip="none" rotWithShape="1">
              <a:gsLst>
                <a:gs pos="0">
                  <a:schemeClr val="accent4">
                    <a:tint val="77000"/>
                  </a:schemeClr>
                </a:gs>
                <a:gs pos="75000">
                  <a:schemeClr val="accent4">
                    <a:tint val="77000"/>
                    <a:lumMod val="60000"/>
                    <a:lumOff val="40000"/>
                  </a:schemeClr>
                </a:gs>
                <a:gs pos="51000">
                  <a:schemeClr val="accent4">
                    <a:tint val="77000"/>
                    <a:alpha val="75000"/>
                  </a:schemeClr>
                </a:gs>
                <a:gs pos="100000">
                  <a:schemeClr val="accent4">
                    <a:tint val="77000"/>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Tables'!$A$35:$A$40</c:f>
              <c:strCache>
                <c:ptCount val="6"/>
                <c:pt idx="0">
                  <c:v>Allocated(active)</c:v>
                </c:pt>
                <c:pt idx="1">
                  <c:v>Assessed (awaiting allocation)</c:v>
                </c:pt>
                <c:pt idx="2">
                  <c:v>Completed</c:v>
                </c:pt>
                <c:pt idx="3">
                  <c:v>Not Suitable</c:v>
                </c:pt>
                <c:pt idx="4">
                  <c:v>Referred (waiting)</c:v>
                </c:pt>
                <c:pt idx="5">
                  <c:v>Withdrawn</c:v>
                </c:pt>
              </c:strCache>
            </c:strRef>
          </c:cat>
          <c:val>
            <c:numRef>
              <c:f>'Pivot Tables'!$C$35:$C$40</c:f>
              <c:numCache>
                <c:formatCode>General</c:formatCode>
                <c:ptCount val="6"/>
                <c:pt idx="0">
                  <c:v>4</c:v>
                </c:pt>
                <c:pt idx="1">
                  <c:v>5</c:v>
                </c:pt>
                <c:pt idx="2">
                  <c:v>184</c:v>
                </c:pt>
                <c:pt idx="3">
                  <c:v>4</c:v>
                </c:pt>
                <c:pt idx="4">
                  <c:v>7</c:v>
                </c:pt>
                <c:pt idx="5">
                  <c:v>6</c:v>
                </c:pt>
              </c:numCache>
            </c:numRef>
          </c:val>
          <c:extLst>
            <c:ext xmlns:c16="http://schemas.microsoft.com/office/drawing/2014/chart" uri="{C3380CC4-5D6E-409C-BE32-E72D297353CC}">
              <c16:uniqueId val="{00000001-F7EF-A248-B6A1-B19293E1E280}"/>
            </c:ext>
          </c:extLst>
        </c:ser>
        <c:dLbls>
          <c:dLblPos val="outEnd"/>
          <c:showLegendKey val="0"/>
          <c:showVal val="1"/>
          <c:showCatName val="0"/>
          <c:showSerName val="0"/>
          <c:showPercent val="0"/>
          <c:showBubbleSize val="0"/>
        </c:dLbls>
        <c:gapWidth val="326"/>
        <c:overlap val="-58"/>
        <c:axId val="1887206351"/>
        <c:axId val="1886811455"/>
      </c:barChart>
      <c:catAx>
        <c:axId val="188720635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American Typewriter" panose="02090604020004020304" pitchFamily="18" charset="77"/>
                <a:ea typeface="+mn-ea"/>
                <a:cs typeface="+mn-cs"/>
              </a:defRPr>
            </a:pPr>
            <a:endParaRPr lang="en-US"/>
          </a:p>
        </c:txPr>
        <c:crossAx val="1886811455"/>
        <c:crosses val="autoZero"/>
        <c:auto val="1"/>
        <c:lblAlgn val="ctr"/>
        <c:lblOffset val="100"/>
        <c:noMultiLvlLbl val="0"/>
      </c:catAx>
      <c:valAx>
        <c:axId val="1886811455"/>
        <c:scaling>
          <c:orientation val="minMax"/>
        </c:scaling>
        <c:delete val="1"/>
        <c:axPos val="b"/>
        <c:numFmt formatCode="0%" sourceLinked="1"/>
        <c:majorTickMark val="none"/>
        <c:minorTickMark val="none"/>
        <c:tickLblPos val="nextTo"/>
        <c:crossAx val="188720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 client data.xlsx]Pivot Tables!Client Age Group</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40000"/>
              <a:lumOff val="60000"/>
            </a:schemeClr>
          </a:solidFill>
          <a:ln>
            <a:noFill/>
          </a:ln>
          <a:effectLst/>
        </c:spPr>
      </c:pivotFmt>
      <c:pivotFmt>
        <c:idx val="4"/>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2">
              <a:lumMod val="10000"/>
              <a:lumOff val="90000"/>
            </a:schemeClr>
          </a:solidFill>
          <a:ln>
            <a:noFill/>
          </a:ln>
          <a:effectLst/>
        </c:spPr>
      </c:pivotFmt>
      <c:pivotFmt>
        <c:idx val="8"/>
        <c:spPr>
          <a:solidFill>
            <a:schemeClr val="tx2">
              <a:lumMod val="25000"/>
              <a:lumOff val="75000"/>
            </a:schemeClr>
          </a:solidFill>
          <a:ln>
            <a:noFill/>
          </a:ln>
          <a:effectLst/>
        </c:spPr>
      </c:pivotFmt>
      <c:pivotFmt>
        <c:idx val="9"/>
        <c:spPr>
          <a:solidFill>
            <a:schemeClr val="tx2">
              <a:lumMod val="50000"/>
              <a:lumOff val="50000"/>
            </a:schemeClr>
          </a:solidFill>
          <a:ln>
            <a:noFill/>
          </a:ln>
          <a:effectLst/>
        </c:spPr>
      </c:pivotFmt>
      <c:pivotFmt>
        <c:idx val="10"/>
        <c:spPr>
          <a:solidFill>
            <a:schemeClr val="tx2">
              <a:lumMod val="75000"/>
              <a:lumOff val="25000"/>
            </a:schemeClr>
          </a:solidFill>
          <a:ln>
            <a:noFill/>
          </a:ln>
          <a:effectLst/>
        </c:spPr>
      </c:pivotFmt>
      <c:pivotFmt>
        <c:idx val="11"/>
        <c:spPr>
          <a:solidFill>
            <a:schemeClr val="tx2">
              <a:lumMod val="75000"/>
              <a:lumOff val="25000"/>
            </a:schemeClr>
          </a:solidFill>
          <a:ln>
            <a:noFill/>
          </a:ln>
          <a:effectLst/>
        </c:spPr>
      </c:pivotFmt>
      <c:pivotFmt>
        <c:idx val="12"/>
        <c:spPr>
          <a:solidFill>
            <a:schemeClr val="tx2">
              <a:lumMod val="90000"/>
              <a:lumOff val="10000"/>
            </a:schemeClr>
          </a:solidFill>
          <a:ln>
            <a:noFill/>
          </a:ln>
          <a:effectLst/>
        </c:spPr>
      </c:pivotFmt>
    </c:pivotFmts>
    <c:plotArea>
      <c:layout>
        <c:manualLayout>
          <c:layoutTarget val="inner"/>
          <c:xMode val="edge"/>
          <c:yMode val="edge"/>
          <c:x val="9.7861799108434025E-2"/>
          <c:y val="0.14161530024697488"/>
          <c:w val="0.90213820089156604"/>
          <c:h val="0.725750662269945"/>
        </c:manualLayout>
      </c:layout>
      <c:barChart>
        <c:barDir val="col"/>
        <c:grouping val="clustered"/>
        <c:varyColors val="0"/>
        <c:ser>
          <c:idx val="0"/>
          <c:order val="0"/>
          <c:tx>
            <c:strRef>
              <c:f>'Pivot Tables'!$F$10</c:f>
              <c:strCache>
                <c:ptCount val="1"/>
                <c:pt idx="0">
                  <c:v>Total</c:v>
                </c:pt>
              </c:strCache>
            </c:strRef>
          </c:tx>
          <c:spPr>
            <a:solidFill>
              <a:schemeClr val="accent4">
                <a:lumMod val="40000"/>
                <a:lumOff val="60000"/>
              </a:schemeClr>
            </a:solidFill>
            <a:ln>
              <a:noFill/>
            </a:ln>
            <a:effectLst/>
          </c:spPr>
          <c:invertIfNegative val="0"/>
          <c:dPt>
            <c:idx val="0"/>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2-D795-E440-AD71-EFAC2E5F1216}"/>
              </c:ext>
            </c:extLst>
          </c:dPt>
          <c:dPt>
            <c:idx val="1"/>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3-D795-E440-AD71-EFAC2E5F1216}"/>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4-D795-E440-AD71-EFAC2E5F1216}"/>
              </c:ext>
            </c:extLst>
          </c:dPt>
          <c:dPt>
            <c:idx val="3"/>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5-D795-E440-AD71-EFAC2E5F1216}"/>
              </c:ext>
            </c:extLst>
          </c:dPt>
          <c:dPt>
            <c:idx val="4"/>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6-D795-E440-AD71-EFAC2E5F1216}"/>
              </c:ext>
            </c:extLst>
          </c:dPt>
          <c:dPt>
            <c:idx val="5"/>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7-D795-E440-AD71-EFAC2E5F1216}"/>
              </c:ext>
            </c:extLst>
          </c:dPt>
          <c:cat>
            <c:strRef>
              <c:f>'Pivot Tables'!$E$11:$E$17</c:f>
              <c:strCache>
                <c:ptCount val="6"/>
                <c:pt idx="0">
                  <c:v>18–24</c:v>
                </c:pt>
                <c:pt idx="1">
                  <c:v>25–34</c:v>
                </c:pt>
                <c:pt idx="2">
                  <c:v>35–44</c:v>
                </c:pt>
                <c:pt idx="3">
                  <c:v>45–54</c:v>
                </c:pt>
                <c:pt idx="4">
                  <c:v>55–64</c:v>
                </c:pt>
                <c:pt idx="5">
                  <c:v>65+</c:v>
                </c:pt>
              </c:strCache>
            </c:strRef>
          </c:cat>
          <c:val>
            <c:numRef>
              <c:f>'Pivot Tables'!$F$11:$F$17</c:f>
              <c:numCache>
                <c:formatCode>General</c:formatCode>
                <c:ptCount val="6"/>
                <c:pt idx="0">
                  <c:v>21</c:v>
                </c:pt>
                <c:pt idx="1">
                  <c:v>47</c:v>
                </c:pt>
                <c:pt idx="2">
                  <c:v>47</c:v>
                </c:pt>
                <c:pt idx="3">
                  <c:v>45</c:v>
                </c:pt>
                <c:pt idx="4">
                  <c:v>38</c:v>
                </c:pt>
                <c:pt idx="5">
                  <c:v>12</c:v>
                </c:pt>
              </c:numCache>
            </c:numRef>
          </c:val>
          <c:extLst>
            <c:ext xmlns:c16="http://schemas.microsoft.com/office/drawing/2014/chart" uri="{C3380CC4-5D6E-409C-BE32-E72D297353CC}">
              <c16:uniqueId val="{00000000-36E2-6445-A3E5-7A1CD72FB781}"/>
            </c:ext>
          </c:extLst>
        </c:ser>
        <c:dLbls>
          <c:showLegendKey val="0"/>
          <c:showVal val="0"/>
          <c:showCatName val="0"/>
          <c:showSerName val="0"/>
          <c:showPercent val="0"/>
          <c:showBubbleSize val="0"/>
        </c:dLbls>
        <c:gapWidth val="219"/>
        <c:overlap val="-27"/>
        <c:axId val="263890208"/>
        <c:axId val="873193616"/>
      </c:barChart>
      <c:catAx>
        <c:axId val="26389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193616"/>
        <c:crosses val="autoZero"/>
        <c:auto val="1"/>
        <c:lblAlgn val="ctr"/>
        <c:lblOffset val="100"/>
        <c:noMultiLvlLbl val="0"/>
      </c:catAx>
      <c:valAx>
        <c:axId val="87319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89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[Synthetic client data.xlsx]Pivot Tables!Client Age Group</c:name>
    <c:fmtId val="21"/>
  </c:pivotSource>
  <c:chart>
    <c:autoTitleDeleted val="1"/>
    <c:pivotFmts>
      <c:pivotFmt>
        <c:idx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marker>
          <c:symbol val="circle"/>
          <c:size val="6"/>
        </c:marker>
        <c:dLbl>
          <c:idx val="0"/>
          <c:spPr>
            <a:no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4">
              <a:shade val="50000"/>
              <a:alpha val="90000"/>
            </a:schemeClr>
          </a:solidFill>
          <a:ln w="19050">
            <a:solidFill>
              <a:schemeClr val="accent4">
                <a:shade val="50000"/>
                <a:lumMod val="75000"/>
              </a:schemeClr>
            </a:solidFill>
          </a:ln>
          <a:effectLst>
            <a:innerShdw blurRad="114300">
              <a:schemeClr val="accent4">
                <a:shade val="50000"/>
                <a:lumMod val="75000"/>
              </a:schemeClr>
            </a:innerShdw>
          </a:effectLst>
          <a:scene3d>
            <a:camera prst="orthographicFront"/>
            <a:lightRig rig="threePt" dir="t"/>
          </a:scene3d>
          <a:sp3d contourW="19050" prstMaterial="flat">
            <a:contourClr>
              <a:schemeClr val="accent4">
                <a:shade val="50000"/>
                <a:lumMod val="75000"/>
              </a:schemeClr>
            </a:contourClr>
          </a:sp3d>
        </c:spPr>
        <c:dLbl>
          <c:idx val="0"/>
          <c:spPr>
            <a:no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4">
              <a:shade val="70000"/>
              <a:alpha val="90000"/>
            </a:schemeClr>
          </a:solidFill>
          <a:ln w="19050">
            <a:solidFill>
              <a:schemeClr val="accent4">
                <a:shade val="70000"/>
                <a:lumMod val="75000"/>
              </a:schemeClr>
            </a:solidFill>
          </a:ln>
          <a:effectLst>
            <a:innerShdw blurRad="114300">
              <a:schemeClr val="accent4">
                <a:shade val="70000"/>
                <a:lumMod val="75000"/>
              </a:schemeClr>
            </a:innerShdw>
          </a:effectLst>
          <a:scene3d>
            <a:camera prst="orthographicFront"/>
            <a:lightRig rig="threePt" dir="t"/>
          </a:scene3d>
          <a:sp3d contourW="19050" prstMaterial="flat">
            <a:contourClr>
              <a:schemeClr val="accent4">
                <a:shade val="70000"/>
                <a:lumMod val="75000"/>
              </a:schemeClr>
            </a:contourClr>
          </a:sp3d>
        </c:spPr>
        <c:dLbl>
          <c:idx val="0"/>
          <c:spPr>
            <a:no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4">
              <a:shade val="90000"/>
              <a:alpha val="90000"/>
            </a:schemeClr>
          </a:solidFill>
          <a:ln w="19050">
            <a:solidFill>
              <a:schemeClr val="accent4">
                <a:shade val="90000"/>
                <a:lumMod val="75000"/>
              </a:schemeClr>
            </a:solidFill>
          </a:ln>
          <a:effectLst>
            <a:innerShdw blurRad="114300">
              <a:schemeClr val="accent4">
                <a:shade val="90000"/>
                <a:lumMod val="75000"/>
              </a:schemeClr>
            </a:innerShdw>
          </a:effectLst>
          <a:scene3d>
            <a:camera prst="orthographicFront"/>
            <a:lightRig rig="threePt" dir="t"/>
          </a:scene3d>
          <a:sp3d contourW="19050" prstMaterial="flat">
            <a:contourClr>
              <a:schemeClr val="accent4">
                <a:shade val="90000"/>
                <a:lumMod val="75000"/>
              </a:schemeClr>
            </a:contourClr>
          </a:sp3d>
        </c:spPr>
        <c:dLbl>
          <c:idx val="0"/>
          <c:spPr>
            <a:no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tint val="90000"/>
              <a:alpha val="90000"/>
            </a:schemeClr>
          </a:solidFill>
          <a:ln w="19050">
            <a:solidFill>
              <a:schemeClr val="accent4">
                <a:tint val="90000"/>
                <a:lumMod val="75000"/>
              </a:schemeClr>
            </a:solidFill>
          </a:ln>
          <a:effectLst>
            <a:innerShdw blurRad="114300">
              <a:schemeClr val="accent4">
                <a:tint val="90000"/>
                <a:lumMod val="75000"/>
              </a:schemeClr>
            </a:innerShdw>
          </a:effectLst>
          <a:scene3d>
            <a:camera prst="orthographicFront"/>
            <a:lightRig rig="threePt" dir="t"/>
          </a:scene3d>
          <a:sp3d contourW="19050" prstMaterial="flat">
            <a:contourClr>
              <a:schemeClr val="accent4">
                <a:tint val="90000"/>
                <a:lumMod val="75000"/>
              </a:schemeClr>
            </a:contourClr>
          </a:sp3d>
        </c:spPr>
        <c:dLbl>
          <c:idx val="0"/>
          <c:spPr>
            <a:no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4">
              <a:tint val="70000"/>
              <a:alpha val="90000"/>
            </a:schemeClr>
          </a:solidFill>
          <a:ln w="19050">
            <a:solidFill>
              <a:schemeClr val="accent4">
                <a:tint val="70000"/>
                <a:lumMod val="75000"/>
              </a:schemeClr>
            </a:solidFill>
          </a:ln>
          <a:effectLst>
            <a:innerShdw blurRad="114300">
              <a:schemeClr val="accent4">
                <a:tint val="70000"/>
                <a:lumMod val="75000"/>
              </a:schemeClr>
            </a:innerShdw>
          </a:effectLst>
          <a:scene3d>
            <a:camera prst="orthographicFront"/>
            <a:lightRig rig="threePt" dir="t"/>
          </a:scene3d>
          <a:sp3d contourW="19050" prstMaterial="flat">
            <a:contourClr>
              <a:schemeClr val="accent4">
                <a:tint val="70000"/>
                <a:lumMod val="75000"/>
              </a:schemeClr>
            </a:contourClr>
          </a:sp3d>
        </c:spPr>
        <c:dLbl>
          <c:idx val="0"/>
          <c:spPr>
            <a:no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4">
              <a:tint val="50000"/>
              <a:alpha val="90000"/>
            </a:schemeClr>
          </a:solidFill>
          <a:ln w="19050">
            <a:solidFill>
              <a:schemeClr val="accent4">
                <a:tint val="50000"/>
                <a:lumMod val="75000"/>
              </a:schemeClr>
            </a:solidFill>
          </a:ln>
          <a:effectLst>
            <a:innerShdw blurRad="114300">
              <a:schemeClr val="accent4">
                <a:tint val="50000"/>
                <a:lumMod val="75000"/>
              </a:schemeClr>
            </a:innerShdw>
          </a:effectLst>
          <a:scene3d>
            <a:camera prst="orthographicFront"/>
            <a:lightRig rig="threePt" dir="t"/>
          </a:scene3d>
          <a:sp3d contourW="19050" prstMaterial="flat">
            <a:contourClr>
              <a:schemeClr val="accent4">
                <a:tint val="50000"/>
                <a:lumMod val="75000"/>
              </a:schemeClr>
            </a:contourClr>
          </a:sp3d>
        </c:spPr>
        <c:dLbl>
          <c:idx val="0"/>
          <c:spPr>
            <a:no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marker>
          <c:symbol val="none"/>
        </c:marker>
        <c:dLbl>
          <c:idx val="0"/>
          <c:spPr>
            <a:no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4">
              <a:shade val="50000"/>
              <a:alpha val="90000"/>
            </a:schemeClr>
          </a:solidFill>
          <a:ln w="19050">
            <a:solidFill>
              <a:schemeClr val="accent4">
                <a:shade val="50000"/>
                <a:lumMod val="75000"/>
              </a:schemeClr>
            </a:solidFill>
          </a:ln>
          <a:effectLst>
            <a:innerShdw blurRad="114300">
              <a:schemeClr val="accent4">
                <a:shade val="50000"/>
                <a:lumMod val="75000"/>
              </a:schemeClr>
            </a:innerShdw>
          </a:effectLst>
          <a:scene3d>
            <a:camera prst="orthographicFront"/>
            <a:lightRig rig="threePt" dir="t"/>
          </a:scene3d>
          <a:sp3d contourW="19050" prstMaterial="flat">
            <a:contourClr>
              <a:schemeClr val="accent4">
                <a:shade val="50000"/>
                <a:lumMod val="75000"/>
              </a:schemeClr>
            </a:contourClr>
          </a:sp3d>
        </c:spPr>
        <c:dLbl>
          <c:idx val="0"/>
          <c:spPr>
            <a:noFill/>
            <a:ln w="12700" cap="flat" cmpd="sng" algn="ctr">
              <a:solidFill>
                <a:schemeClr val="accent4">
                  <a:shade val="50000"/>
                </a:schemeClr>
              </a:solidFill>
              <a:round/>
            </a:ln>
            <a:effectLst>
              <a:outerShdw blurRad="50800" dist="38100" dir="2700000" algn="tl" rotWithShape="0">
                <a:schemeClr val="accent4">
                  <a:shade val="5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4">
              <a:shade val="70000"/>
              <a:alpha val="90000"/>
            </a:schemeClr>
          </a:solidFill>
          <a:ln w="19050">
            <a:solidFill>
              <a:schemeClr val="accent4">
                <a:shade val="70000"/>
                <a:lumMod val="75000"/>
              </a:schemeClr>
            </a:solidFill>
          </a:ln>
          <a:effectLst>
            <a:innerShdw blurRad="114300">
              <a:schemeClr val="accent4">
                <a:shade val="70000"/>
                <a:lumMod val="75000"/>
              </a:schemeClr>
            </a:innerShdw>
          </a:effectLst>
          <a:scene3d>
            <a:camera prst="orthographicFront"/>
            <a:lightRig rig="threePt" dir="t"/>
          </a:scene3d>
          <a:sp3d contourW="19050" prstMaterial="flat">
            <a:contourClr>
              <a:schemeClr val="accent4">
                <a:shade val="70000"/>
                <a:lumMod val="75000"/>
              </a:schemeClr>
            </a:contourClr>
          </a:sp3d>
        </c:spPr>
        <c:dLbl>
          <c:idx val="0"/>
          <c:spPr>
            <a:noFill/>
            <a:ln w="12700" cap="flat" cmpd="sng" algn="ctr">
              <a:solidFill>
                <a:schemeClr val="accent4">
                  <a:shade val="70000"/>
                </a:schemeClr>
              </a:solidFill>
              <a:round/>
            </a:ln>
            <a:effectLst>
              <a:outerShdw blurRad="50800" dist="38100" dir="2700000" algn="tl" rotWithShape="0">
                <a:schemeClr val="accent4">
                  <a:shade val="7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4">
              <a:shade val="90000"/>
              <a:alpha val="90000"/>
            </a:schemeClr>
          </a:solidFill>
          <a:ln w="19050">
            <a:solidFill>
              <a:schemeClr val="accent4">
                <a:shade val="90000"/>
                <a:lumMod val="75000"/>
              </a:schemeClr>
            </a:solidFill>
          </a:ln>
          <a:effectLst>
            <a:innerShdw blurRad="114300">
              <a:schemeClr val="accent4">
                <a:shade val="90000"/>
                <a:lumMod val="75000"/>
              </a:schemeClr>
            </a:innerShdw>
          </a:effectLst>
          <a:scene3d>
            <a:camera prst="orthographicFront"/>
            <a:lightRig rig="threePt" dir="t"/>
          </a:scene3d>
          <a:sp3d contourW="19050" prstMaterial="flat">
            <a:contourClr>
              <a:schemeClr val="accent4">
                <a:shade val="90000"/>
                <a:lumMod val="75000"/>
              </a:schemeClr>
            </a:contourClr>
          </a:sp3d>
        </c:spPr>
        <c:dLbl>
          <c:idx val="0"/>
          <c:spPr>
            <a:noFill/>
            <a:ln w="12700" cap="flat" cmpd="sng" algn="ctr">
              <a:solidFill>
                <a:schemeClr val="accent4">
                  <a:shade val="90000"/>
                </a:schemeClr>
              </a:solidFill>
              <a:round/>
            </a:ln>
            <a:effectLst>
              <a:outerShdw blurRad="50800" dist="38100" dir="2700000" algn="tl" rotWithShape="0">
                <a:schemeClr val="accent4">
                  <a:shade val="9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spPr>
            <a:noFill/>
            <a:ln w="12700" cap="flat" cmpd="sng" algn="ctr">
              <a:solidFill>
                <a:schemeClr val="accent4">
                  <a:tint val="90000"/>
                </a:schemeClr>
              </a:solidFill>
              <a:round/>
            </a:ln>
            <a:effectLst>
              <a:outerShdw blurRad="50800" dist="38100" dir="2700000" algn="tl" rotWithShape="0">
                <a:schemeClr val="accent4">
                  <a:tint val="9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4">
              <a:tint val="70000"/>
              <a:alpha val="90000"/>
            </a:schemeClr>
          </a:solidFill>
          <a:ln w="19050">
            <a:solidFill>
              <a:schemeClr val="accent4">
                <a:tint val="70000"/>
                <a:lumMod val="75000"/>
              </a:schemeClr>
            </a:solidFill>
          </a:ln>
          <a:effectLst>
            <a:innerShdw blurRad="114300">
              <a:schemeClr val="accent4">
                <a:tint val="70000"/>
                <a:lumMod val="75000"/>
              </a:schemeClr>
            </a:innerShdw>
          </a:effectLst>
          <a:scene3d>
            <a:camera prst="orthographicFront"/>
            <a:lightRig rig="threePt" dir="t"/>
          </a:scene3d>
          <a:sp3d contourW="19050" prstMaterial="flat">
            <a:contourClr>
              <a:schemeClr val="accent4">
                <a:tint val="70000"/>
                <a:lumMod val="75000"/>
              </a:schemeClr>
            </a:contourClr>
          </a:sp3d>
        </c:spPr>
        <c:dLbl>
          <c:idx val="0"/>
          <c:spPr>
            <a:no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spPr>
            <a:noFill/>
            <a:ln w="12700" cap="flat" cmpd="sng" algn="ctr">
              <a:solidFill>
                <a:schemeClr val="accent4">
                  <a:tint val="50000"/>
                </a:schemeClr>
              </a:solidFill>
              <a:round/>
            </a:ln>
            <a:effectLst>
              <a:outerShdw blurRad="50800" dist="38100" dir="2700000" algn="tl" rotWithShape="0">
                <a:schemeClr val="accent4">
                  <a:tint val="5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marker>
          <c:symbol val="none"/>
        </c:marker>
        <c:dLbl>
          <c:idx val="0"/>
          <c:spPr>
            <a:no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4">
              <a:shade val="50000"/>
              <a:alpha val="90000"/>
            </a:schemeClr>
          </a:solidFill>
          <a:ln w="19050">
            <a:solidFill>
              <a:schemeClr val="accent4">
                <a:shade val="50000"/>
                <a:lumMod val="75000"/>
              </a:schemeClr>
            </a:solidFill>
          </a:ln>
          <a:effectLst>
            <a:innerShdw blurRad="114300">
              <a:schemeClr val="accent4">
                <a:shade val="50000"/>
                <a:lumMod val="75000"/>
              </a:schemeClr>
            </a:innerShdw>
          </a:effectLst>
          <a:scene3d>
            <a:camera prst="orthographicFront"/>
            <a:lightRig rig="threePt" dir="t"/>
          </a:scene3d>
          <a:sp3d contourW="19050" prstMaterial="flat">
            <a:contourClr>
              <a:schemeClr val="accent4">
                <a:shade val="50000"/>
                <a:lumMod val="75000"/>
              </a:schemeClr>
            </a:contourClr>
          </a:sp3d>
        </c:spPr>
        <c:dLbl>
          <c:idx val="0"/>
          <c:spPr>
            <a:noFill/>
            <a:ln w="12700" cap="flat" cmpd="sng" algn="ctr">
              <a:solidFill>
                <a:schemeClr val="accent4">
                  <a:shade val="50000"/>
                </a:schemeClr>
              </a:solidFill>
              <a:round/>
            </a:ln>
            <a:effectLst>
              <a:outerShdw blurRad="50800" dist="38100" dir="2700000" algn="tl" rotWithShape="0">
                <a:schemeClr val="accent4">
                  <a:shade val="5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4">
              <a:shade val="70000"/>
              <a:alpha val="90000"/>
            </a:schemeClr>
          </a:solidFill>
          <a:ln w="19050">
            <a:solidFill>
              <a:schemeClr val="accent4">
                <a:shade val="70000"/>
                <a:lumMod val="75000"/>
              </a:schemeClr>
            </a:solidFill>
          </a:ln>
          <a:effectLst>
            <a:innerShdw blurRad="114300">
              <a:schemeClr val="accent4">
                <a:shade val="70000"/>
                <a:lumMod val="75000"/>
              </a:schemeClr>
            </a:innerShdw>
          </a:effectLst>
          <a:scene3d>
            <a:camera prst="orthographicFront"/>
            <a:lightRig rig="threePt" dir="t"/>
          </a:scene3d>
          <a:sp3d contourW="19050" prstMaterial="flat">
            <a:contourClr>
              <a:schemeClr val="accent4">
                <a:shade val="70000"/>
                <a:lumMod val="75000"/>
              </a:schemeClr>
            </a:contourClr>
          </a:sp3d>
        </c:spPr>
        <c:dLbl>
          <c:idx val="0"/>
          <c:spPr>
            <a:noFill/>
            <a:ln w="12700" cap="flat" cmpd="sng" algn="ctr">
              <a:solidFill>
                <a:schemeClr val="accent4">
                  <a:shade val="70000"/>
                </a:schemeClr>
              </a:solidFill>
              <a:round/>
            </a:ln>
            <a:effectLst>
              <a:outerShdw blurRad="50800" dist="38100" dir="2700000" algn="tl" rotWithShape="0">
                <a:schemeClr val="accent4">
                  <a:shade val="7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4">
              <a:shade val="90000"/>
              <a:alpha val="90000"/>
            </a:schemeClr>
          </a:solidFill>
          <a:ln w="19050">
            <a:solidFill>
              <a:schemeClr val="accent4">
                <a:shade val="90000"/>
                <a:lumMod val="75000"/>
              </a:schemeClr>
            </a:solidFill>
          </a:ln>
          <a:effectLst>
            <a:innerShdw blurRad="114300">
              <a:schemeClr val="accent4">
                <a:shade val="90000"/>
                <a:lumMod val="75000"/>
              </a:schemeClr>
            </a:innerShdw>
          </a:effectLst>
          <a:scene3d>
            <a:camera prst="orthographicFront"/>
            <a:lightRig rig="threePt" dir="t"/>
          </a:scene3d>
          <a:sp3d contourW="19050" prstMaterial="flat">
            <a:contourClr>
              <a:schemeClr val="accent4">
                <a:shade val="90000"/>
                <a:lumMod val="75000"/>
              </a:schemeClr>
            </a:contourClr>
          </a:sp3d>
        </c:spPr>
        <c:dLbl>
          <c:idx val="0"/>
          <c:spPr>
            <a:noFill/>
            <a:ln w="12700" cap="flat" cmpd="sng" algn="ctr">
              <a:solidFill>
                <a:schemeClr val="accent4">
                  <a:shade val="90000"/>
                </a:schemeClr>
              </a:solidFill>
              <a:round/>
            </a:ln>
            <a:effectLst>
              <a:outerShdw blurRad="50800" dist="38100" dir="2700000" algn="tl" rotWithShape="0">
                <a:schemeClr val="accent4">
                  <a:shade val="9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spPr>
            <a:noFill/>
            <a:ln w="12700" cap="flat" cmpd="sng" algn="ctr">
              <a:solidFill>
                <a:schemeClr val="accent4">
                  <a:tint val="90000"/>
                </a:schemeClr>
              </a:solidFill>
              <a:round/>
            </a:ln>
            <a:effectLst>
              <a:outerShdw blurRad="50800" dist="38100" dir="2700000" algn="tl" rotWithShape="0">
                <a:schemeClr val="accent4">
                  <a:tint val="9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4">
              <a:tint val="70000"/>
              <a:alpha val="90000"/>
            </a:schemeClr>
          </a:solidFill>
          <a:ln w="19050">
            <a:solidFill>
              <a:schemeClr val="accent4">
                <a:tint val="70000"/>
                <a:lumMod val="75000"/>
              </a:schemeClr>
            </a:solidFill>
          </a:ln>
          <a:effectLst>
            <a:innerShdw blurRad="114300">
              <a:schemeClr val="accent4">
                <a:tint val="70000"/>
                <a:lumMod val="75000"/>
              </a:schemeClr>
            </a:innerShdw>
          </a:effectLst>
          <a:scene3d>
            <a:camera prst="orthographicFront"/>
            <a:lightRig rig="threePt" dir="t"/>
          </a:scene3d>
          <a:sp3d contourW="19050" prstMaterial="flat">
            <a:contourClr>
              <a:schemeClr val="accent4">
                <a:tint val="70000"/>
                <a:lumMod val="75000"/>
              </a:schemeClr>
            </a:contourClr>
          </a:sp3d>
        </c:spPr>
        <c:dLbl>
          <c:idx val="0"/>
          <c:spPr>
            <a:no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spPr>
            <a:noFill/>
            <a:ln w="12700" cap="flat" cmpd="sng" algn="ctr">
              <a:solidFill>
                <a:schemeClr val="accent4">
                  <a:tint val="50000"/>
                </a:schemeClr>
              </a:solidFill>
              <a:round/>
            </a:ln>
            <a:effectLst>
              <a:outerShdw blurRad="50800" dist="38100" dir="2700000" algn="tl" rotWithShape="0">
                <a:schemeClr val="accent4">
                  <a:tint val="5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marker>
          <c:symbol val="none"/>
        </c:marker>
        <c:dLbl>
          <c:idx val="0"/>
          <c:spPr>
            <a:solidFill>
              <a:sysClr val="window" lastClr="FFFFFF">
                <a:alpha val="90000"/>
              </a:sysClr>
            </a:solidFill>
            <a:ln w="12700" cap="flat" cmpd="sng" algn="ctr">
              <a:solidFill>
                <a:srgbClr val="0F9ED5">
                  <a:tint val="77000"/>
                </a:srgbClr>
              </a:solidFill>
              <a:round/>
            </a:ln>
            <a:effectLst>
              <a:outerShdw blurRad="50800" dist="38100" dir="2700000" algn="tl" rotWithShape="0">
                <a:srgbClr val="0F9ED5">
                  <a:tint val="77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
        <c:dLbl>
          <c:idx val="0"/>
          <c:spPr>
            <a:solidFill>
              <a:sysClr val="window" lastClr="FFFFFF">
                <a:alpha val="90000"/>
              </a:sysClr>
            </a:solidFill>
            <a:ln w="12700" cap="flat" cmpd="sng" algn="ctr">
              <a:solidFill>
                <a:srgbClr val="0F9ED5">
                  <a:tint val="77000"/>
                </a:srgbClr>
              </a:solidFill>
              <a:round/>
            </a:ln>
            <a:effectLst>
              <a:outerShdw blurRad="50800" dist="38100" dir="2700000" algn="tl" rotWithShape="0">
                <a:srgbClr val="0F9ED5">
                  <a:tint val="77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23"/>
        <c:dLbl>
          <c:idx val="0"/>
          <c:spPr>
            <a:solidFill>
              <a:sysClr val="window" lastClr="FFFFFF">
                <a:alpha val="90000"/>
              </a:sysClr>
            </a:solidFill>
            <a:ln w="12700" cap="flat" cmpd="sng" algn="ctr">
              <a:solidFill>
                <a:srgbClr val="0F9ED5">
                  <a:tint val="77000"/>
                </a:srgbClr>
              </a:solidFill>
              <a:round/>
            </a:ln>
            <a:effectLst>
              <a:outerShdw blurRad="50800" dist="38100" dir="2700000" algn="tl" rotWithShape="0">
                <a:srgbClr val="0F9ED5">
                  <a:tint val="77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24"/>
        <c:dLbl>
          <c:idx val="0"/>
          <c:spPr>
            <a:solidFill>
              <a:sysClr val="window" lastClr="FFFFFF">
                <a:alpha val="90000"/>
              </a:sysClr>
            </a:solidFill>
            <a:ln w="12700" cap="flat" cmpd="sng" algn="ctr">
              <a:solidFill>
                <a:srgbClr val="0F9ED5">
                  <a:tint val="77000"/>
                </a:srgbClr>
              </a:solidFill>
              <a:round/>
            </a:ln>
            <a:effectLst>
              <a:outerShdw blurRad="50800" dist="38100" dir="2700000" algn="tl" rotWithShape="0">
                <a:srgbClr val="0F9ED5">
                  <a:tint val="77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25"/>
        <c:dLbl>
          <c:idx val="0"/>
          <c:spPr>
            <a:solidFill>
              <a:sysClr val="window" lastClr="FFFFFF">
                <a:alpha val="90000"/>
              </a:sysClr>
            </a:solidFill>
            <a:ln w="12700" cap="flat" cmpd="sng" algn="ctr">
              <a:solidFill>
                <a:srgbClr val="0F9ED5">
                  <a:tint val="77000"/>
                </a:srgbClr>
              </a:solidFill>
              <a:round/>
            </a:ln>
            <a:effectLst>
              <a:outerShdw blurRad="50800" dist="38100" dir="2700000" algn="tl" rotWithShape="0">
                <a:srgbClr val="0F9ED5">
                  <a:tint val="77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26"/>
        <c:dLbl>
          <c:idx val="0"/>
          <c:spPr>
            <a:solidFill>
              <a:sysClr val="window" lastClr="FFFFFF">
                <a:alpha val="90000"/>
              </a:sysClr>
            </a:solidFill>
            <a:ln w="12700" cap="flat" cmpd="sng" algn="ctr">
              <a:solidFill>
                <a:srgbClr val="0F9ED5">
                  <a:tint val="77000"/>
                </a:srgbClr>
              </a:solidFill>
              <a:round/>
            </a:ln>
            <a:effectLst>
              <a:outerShdw blurRad="50800" dist="38100" dir="2700000" algn="tl" rotWithShape="0">
                <a:srgbClr val="0F9ED5">
                  <a:tint val="77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27"/>
        <c:dLbl>
          <c:idx val="0"/>
          <c:spPr>
            <a:solidFill>
              <a:sysClr val="window" lastClr="FFFFFF">
                <a:alpha val="90000"/>
              </a:sysClr>
            </a:solidFill>
            <a:ln w="12700" cap="flat" cmpd="sng" algn="ctr">
              <a:solidFill>
                <a:srgbClr val="0F9ED5">
                  <a:tint val="77000"/>
                </a:srgbClr>
              </a:solidFill>
              <a:round/>
            </a:ln>
            <a:effectLst>
              <a:outerShdw blurRad="50800" dist="38100" dir="2700000" algn="tl" rotWithShape="0">
                <a:srgbClr val="0F9ED5">
                  <a:tint val="77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xForSave val="1"/>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Tables'!$F$10</c:f>
              <c:strCache>
                <c:ptCount val="1"/>
                <c:pt idx="0">
                  <c:v>Total</c:v>
                </c:pt>
              </c:strCache>
            </c:strRef>
          </c:tx>
          <c:dPt>
            <c:idx val="0"/>
            <c:bubble3D val="0"/>
            <c:spPr>
              <a:solidFill>
                <a:schemeClr val="accent4">
                  <a:shade val="50000"/>
                  <a:alpha val="90000"/>
                </a:schemeClr>
              </a:solidFill>
              <a:ln w="19050">
                <a:solidFill>
                  <a:schemeClr val="accent4">
                    <a:shade val="50000"/>
                    <a:lumMod val="75000"/>
                  </a:schemeClr>
                </a:solidFill>
              </a:ln>
              <a:effectLst>
                <a:innerShdw blurRad="114300">
                  <a:schemeClr val="accent4">
                    <a:shade val="50000"/>
                    <a:lumMod val="75000"/>
                  </a:schemeClr>
                </a:innerShdw>
              </a:effectLst>
              <a:scene3d>
                <a:camera prst="orthographicFront"/>
                <a:lightRig rig="threePt" dir="t"/>
              </a:scene3d>
              <a:sp3d contourW="19050" prstMaterial="flat">
                <a:contourClr>
                  <a:schemeClr val="accent4">
                    <a:shade val="50000"/>
                    <a:lumMod val="75000"/>
                  </a:schemeClr>
                </a:contourClr>
              </a:sp3d>
            </c:spPr>
            <c:extLst>
              <c:ext xmlns:c16="http://schemas.microsoft.com/office/drawing/2014/chart" uri="{C3380CC4-5D6E-409C-BE32-E72D297353CC}">
                <c16:uniqueId val="{00000001-2523-7948-9311-6F79B02CEBB9}"/>
              </c:ext>
            </c:extLst>
          </c:dPt>
          <c:dPt>
            <c:idx val="1"/>
            <c:bubble3D val="0"/>
            <c:spPr>
              <a:solidFill>
                <a:schemeClr val="accent4">
                  <a:shade val="70000"/>
                  <a:alpha val="90000"/>
                </a:schemeClr>
              </a:solidFill>
              <a:ln w="19050">
                <a:solidFill>
                  <a:schemeClr val="accent4">
                    <a:shade val="70000"/>
                    <a:lumMod val="75000"/>
                  </a:schemeClr>
                </a:solidFill>
              </a:ln>
              <a:effectLst>
                <a:innerShdw blurRad="114300">
                  <a:schemeClr val="accent4">
                    <a:shade val="70000"/>
                    <a:lumMod val="75000"/>
                  </a:schemeClr>
                </a:innerShdw>
              </a:effectLst>
              <a:scene3d>
                <a:camera prst="orthographicFront"/>
                <a:lightRig rig="threePt" dir="t"/>
              </a:scene3d>
              <a:sp3d contourW="19050" prstMaterial="flat">
                <a:contourClr>
                  <a:schemeClr val="accent4">
                    <a:shade val="70000"/>
                    <a:lumMod val="75000"/>
                  </a:schemeClr>
                </a:contourClr>
              </a:sp3d>
            </c:spPr>
            <c:extLst>
              <c:ext xmlns:c16="http://schemas.microsoft.com/office/drawing/2014/chart" uri="{C3380CC4-5D6E-409C-BE32-E72D297353CC}">
                <c16:uniqueId val="{00000003-2523-7948-9311-6F79B02CEBB9}"/>
              </c:ext>
            </c:extLst>
          </c:dPt>
          <c:dPt>
            <c:idx val="2"/>
            <c:bubble3D val="0"/>
            <c:spPr>
              <a:solidFill>
                <a:schemeClr val="accent4">
                  <a:shade val="90000"/>
                  <a:alpha val="90000"/>
                </a:schemeClr>
              </a:solidFill>
              <a:ln w="19050">
                <a:solidFill>
                  <a:schemeClr val="accent4">
                    <a:shade val="90000"/>
                    <a:lumMod val="75000"/>
                  </a:schemeClr>
                </a:solidFill>
              </a:ln>
              <a:effectLst>
                <a:innerShdw blurRad="114300">
                  <a:schemeClr val="accent4">
                    <a:shade val="90000"/>
                    <a:lumMod val="75000"/>
                  </a:schemeClr>
                </a:innerShdw>
              </a:effectLst>
              <a:scene3d>
                <a:camera prst="orthographicFront"/>
                <a:lightRig rig="threePt" dir="t"/>
              </a:scene3d>
              <a:sp3d contourW="19050" prstMaterial="flat">
                <a:contourClr>
                  <a:schemeClr val="accent4">
                    <a:shade val="90000"/>
                    <a:lumMod val="75000"/>
                  </a:schemeClr>
                </a:contourClr>
              </a:sp3d>
            </c:spPr>
            <c:extLst>
              <c:ext xmlns:c16="http://schemas.microsoft.com/office/drawing/2014/chart" uri="{C3380CC4-5D6E-409C-BE32-E72D297353CC}">
                <c16:uniqueId val="{00000005-2523-7948-9311-6F79B02CEBB9}"/>
              </c:ext>
            </c:extLst>
          </c:dPt>
          <c:dPt>
            <c:idx val="3"/>
            <c:bubble3D val="0"/>
            <c:spPr>
              <a:solidFill>
                <a:schemeClr val="accent4">
                  <a:tint val="90000"/>
                  <a:alpha val="90000"/>
                </a:schemeClr>
              </a:solidFill>
              <a:ln w="19050">
                <a:solidFill>
                  <a:schemeClr val="accent4">
                    <a:tint val="90000"/>
                    <a:lumMod val="75000"/>
                  </a:schemeClr>
                </a:solidFill>
              </a:ln>
              <a:effectLst>
                <a:innerShdw blurRad="114300">
                  <a:schemeClr val="accent4">
                    <a:tint val="90000"/>
                    <a:lumMod val="75000"/>
                  </a:schemeClr>
                </a:innerShdw>
              </a:effectLst>
              <a:scene3d>
                <a:camera prst="orthographicFront"/>
                <a:lightRig rig="threePt" dir="t"/>
              </a:scene3d>
              <a:sp3d contourW="19050" prstMaterial="flat">
                <a:contourClr>
                  <a:schemeClr val="accent4">
                    <a:tint val="90000"/>
                    <a:lumMod val="75000"/>
                  </a:schemeClr>
                </a:contourClr>
              </a:sp3d>
            </c:spPr>
            <c:extLst>
              <c:ext xmlns:c16="http://schemas.microsoft.com/office/drawing/2014/chart" uri="{C3380CC4-5D6E-409C-BE32-E72D297353CC}">
                <c16:uniqueId val="{00000007-2523-7948-9311-6F79B02CEBB9}"/>
              </c:ext>
            </c:extLst>
          </c:dPt>
          <c:dPt>
            <c:idx val="4"/>
            <c:bubble3D val="0"/>
            <c:spPr>
              <a:solidFill>
                <a:schemeClr val="accent4">
                  <a:tint val="70000"/>
                  <a:alpha val="90000"/>
                </a:schemeClr>
              </a:solidFill>
              <a:ln w="19050">
                <a:solidFill>
                  <a:schemeClr val="accent4">
                    <a:tint val="70000"/>
                    <a:lumMod val="75000"/>
                  </a:schemeClr>
                </a:solidFill>
              </a:ln>
              <a:effectLst>
                <a:innerShdw blurRad="114300">
                  <a:schemeClr val="accent4">
                    <a:tint val="70000"/>
                    <a:lumMod val="75000"/>
                  </a:schemeClr>
                </a:innerShdw>
              </a:effectLst>
              <a:scene3d>
                <a:camera prst="orthographicFront"/>
                <a:lightRig rig="threePt" dir="t"/>
              </a:scene3d>
              <a:sp3d contourW="19050" prstMaterial="flat">
                <a:contourClr>
                  <a:schemeClr val="accent4">
                    <a:tint val="70000"/>
                    <a:lumMod val="75000"/>
                  </a:schemeClr>
                </a:contourClr>
              </a:sp3d>
            </c:spPr>
            <c:extLst>
              <c:ext xmlns:c16="http://schemas.microsoft.com/office/drawing/2014/chart" uri="{C3380CC4-5D6E-409C-BE32-E72D297353CC}">
                <c16:uniqueId val="{00000009-2523-7948-9311-6F79B02CEBB9}"/>
              </c:ext>
            </c:extLst>
          </c:dPt>
          <c:dPt>
            <c:idx val="5"/>
            <c:bubble3D val="0"/>
            <c:spPr>
              <a:solidFill>
                <a:schemeClr val="accent4">
                  <a:tint val="50000"/>
                  <a:alpha val="90000"/>
                </a:schemeClr>
              </a:solidFill>
              <a:ln w="19050">
                <a:solidFill>
                  <a:schemeClr val="accent4">
                    <a:tint val="50000"/>
                    <a:lumMod val="75000"/>
                  </a:schemeClr>
                </a:solidFill>
              </a:ln>
              <a:effectLst>
                <a:innerShdw blurRad="114300">
                  <a:schemeClr val="accent4">
                    <a:tint val="50000"/>
                    <a:lumMod val="75000"/>
                  </a:schemeClr>
                </a:innerShdw>
              </a:effectLst>
              <a:scene3d>
                <a:camera prst="orthographicFront"/>
                <a:lightRig rig="threePt" dir="t"/>
              </a:scene3d>
              <a:sp3d contourW="19050" prstMaterial="flat">
                <a:contourClr>
                  <a:schemeClr val="accent4">
                    <a:tint val="50000"/>
                    <a:lumMod val="75000"/>
                  </a:schemeClr>
                </a:contourClr>
              </a:sp3d>
            </c:spPr>
            <c:extLst>
              <c:ext xmlns:c16="http://schemas.microsoft.com/office/drawing/2014/chart" uri="{C3380CC4-5D6E-409C-BE32-E72D297353CC}">
                <c16:uniqueId val="{0000000B-2523-7948-9311-6F79B02CEBB9}"/>
              </c:ext>
            </c:extLst>
          </c:dPt>
          <c:dLbls>
            <c:dLbl>
              <c:idx val="0"/>
              <c:spPr>
                <a:noFill/>
                <a:ln w="12700" cap="flat" cmpd="sng" algn="ctr">
                  <a:solidFill>
                    <a:schemeClr val="accent4">
                      <a:shade val="50000"/>
                    </a:schemeClr>
                  </a:solidFill>
                  <a:round/>
                </a:ln>
                <a:effectLst>
                  <a:outerShdw blurRad="50800" dist="38100" dir="2700000" algn="tl" rotWithShape="0">
                    <a:schemeClr val="accent4">
                      <a:shade val="5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1-2523-7948-9311-6F79B02CEBB9}"/>
                </c:ext>
              </c:extLst>
            </c:dLbl>
            <c:dLbl>
              <c:idx val="1"/>
              <c:spPr>
                <a:noFill/>
                <a:ln w="12700" cap="flat" cmpd="sng" algn="ctr">
                  <a:solidFill>
                    <a:schemeClr val="accent4">
                      <a:shade val="70000"/>
                    </a:schemeClr>
                  </a:solidFill>
                  <a:round/>
                </a:ln>
                <a:effectLst>
                  <a:outerShdw blurRad="50800" dist="38100" dir="2700000" algn="tl" rotWithShape="0">
                    <a:schemeClr val="accent4">
                      <a:shade val="7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3-2523-7948-9311-6F79B02CEBB9}"/>
                </c:ext>
              </c:extLst>
            </c:dLbl>
            <c:dLbl>
              <c:idx val="2"/>
              <c:spPr>
                <a:noFill/>
                <a:ln w="12700" cap="flat" cmpd="sng" algn="ctr">
                  <a:solidFill>
                    <a:schemeClr val="accent4">
                      <a:shade val="90000"/>
                    </a:schemeClr>
                  </a:solidFill>
                  <a:round/>
                </a:ln>
                <a:effectLst>
                  <a:outerShdw blurRad="50800" dist="38100" dir="2700000" algn="tl" rotWithShape="0">
                    <a:schemeClr val="accent4">
                      <a:shade val="9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5-2523-7948-9311-6F79B02CEBB9}"/>
                </c:ext>
              </c:extLst>
            </c:dLbl>
            <c:dLbl>
              <c:idx val="3"/>
              <c:spPr>
                <a:noFill/>
                <a:ln w="12700" cap="flat" cmpd="sng" algn="ctr">
                  <a:solidFill>
                    <a:schemeClr val="accent4">
                      <a:tint val="90000"/>
                    </a:schemeClr>
                  </a:solidFill>
                  <a:round/>
                </a:ln>
                <a:effectLst>
                  <a:outerShdw blurRad="50800" dist="38100" dir="2700000" algn="tl" rotWithShape="0">
                    <a:schemeClr val="accent4">
                      <a:tint val="9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7-2523-7948-9311-6F79B02CEBB9}"/>
                </c:ext>
              </c:extLst>
            </c:dLbl>
            <c:dLbl>
              <c:idx val="4"/>
              <c:spPr>
                <a:noFill/>
                <a:ln w="12700" cap="flat" cmpd="sng" algn="ctr">
                  <a:solidFill>
                    <a:schemeClr val="accent4">
                      <a:tint val="70000"/>
                    </a:schemeClr>
                  </a:solidFill>
                  <a:round/>
                </a:ln>
                <a:effectLst>
                  <a:outerShdw blurRad="50800" dist="38100" dir="2700000" algn="tl" rotWithShape="0">
                    <a:schemeClr val="accent4">
                      <a:tint val="7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9-2523-7948-9311-6F79B02CEBB9}"/>
                </c:ext>
              </c:extLst>
            </c:dLbl>
            <c:dLbl>
              <c:idx val="5"/>
              <c:spPr>
                <a:noFill/>
                <a:ln w="12700" cap="flat" cmpd="sng" algn="ctr">
                  <a:solidFill>
                    <a:schemeClr val="accent4">
                      <a:tint val="50000"/>
                    </a:schemeClr>
                  </a:solidFill>
                  <a:round/>
                </a:ln>
                <a:effectLst>
                  <a:outerShdw blurRad="50800" dist="38100" dir="2700000" algn="tl" rotWithShape="0">
                    <a:schemeClr val="accent4">
                      <a:tint val="5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B-2523-7948-9311-6F79B02CEBB9}"/>
                </c:ext>
              </c:extLst>
            </c:dLbl>
            <c:spPr>
              <a:noFill/>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effectLst/>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Tables'!$E$11:$E$17</c:f>
              <c:strCache>
                <c:ptCount val="6"/>
                <c:pt idx="0">
                  <c:v>18–24</c:v>
                </c:pt>
                <c:pt idx="1">
                  <c:v>25–34</c:v>
                </c:pt>
                <c:pt idx="2">
                  <c:v>35–44</c:v>
                </c:pt>
                <c:pt idx="3">
                  <c:v>45–54</c:v>
                </c:pt>
                <c:pt idx="4">
                  <c:v>55–64</c:v>
                </c:pt>
                <c:pt idx="5">
                  <c:v>65+</c:v>
                </c:pt>
              </c:strCache>
            </c:strRef>
          </c:cat>
          <c:val>
            <c:numRef>
              <c:f>'Pivot Tables'!$F$11:$F$17</c:f>
              <c:numCache>
                <c:formatCode>General</c:formatCode>
                <c:ptCount val="6"/>
                <c:pt idx="0">
                  <c:v>21</c:v>
                </c:pt>
                <c:pt idx="1">
                  <c:v>47</c:v>
                </c:pt>
                <c:pt idx="2">
                  <c:v>47</c:v>
                </c:pt>
                <c:pt idx="3">
                  <c:v>45</c:v>
                </c:pt>
                <c:pt idx="4">
                  <c:v>38</c:v>
                </c:pt>
                <c:pt idx="5">
                  <c:v>12</c:v>
                </c:pt>
              </c:numCache>
            </c:numRef>
          </c:val>
          <c:extLst>
            <c:ext xmlns:c16="http://schemas.microsoft.com/office/drawing/2014/chart" uri="{C3380CC4-5D6E-409C-BE32-E72D297353CC}">
              <c16:uniqueId val="{0000000C-2523-7948-9311-6F79B02CEBB9}"/>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 client data.xlsx]Pivot Tables!PivotTable18</c:name>
    <c:fmtId val="18"/>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Tables'!$M$4</c:f>
              <c:strCache>
                <c:ptCount val="1"/>
                <c:pt idx="0">
                  <c:v>Total</c:v>
                </c:pt>
              </c:strCache>
            </c:strRef>
          </c:tx>
          <c:spPr>
            <a:ln w="28575" cap="rnd">
              <a:solidFill>
                <a:schemeClr val="accent1"/>
              </a:solidFill>
              <a:round/>
            </a:ln>
            <a:effectLst/>
          </c:spPr>
          <c:marker>
            <c:symbol val="none"/>
          </c:marker>
          <c:cat>
            <c:strRef>
              <c:f>'Pivot Tables'!$L$5:$L$17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Tables'!$M$5:$M$17</c:f>
              <c:numCache>
                <c:formatCode>0</c:formatCode>
                <c:ptCount val="12"/>
                <c:pt idx="0">
                  <c:v>45</c:v>
                </c:pt>
                <c:pt idx="1">
                  <c:v>42.6</c:v>
                </c:pt>
                <c:pt idx="2">
                  <c:v>41.75</c:v>
                </c:pt>
                <c:pt idx="3">
                  <c:v>41.631578947368418</c:v>
                </c:pt>
                <c:pt idx="4">
                  <c:v>48.222222222222221</c:v>
                </c:pt>
                <c:pt idx="5">
                  <c:v>44</c:v>
                </c:pt>
                <c:pt idx="6">
                  <c:v>43.4375</c:v>
                </c:pt>
                <c:pt idx="7">
                  <c:v>37.4375</c:v>
                </c:pt>
                <c:pt idx="8">
                  <c:v>46.7</c:v>
                </c:pt>
                <c:pt idx="9">
                  <c:v>40.049999999999997</c:v>
                </c:pt>
                <c:pt idx="10">
                  <c:v>39.93333333333333</c:v>
                </c:pt>
                <c:pt idx="11">
                  <c:v>42.473684210526315</c:v>
                </c:pt>
              </c:numCache>
            </c:numRef>
          </c:val>
          <c:smooth val="0"/>
          <c:extLst>
            <c:ext xmlns:c16="http://schemas.microsoft.com/office/drawing/2014/chart" uri="{C3380CC4-5D6E-409C-BE32-E72D297353CC}">
              <c16:uniqueId val="{00000000-0FAD-7744-BA8D-EBA6622E92F5}"/>
            </c:ext>
          </c:extLst>
        </c:ser>
        <c:dLbls>
          <c:showLegendKey val="0"/>
          <c:showVal val="0"/>
          <c:showCatName val="0"/>
          <c:showSerName val="0"/>
          <c:showPercent val="0"/>
          <c:showBubbleSize val="0"/>
        </c:dLbls>
        <c:smooth val="0"/>
        <c:axId val="766765952"/>
        <c:axId val="2147096383"/>
      </c:lineChart>
      <c:catAx>
        <c:axId val="76676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096383"/>
        <c:crosses val="autoZero"/>
        <c:auto val="1"/>
        <c:lblAlgn val="ctr"/>
        <c:lblOffset val="100"/>
        <c:noMultiLvlLbl val="0"/>
      </c:catAx>
      <c:valAx>
        <c:axId val="214709638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76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[Synthetic client data.xlsx]Pivot Tables!PivotTable19</c:name>
    <c:fmtId val="30"/>
  </c:pivotSource>
  <c:chart>
    <c:autoTitleDeleted val="1"/>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Tables'!$M$21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Tables'!$L$22:$L$28</c:f>
              <c:strCache>
                <c:ptCount val="6"/>
                <c:pt idx="0">
                  <c:v>Allocated (active)</c:v>
                </c:pt>
                <c:pt idx="1">
                  <c:v>Assessed (awaiting allocation)</c:v>
                </c:pt>
                <c:pt idx="2">
                  <c:v>Completed</c:v>
                </c:pt>
                <c:pt idx="3">
                  <c:v>Not Suitable</c:v>
                </c:pt>
                <c:pt idx="4">
                  <c:v>Referred (waiting)</c:v>
                </c:pt>
                <c:pt idx="5">
                  <c:v>Withdrawn</c:v>
                </c:pt>
              </c:strCache>
            </c:strRef>
          </c:cat>
          <c:val>
            <c:numRef>
              <c:f>'Pivot Tables'!$M$22:$M$28</c:f>
              <c:numCache>
                <c:formatCode>0</c:formatCode>
                <c:ptCount val="6"/>
                <c:pt idx="0">
                  <c:v>48</c:v>
                </c:pt>
                <c:pt idx="1">
                  <c:v>46.6</c:v>
                </c:pt>
                <c:pt idx="2">
                  <c:v>42.630434782608695</c:v>
                </c:pt>
                <c:pt idx="3">
                  <c:v>39.25</c:v>
                </c:pt>
                <c:pt idx="4">
                  <c:v>38.428571428571431</c:v>
                </c:pt>
                <c:pt idx="5">
                  <c:v>46.833333333333336</c:v>
                </c:pt>
              </c:numCache>
            </c:numRef>
          </c:val>
          <c:extLst>
            <c:ext xmlns:c16="http://schemas.microsoft.com/office/drawing/2014/chart" uri="{C3380CC4-5D6E-409C-BE32-E72D297353CC}">
              <c16:uniqueId val="{00000000-C59E-8A49-B45A-4A7FF398CDD5}"/>
            </c:ext>
          </c:extLst>
        </c:ser>
        <c:dLbls>
          <c:showLegendKey val="0"/>
          <c:showVal val="1"/>
          <c:showCatName val="0"/>
          <c:showSerName val="0"/>
          <c:showPercent val="0"/>
          <c:showBubbleSize val="0"/>
        </c:dLbls>
        <c:gapWidth val="95"/>
        <c:overlap val="100"/>
        <c:axId val="771089760"/>
        <c:axId val="771091472"/>
      </c:barChart>
      <c:catAx>
        <c:axId val="77108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771091472"/>
        <c:crosses val="autoZero"/>
        <c:auto val="1"/>
        <c:lblAlgn val="ctr"/>
        <c:lblOffset val="100"/>
        <c:noMultiLvlLbl val="0"/>
      </c:catAx>
      <c:valAx>
        <c:axId val="771091472"/>
        <c:scaling>
          <c:orientation val="minMax"/>
        </c:scaling>
        <c:delete val="1"/>
        <c:axPos val="b"/>
        <c:numFmt formatCode="0" sourceLinked="1"/>
        <c:majorTickMark val="none"/>
        <c:minorTickMark val="none"/>
        <c:tickLblPos val="nextTo"/>
        <c:crossAx val="77108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[Synthetic client data.xlsx]Pivot Tables!PivotTable20</c:name>
    <c:fmtId val="30"/>
  </c:pivotSource>
  <c:chart>
    <c:autoTitleDeleted val="1"/>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Tables'!$R$4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Tables'!$Q$5:$Q$19</c:f>
              <c:strCache>
                <c:ptCount val="14"/>
                <c:pt idx="0">
                  <c:v>British</c:v>
                </c:pt>
                <c:pt idx="1">
                  <c:v>Nigerian</c:v>
                </c:pt>
                <c:pt idx="2">
                  <c:v>Ghanaian</c:v>
                </c:pt>
                <c:pt idx="3">
                  <c:v>Indian</c:v>
                </c:pt>
                <c:pt idx="4">
                  <c:v>Other</c:v>
                </c:pt>
                <c:pt idx="5">
                  <c:v>Jamaican</c:v>
                </c:pt>
                <c:pt idx="6">
                  <c:v>Pakistani</c:v>
                </c:pt>
                <c:pt idx="7">
                  <c:v>Kenyan</c:v>
                </c:pt>
                <c:pt idx="8">
                  <c:v>Thai</c:v>
                </c:pt>
                <c:pt idx="9">
                  <c:v>Cameroonian</c:v>
                </c:pt>
                <c:pt idx="10">
                  <c:v>Congelese</c:v>
                </c:pt>
                <c:pt idx="11">
                  <c:v>Polish</c:v>
                </c:pt>
                <c:pt idx="12">
                  <c:v>Congolese</c:v>
                </c:pt>
                <c:pt idx="13">
                  <c:v>Japanese</c:v>
                </c:pt>
              </c:strCache>
            </c:strRef>
          </c:cat>
          <c:val>
            <c:numRef>
              <c:f>'Pivot Tables'!$R$5:$R$19</c:f>
              <c:numCache>
                <c:formatCode>0</c:formatCode>
                <c:ptCount val="14"/>
                <c:pt idx="0">
                  <c:v>72</c:v>
                </c:pt>
                <c:pt idx="1">
                  <c:v>65</c:v>
                </c:pt>
                <c:pt idx="2">
                  <c:v>32</c:v>
                </c:pt>
                <c:pt idx="3">
                  <c:v>17</c:v>
                </c:pt>
                <c:pt idx="4">
                  <c:v>8</c:v>
                </c:pt>
                <c:pt idx="5">
                  <c:v>5</c:v>
                </c:pt>
                <c:pt idx="6">
                  <c:v>2</c:v>
                </c:pt>
                <c:pt idx="7">
                  <c:v>2</c:v>
                </c:pt>
                <c:pt idx="8">
                  <c:v>2</c:v>
                </c:pt>
                <c:pt idx="9">
                  <c:v>1</c:v>
                </c:pt>
                <c:pt idx="10">
                  <c:v>1</c:v>
                </c:pt>
                <c:pt idx="11">
                  <c:v>1</c:v>
                </c:pt>
                <c:pt idx="12">
                  <c:v>1</c:v>
                </c:pt>
                <c:pt idx="13">
                  <c:v>1</c:v>
                </c:pt>
              </c:numCache>
            </c:numRef>
          </c:val>
          <c:extLst>
            <c:ext xmlns:c16="http://schemas.microsoft.com/office/drawing/2014/chart" uri="{C3380CC4-5D6E-409C-BE32-E72D297353CC}">
              <c16:uniqueId val="{00000000-F40D-5343-93CA-519C607DCF65}"/>
            </c:ext>
          </c:extLst>
        </c:ser>
        <c:dLbls>
          <c:showLegendKey val="0"/>
          <c:showVal val="1"/>
          <c:showCatName val="0"/>
          <c:showSerName val="0"/>
          <c:showPercent val="0"/>
          <c:showBubbleSize val="0"/>
        </c:dLbls>
        <c:gapWidth val="75"/>
        <c:overlap val="100"/>
        <c:axId val="311269279"/>
        <c:axId val="562992912"/>
      </c:barChart>
      <c:catAx>
        <c:axId val="311269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62992912"/>
        <c:crosses val="autoZero"/>
        <c:auto val="1"/>
        <c:lblAlgn val="ctr"/>
        <c:lblOffset val="100"/>
        <c:noMultiLvlLbl val="0"/>
      </c:catAx>
      <c:valAx>
        <c:axId val="562992912"/>
        <c:scaling>
          <c:orientation val="minMax"/>
        </c:scaling>
        <c:delete val="0"/>
        <c:axPos val="b"/>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26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 client data.xlsx]Pivot Tables!PivotTable22</c:name>
    <c:fmtId val="4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Tables'!$R$25</c:f>
              <c:strCache>
                <c:ptCount val="1"/>
                <c:pt idx="0">
                  <c:v>Total</c:v>
                </c:pt>
              </c:strCache>
            </c:strRef>
          </c:tx>
          <c:dPt>
            <c:idx val="0"/>
            <c:bubble3D val="0"/>
            <c:explosion val="12"/>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70D-0F42-BEEA-228DA96E489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70D-0F42-BEEA-228DA96E489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70D-0F42-BEEA-228DA96E489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70D-0F42-BEEA-228DA96E489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Tables'!$Q$26:$Q$30</c:f>
              <c:strCache>
                <c:ptCount val="4"/>
                <c:pt idx="0">
                  <c:v>Black / African / Caribbean</c:v>
                </c:pt>
                <c:pt idx="1">
                  <c:v>White</c:v>
                </c:pt>
                <c:pt idx="2">
                  <c:v>Asian</c:v>
                </c:pt>
                <c:pt idx="3">
                  <c:v>Other</c:v>
                </c:pt>
              </c:strCache>
            </c:strRef>
          </c:cat>
          <c:val>
            <c:numRef>
              <c:f>'Pivot Tables'!$R$26:$R$30</c:f>
              <c:numCache>
                <c:formatCode>0</c:formatCode>
                <c:ptCount val="4"/>
                <c:pt idx="0">
                  <c:v>119</c:v>
                </c:pt>
                <c:pt idx="1">
                  <c:v>51</c:v>
                </c:pt>
                <c:pt idx="2">
                  <c:v>26</c:v>
                </c:pt>
                <c:pt idx="3">
                  <c:v>14</c:v>
                </c:pt>
              </c:numCache>
            </c:numRef>
          </c:val>
          <c:extLst>
            <c:ext xmlns:c16="http://schemas.microsoft.com/office/drawing/2014/chart" uri="{C3380CC4-5D6E-409C-BE32-E72D297353CC}">
              <c16:uniqueId val="{00000008-D70D-0F42-BEEA-228DA96E489B}"/>
            </c:ext>
          </c:extLst>
        </c:ser>
        <c:dLbls>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hyperlink" Target="#Counsellors!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Demographic!A1"/><Relationship Id="rId5" Type="http://schemas.openxmlformats.org/officeDocument/2006/relationships/image" Target="../media/image5.png"/><Relationship Id="rId10" Type="http://schemas.openxmlformats.org/officeDocument/2006/relationships/hyperlink" Target="#Age!A1"/><Relationship Id="rId4" Type="http://schemas.openxmlformats.org/officeDocument/2006/relationships/image" Target="../media/image4.svg"/><Relationship Id="rId9" Type="http://schemas.openxmlformats.org/officeDocument/2006/relationships/hyperlink" Target="#'Main 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Age!A1"/><Relationship Id="rId7" Type="http://schemas.openxmlformats.org/officeDocument/2006/relationships/image" Target="../media/image8.svg"/><Relationship Id="rId12" Type="http://schemas.openxmlformats.org/officeDocument/2006/relationships/chart" Target="../charts/chart7.xml"/><Relationship Id="rId2" Type="http://schemas.openxmlformats.org/officeDocument/2006/relationships/hyperlink" Target="#'Main Dashboard'!A1"/><Relationship Id="rId1" Type="http://schemas.openxmlformats.org/officeDocument/2006/relationships/chart" Target="../charts/chart4.xml"/><Relationship Id="rId6" Type="http://schemas.openxmlformats.org/officeDocument/2006/relationships/image" Target="../media/image7.png"/><Relationship Id="rId11" Type="http://schemas.openxmlformats.org/officeDocument/2006/relationships/chart" Target="../charts/chart6.xml"/><Relationship Id="rId5" Type="http://schemas.openxmlformats.org/officeDocument/2006/relationships/hyperlink" Target="#Counsellors!A1"/><Relationship Id="rId10" Type="http://schemas.openxmlformats.org/officeDocument/2006/relationships/image" Target="../media/image10.svg"/><Relationship Id="rId4" Type="http://schemas.openxmlformats.org/officeDocument/2006/relationships/hyperlink" Target="#Demographic!A1"/><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hyperlink" Target="#'Main Dashboard'!A1"/><Relationship Id="rId7" Type="http://schemas.openxmlformats.org/officeDocument/2006/relationships/chart" Target="../charts/chart9.xm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8.xml"/><Relationship Id="rId5" Type="http://schemas.openxmlformats.org/officeDocument/2006/relationships/hyperlink" Target="#Counsellors!A1"/><Relationship Id="rId4" Type="http://schemas.openxmlformats.org/officeDocument/2006/relationships/hyperlink" Target="#Age!A1"/></Relationships>
</file>

<file path=xl/drawings/_rels/drawing4.xml.rels><?xml version="1.0" encoding="UTF-8" standalone="yes"?>
<Relationships xmlns="http://schemas.openxmlformats.org/package/2006/relationships"><Relationship Id="rId3" Type="http://schemas.openxmlformats.org/officeDocument/2006/relationships/hyperlink" Target="#Demographic!A1"/><Relationship Id="rId2" Type="http://schemas.openxmlformats.org/officeDocument/2006/relationships/hyperlink" Target="#Age!A1"/><Relationship Id="rId1" Type="http://schemas.openxmlformats.org/officeDocument/2006/relationships/hyperlink" Target="#'Main Dashboard'!A1"/><Relationship Id="rId5" Type="http://schemas.openxmlformats.org/officeDocument/2006/relationships/image" Target="../media/image13.emf"/><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76200</xdr:colOff>
      <xdr:row>14</xdr:row>
      <xdr:rowOff>101600</xdr:rowOff>
    </xdr:from>
    <xdr:to>
      <xdr:col>10</xdr:col>
      <xdr:colOff>76200</xdr:colOff>
      <xdr:row>25</xdr:row>
      <xdr:rowOff>50800</xdr:rowOff>
    </xdr:to>
    <xdr:sp macro="" textlink="">
      <xdr:nvSpPr>
        <xdr:cNvPr id="60" name="Rounded Rectangle 59">
          <a:extLst>
            <a:ext uri="{FF2B5EF4-FFF2-40B4-BE49-F238E27FC236}">
              <a16:creationId xmlns:a16="http://schemas.microsoft.com/office/drawing/2014/main" id="{B4D5FF85-909D-4E0A-A448-08E55B95EDBD}"/>
            </a:ext>
          </a:extLst>
        </xdr:cNvPr>
        <xdr:cNvSpPr/>
      </xdr:nvSpPr>
      <xdr:spPr>
        <a:xfrm>
          <a:off x="5854700" y="2946400"/>
          <a:ext cx="2476500" cy="2184400"/>
        </a:xfrm>
        <a:prstGeom prst="roundRect">
          <a:avLst/>
        </a:prstGeom>
        <a:solidFill>
          <a:srgbClr val="F5BEC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60</xdr:col>
      <xdr:colOff>762000</xdr:colOff>
      <xdr:row>5</xdr:row>
      <xdr:rowOff>7186</xdr:rowOff>
    </xdr:to>
    <xdr:sp macro="" textlink="">
      <xdr:nvSpPr>
        <xdr:cNvPr id="2" name="Rectangle 1">
          <a:extLst>
            <a:ext uri="{FF2B5EF4-FFF2-40B4-BE49-F238E27FC236}">
              <a16:creationId xmlns:a16="http://schemas.microsoft.com/office/drawing/2014/main" id="{11A9EEEC-1C0C-7C65-2140-9A3104F1E811}"/>
            </a:ext>
          </a:extLst>
        </xdr:cNvPr>
        <xdr:cNvSpPr/>
      </xdr:nvSpPr>
      <xdr:spPr>
        <a:xfrm>
          <a:off x="0" y="0"/>
          <a:ext cx="50292000" cy="102318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200">
            <a:solidFill>
              <a:schemeClr val="bg1"/>
            </a:solidFill>
          </a:endParaRPr>
        </a:p>
      </xdr:txBody>
    </xdr:sp>
    <xdr:clientData/>
  </xdr:twoCellAnchor>
  <xdr:twoCellAnchor>
    <xdr:from>
      <xdr:col>0</xdr:col>
      <xdr:colOff>0</xdr:colOff>
      <xdr:row>5</xdr:row>
      <xdr:rowOff>1</xdr:rowOff>
    </xdr:from>
    <xdr:to>
      <xdr:col>3</xdr:col>
      <xdr:colOff>14598</xdr:colOff>
      <xdr:row>94</xdr:row>
      <xdr:rowOff>1</xdr:rowOff>
    </xdr:to>
    <xdr:sp macro="" textlink="">
      <xdr:nvSpPr>
        <xdr:cNvPr id="3" name="Rectangle 2">
          <a:extLst>
            <a:ext uri="{FF2B5EF4-FFF2-40B4-BE49-F238E27FC236}">
              <a16:creationId xmlns:a16="http://schemas.microsoft.com/office/drawing/2014/main" id="{886391CE-8A37-94AD-B511-41423D94C26D}"/>
            </a:ext>
          </a:extLst>
        </xdr:cNvPr>
        <xdr:cNvSpPr/>
      </xdr:nvSpPr>
      <xdr:spPr>
        <a:xfrm>
          <a:off x="0" y="1016001"/>
          <a:ext cx="2491098" cy="180848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rgbClr val="DABD63"/>
            </a:solidFill>
          </a:endParaRPr>
        </a:p>
      </xdr:txBody>
    </xdr:sp>
    <xdr:clientData/>
  </xdr:twoCellAnchor>
  <xdr:twoCellAnchor>
    <xdr:from>
      <xdr:col>0</xdr:col>
      <xdr:colOff>0</xdr:colOff>
      <xdr:row>0</xdr:row>
      <xdr:rowOff>174636</xdr:rowOff>
    </xdr:from>
    <xdr:to>
      <xdr:col>3</xdr:col>
      <xdr:colOff>674416</xdr:colOff>
      <xdr:row>5</xdr:row>
      <xdr:rowOff>0</xdr:rowOff>
    </xdr:to>
    <xdr:sp macro="" textlink="">
      <xdr:nvSpPr>
        <xdr:cNvPr id="4" name="TextBox 3">
          <a:extLst>
            <a:ext uri="{FF2B5EF4-FFF2-40B4-BE49-F238E27FC236}">
              <a16:creationId xmlns:a16="http://schemas.microsoft.com/office/drawing/2014/main" id="{F228F0D4-C524-33F3-4E71-D70F933B868B}"/>
            </a:ext>
          </a:extLst>
        </xdr:cNvPr>
        <xdr:cNvSpPr txBox="1"/>
      </xdr:nvSpPr>
      <xdr:spPr>
        <a:xfrm>
          <a:off x="0" y="174636"/>
          <a:ext cx="3150916" cy="841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2400" baseline="0">
              <a:latin typeface="American Typewriter" panose="02090604020004020304" pitchFamily="18" charset="77"/>
            </a:rPr>
            <a:t>Counselling Agency </a:t>
          </a:r>
          <a:r>
            <a:rPr lang="en-GB" sz="2400" baseline="0">
              <a:solidFill>
                <a:schemeClr val="accent1">
                  <a:lumMod val="60000"/>
                  <a:lumOff val="40000"/>
                </a:schemeClr>
              </a:solidFill>
              <a:latin typeface="American Typewriter" panose="02090604020004020304" pitchFamily="18" charset="77"/>
            </a:rPr>
            <a:t>Dashboard</a:t>
          </a:r>
          <a:endParaRPr lang="en-GB" sz="2000" baseline="0">
            <a:solidFill>
              <a:schemeClr val="accent1">
                <a:lumMod val="60000"/>
                <a:lumOff val="40000"/>
              </a:schemeClr>
            </a:solidFill>
            <a:latin typeface="American Typewriter" panose="02090604020004020304" pitchFamily="18" charset="77"/>
          </a:endParaRPr>
        </a:p>
      </xdr:txBody>
    </xdr:sp>
    <xdr:clientData/>
  </xdr:twoCellAnchor>
  <xdr:twoCellAnchor>
    <xdr:from>
      <xdr:col>16</xdr:col>
      <xdr:colOff>508000</xdr:colOff>
      <xdr:row>0</xdr:row>
      <xdr:rowOff>122594</xdr:rowOff>
    </xdr:from>
    <xdr:to>
      <xdr:col>21</xdr:col>
      <xdr:colOff>0</xdr:colOff>
      <xdr:row>4</xdr:row>
      <xdr:rowOff>190500</xdr:rowOff>
    </xdr:to>
    <xdr:sp macro="" textlink="">
      <xdr:nvSpPr>
        <xdr:cNvPr id="5" name="TextBox 4">
          <a:extLst>
            <a:ext uri="{FF2B5EF4-FFF2-40B4-BE49-F238E27FC236}">
              <a16:creationId xmlns:a16="http://schemas.microsoft.com/office/drawing/2014/main" id="{335D527F-332E-1142-9A99-D923EC067834}"/>
            </a:ext>
          </a:extLst>
        </xdr:cNvPr>
        <xdr:cNvSpPr txBox="1"/>
      </xdr:nvSpPr>
      <xdr:spPr>
        <a:xfrm>
          <a:off x="13716000" y="122594"/>
          <a:ext cx="3619500" cy="880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a:t>Last</a:t>
          </a:r>
          <a:r>
            <a:rPr lang="en-GB" sz="2400" baseline="0"/>
            <a:t> update</a:t>
          </a:r>
        </a:p>
        <a:p>
          <a:pPr algn="ctr"/>
          <a:r>
            <a:rPr lang="en-GB" sz="2400" baseline="0">
              <a:solidFill>
                <a:schemeClr val="accent1">
                  <a:lumMod val="60000"/>
                  <a:lumOff val="40000"/>
                </a:schemeClr>
              </a:solidFill>
            </a:rPr>
            <a:t>March 4th 2025</a:t>
          </a:r>
          <a:endParaRPr lang="en-GB" sz="2400">
            <a:solidFill>
              <a:schemeClr val="accent1">
                <a:lumMod val="60000"/>
                <a:lumOff val="40000"/>
              </a:schemeClr>
            </a:solidFill>
          </a:endParaRPr>
        </a:p>
      </xdr:txBody>
    </xdr:sp>
    <xdr:clientData/>
  </xdr:twoCellAnchor>
  <xdr:twoCellAnchor>
    <xdr:from>
      <xdr:col>15</xdr:col>
      <xdr:colOff>677334</xdr:colOff>
      <xdr:row>0</xdr:row>
      <xdr:rowOff>21166</xdr:rowOff>
    </xdr:from>
    <xdr:to>
      <xdr:col>15</xdr:col>
      <xdr:colOff>687917</xdr:colOff>
      <xdr:row>5</xdr:row>
      <xdr:rowOff>31749</xdr:rowOff>
    </xdr:to>
    <xdr:cxnSp macro="">
      <xdr:nvCxnSpPr>
        <xdr:cNvPr id="8" name="Straight Connector 7">
          <a:extLst>
            <a:ext uri="{FF2B5EF4-FFF2-40B4-BE49-F238E27FC236}">
              <a16:creationId xmlns:a16="http://schemas.microsoft.com/office/drawing/2014/main" id="{ABCA94BF-25C1-A0A6-2448-1C7CEE100228}"/>
            </a:ext>
          </a:extLst>
        </xdr:cNvPr>
        <xdr:cNvCxnSpPr/>
      </xdr:nvCxnSpPr>
      <xdr:spPr>
        <a:xfrm>
          <a:off x="13059834" y="21166"/>
          <a:ext cx="10583" cy="10160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317825</xdr:colOff>
      <xdr:row>6</xdr:row>
      <xdr:rowOff>88991</xdr:rowOff>
    </xdr:from>
    <xdr:to>
      <xdr:col>7</xdr:col>
      <xdr:colOff>254000</xdr:colOff>
      <xdr:row>12</xdr:row>
      <xdr:rowOff>153096</xdr:rowOff>
    </xdr:to>
    <xdr:grpSp>
      <xdr:nvGrpSpPr>
        <xdr:cNvPr id="11" name="Group 10">
          <a:extLst>
            <a:ext uri="{FF2B5EF4-FFF2-40B4-BE49-F238E27FC236}">
              <a16:creationId xmlns:a16="http://schemas.microsoft.com/office/drawing/2014/main" id="{381299C8-61E3-CCEA-38BC-BB8934389054}"/>
            </a:ext>
          </a:extLst>
        </xdr:cNvPr>
        <xdr:cNvGrpSpPr/>
      </xdr:nvGrpSpPr>
      <xdr:grpSpPr>
        <a:xfrm>
          <a:off x="2794325" y="1308191"/>
          <a:ext cx="3238175" cy="1283305"/>
          <a:chOff x="3090333" y="1345596"/>
          <a:chExt cx="2635250" cy="1239762"/>
        </a:xfrm>
      </xdr:grpSpPr>
      <xdr:sp macro="" textlink="">
        <xdr:nvSpPr>
          <xdr:cNvPr id="17" name="Rounded Rectangle 16">
            <a:extLst>
              <a:ext uri="{FF2B5EF4-FFF2-40B4-BE49-F238E27FC236}">
                <a16:creationId xmlns:a16="http://schemas.microsoft.com/office/drawing/2014/main" id="{211280BE-79A2-4CF2-66B1-123EF565D246}"/>
              </a:ext>
            </a:extLst>
          </xdr:cNvPr>
          <xdr:cNvSpPr/>
        </xdr:nvSpPr>
        <xdr:spPr>
          <a:xfrm>
            <a:off x="3090333" y="1345596"/>
            <a:ext cx="2635250" cy="123976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solidFill>
                  <a:schemeClr val="tx1"/>
                </a:solidFill>
                <a:latin typeface="American Typewriter" panose="02090604020004020304" pitchFamily="18" charset="77"/>
              </a:rPr>
              <a:t>Total</a:t>
            </a:r>
            <a:r>
              <a:rPr lang="en-GB" sz="2400" baseline="0">
                <a:solidFill>
                  <a:schemeClr val="tx1"/>
                </a:solidFill>
                <a:latin typeface="American Typewriter" panose="02090604020004020304" pitchFamily="18" charset="77"/>
              </a:rPr>
              <a:t> Clients</a:t>
            </a:r>
            <a:endParaRPr lang="en-GB" sz="2400">
              <a:solidFill>
                <a:schemeClr val="tx1"/>
              </a:solidFill>
              <a:latin typeface="American Typewriter" panose="02090604020004020304" pitchFamily="18" charset="77"/>
            </a:endParaRPr>
          </a:p>
        </xdr:txBody>
      </xdr:sp>
      <xdr:sp macro="" textlink="'Pivot Tables'!B4">
        <xdr:nvSpPr>
          <xdr:cNvPr id="9" name="TextBox 8">
            <a:extLst>
              <a:ext uri="{FF2B5EF4-FFF2-40B4-BE49-F238E27FC236}">
                <a16:creationId xmlns:a16="http://schemas.microsoft.com/office/drawing/2014/main" id="{BC839A66-472B-1904-5DAB-AFB0D4BA46D6}"/>
              </a:ext>
            </a:extLst>
          </xdr:cNvPr>
          <xdr:cNvSpPr txBox="1"/>
        </xdr:nvSpPr>
        <xdr:spPr>
          <a:xfrm>
            <a:off x="4176928" y="1823275"/>
            <a:ext cx="886280" cy="464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DBBFB9-6D53-FF4D-8435-4961A51B1D08}" type="TxLink">
              <a:rPr lang="en-US" sz="2800" b="0" i="0" u="none" strike="noStrike">
                <a:solidFill>
                  <a:schemeClr val="bg1">
                    <a:lumMod val="50000"/>
                  </a:schemeClr>
                </a:solidFill>
                <a:latin typeface="Aptos Narrow"/>
                <a:ea typeface="Ayuthaya" pitchFamily="2" charset="-34"/>
                <a:cs typeface="Ayuthaya" pitchFamily="2" charset="-34"/>
              </a:rPr>
              <a:pPr/>
              <a:t>210</a:t>
            </a:fld>
            <a:endParaRPr lang="en-GB" sz="4400">
              <a:solidFill>
                <a:schemeClr val="bg1">
                  <a:lumMod val="50000"/>
                </a:schemeClr>
              </a:solidFill>
              <a:latin typeface="Ayuthaya" pitchFamily="2" charset="-34"/>
              <a:ea typeface="Ayuthaya" pitchFamily="2" charset="-34"/>
              <a:cs typeface="Ayuthaya" pitchFamily="2" charset="-34"/>
            </a:endParaRPr>
          </a:p>
        </xdr:txBody>
      </xdr:sp>
    </xdr:grpSp>
    <xdr:clientData/>
  </xdr:twoCellAnchor>
  <xdr:twoCellAnchor>
    <xdr:from>
      <xdr:col>17</xdr:col>
      <xdr:colOff>44567</xdr:colOff>
      <xdr:row>6</xdr:row>
      <xdr:rowOff>77687</xdr:rowOff>
    </xdr:from>
    <xdr:to>
      <xdr:col>20</xdr:col>
      <xdr:colOff>762000</xdr:colOff>
      <xdr:row>12</xdr:row>
      <xdr:rowOff>152400</xdr:rowOff>
    </xdr:to>
    <xdr:grpSp>
      <xdr:nvGrpSpPr>
        <xdr:cNvPr id="24" name="Group 23">
          <a:extLst>
            <a:ext uri="{FF2B5EF4-FFF2-40B4-BE49-F238E27FC236}">
              <a16:creationId xmlns:a16="http://schemas.microsoft.com/office/drawing/2014/main" id="{A63862E9-FACF-254B-B9E9-910127CD6C42}"/>
            </a:ext>
          </a:extLst>
        </xdr:cNvPr>
        <xdr:cNvGrpSpPr/>
      </xdr:nvGrpSpPr>
      <xdr:grpSpPr>
        <a:xfrm>
          <a:off x="14078067" y="1296887"/>
          <a:ext cx="3193933" cy="1293913"/>
          <a:chOff x="3090333" y="1345596"/>
          <a:chExt cx="2635250" cy="1239762"/>
        </a:xfrm>
      </xdr:grpSpPr>
      <xdr:sp macro="" textlink="">
        <xdr:nvSpPr>
          <xdr:cNvPr id="25" name="Rounded Rectangle 24">
            <a:extLst>
              <a:ext uri="{FF2B5EF4-FFF2-40B4-BE49-F238E27FC236}">
                <a16:creationId xmlns:a16="http://schemas.microsoft.com/office/drawing/2014/main" id="{0CAF33BB-92A2-A93F-ABC9-7404BE493BE4}"/>
              </a:ext>
            </a:extLst>
          </xdr:cNvPr>
          <xdr:cNvSpPr/>
        </xdr:nvSpPr>
        <xdr:spPr>
          <a:xfrm>
            <a:off x="3090333" y="1345596"/>
            <a:ext cx="2635250" cy="123976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solidFill>
                  <a:schemeClr val="tx1"/>
                </a:solidFill>
                <a:latin typeface="American Typewriter" panose="02090604020004020304" pitchFamily="18" charset="77"/>
              </a:rPr>
              <a:t>Total</a:t>
            </a:r>
            <a:r>
              <a:rPr lang="en-GB" sz="2400" baseline="0">
                <a:solidFill>
                  <a:schemeClr val="tx1"/>
                </a:solidFill>
                <a:latin typeface="American Typewriter" panose="02090604020004020304" pitchFamily="18" charset="77"/>
              </a:rPr>
              <a:t> Counsellors</a:t>
            </a:r>
            <a:endParaRPr lang="en-GB" sz="2400">
              <a:solidFill>
                <a:schemeClr val="tx1"/>
              </a:solidFill>
              <a:latin typeface="American Typewriter" panose="02090604020004020304" pitchFamily="18" charset="77"/>
            </a:endParaRPr>
          </a:p>
        </xdr:txBody>
      </xdr:sp>
      <xdr:sp macro="" textlink="'Pivot Tables'!B17">
        <xdr:nvSpPr>
          <xdr:cNvPr id="26" name="TextBox 25">
            <a:extLst>
              <a:ext uri="{FF2B5EF4-FFF2-40B4-BE49-F238E27FC236}">
                <a16:creationId xmlns:a16="http://schemas.microsoft.com/office/drawing/2014/main" id="{4B2E0298-D0F0-C7BF-2FA7-A36622A99956}"/>
              </a:ext>
            </a:extLst>
          </xdr:cNvPr>
          <xdr:cNvSpPr txBox="1"/>
        </xdr:nvSpPr>
        <xdr:spPr>
          <a:xfrm>
            <a:off x="4066496" y="1793821"/>
            <a:ext cx="1003360" cy="596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034DBF-2FAC-A342-AF2B-F088521EDCAF}" type="TxLink">
              <a:rPr lang="en-US" sz="3600" b="0" i="0" u="none" strike="noStrike">
                <a:solidFill>
                  <a:schemeClr val="bg1">
                    <a:lumMod val="50000"/>
                  </a:schemeClr>
                </a:solidFill>
                <a:latin typeface="Aptos Narrow"/>
                <a:ea typeface="Ayuthaya" pitchFamily="2" charset="-34"/>
                <a:cs typeface="Ayuthaya" pitchFamily="2" charset="-34"/>
              </a:rPr>
              <a:pPr/>
              <a:t>5</a:t>
            </a:fld>
            <a:endParaRPr lang="en-GB" sz="5400">
              <a:solidFill>
                <a:schemeClr val="bg1">
                  <a:lumMod val="50000"/>
                </a:schemeClr>
              </a:solidFill>
              <a:latin typeface="Ayuthaya" pitchFamily="2" charset="-34"/>
              <a:ea typeface="Ayuthaya" pitchFamily="2" charset="-34"/>
              <a:cs typeface="Ayuthaya" pitchFamily="2" charset="-34"/>
            </a:endParaRPr>
          </a:p>
        </xdr:txBody>
      </xdr:sp>
    </xdr:grpSp>
    <xdr:clientData/>
  </xdr:twoCellAnchor>
  <xdr:twoCellAnchor>
    <xdr:from>
      <xdr:col>8</xdr:col>
      <xdr:colOff>56747</xdr:colOff>
      <xdr:row>6</xdr:row>
      <xdr:rowOff>91350</xdr:rowOff>
    </xdr:from>
    <xdr:to>
      <xdr:col>11</xdr:col>
      <xdr:colOff>800100</xdr:colOff>
      <xdr:row>12</xdr:row>
      <xdr:rowOff>152399</xdr:rowOff>
    </xdr:to>
    <xdr:grpSp>
      <xdr:nvGrpSpPr>
        <xdr:cNvPr id="27" name="Group 26">
          <a:extLst>
            <a:ext uri="{FF2B5EF4-FFF2-40B4-BE49-F238E27FC236}">
              <a16:creationId xmlns:a16="http://schemas.microsoft.com/office/drawing/2014/main" id="{53ED6D41-A732-5B4C-96B9-251D877ABF98}"/>
            </a:ext>
          </a:extLst>
        </xdr:cNvPr>
        <xdr:cNvGrpSpPr/>
      </xdr:nvGrpSpPr>
      <xdr:grpSpPr>
        <a:xfrm>
          <a:off x="6660747" y="1310550"/>
          <a:ext cx="3219853" cy="1280249"/>
          <a:chOff x="3090333" y="1345596"/>
          <a:chExt cx="2635250" cy="1239762"/>
        </a:xfrm>
      </xdr:grpSpPr>
      <xdr:sp macro="" textlink="">
        <xdr:nvSpPr>
          <xdr:cNvPr id="28" name="Rounded Rectangle 27">
            <a:extLst>
              <a:ext uri="{FF2B5EF4-FFF2-40B4-BE49-F238E27FC236}">
                <a16:creationId xmlns:a16="http://schemas.microsoft.com/office/drawing/2014/main" id="{36785E2D-533A-40B5-60FB-00204F2FF50F}"/>
              </a:ext>
            </a:extLst>
          </xdr:cNvPr>
          <xdr:cNvSpPr/>
        </xdr:nvSpPr>
        <xdr:spPr>
          <a:xfrm>
            <a:off x="3090333" y="1345596"/>
            <a:ext cx="2635250" cy="123976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solidFill>
                  <a:schemeClr val="tx1"/>
                </a:solidFill>
                <a:latin typeface="American Typewriter" panose="02090604020004020304" pitchFamily="18" charset="77"/>
              </a:rPr>
              <a:t>Clients Waiting</a:t>
            </a:r>
            <a:r>
              <a:rPr lang="en-GB" sz="2400" baseline="0">
                <a:solidFill>
                  <a:schemeClr val="tx1"/>
                </a:solidFill>
                <a:latin typeface="American Typewriter" panose="02090604020004020304" pitchFamily="18" charset="77"/>
              </a:rPr>
              <a:t> Assessment</a:t>
            </a:r>
            <a:endParaRPr lang="en-GB" sz="2400">
              <a:solidFill>
                <a:schemeClr val="tx1"/>
              </a:solidFill>
              <a:latin typeface="American Typewriter" panose="02090604020004020304" pitchFamily="18" charset="77"/>
            </a:endParaRPr>
          </a:p>
        </xdr:txBody>
      </xdr:sp>
      <xdr:sp macro="" textlink="'Pivot Tables'!C29">
        <xdr:nvSpPr>
          <xdr:cNvPr id="29" name="TextBox 28">
            <a:extLst>
              <a:ext uri="{FF2B5EF4-FFF2-40B4-BE49-F238E27FC236}">
                <a16:creationId xmlns:a16="http://schemas.microsoft.com/office/drawing/2014/main" id="{DED2480C-AC68-F602-BD26-63F61A1CA663}"/>
              </a:ext>
            </a:extLst>
          </xdr:cNvPr>
          <xdr:cNvSpPr txBox="1"/>
        </xdr:nvSpPr>
        <xdr:spPr>
          <a:xfrm>
            <a:off x="4234071" y="2029247"/>
            <a:ext cx="886280" cy="464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55ECA7-E484-6E41-831E-B253BE189555}" type="TxLink">
              <a:rPr lang="en-US" sz="2800" b="0" i="0" u="none" strike="noStrike">
                <a:solidFill>
                  <a:schemeClr val="bg1">
                    <a:lumMod val="50000"/>
                  </a:schemeClr>
                </a:solidFill>
                <a:latin typeface="Aptos Narrow"/>
                <a:ea typeface="Ayuthaya" pitchFamily="2" charset="-34"/>
                <a:cs typeface="Ayuthaya" pitchFamily="2" charset="-34"/>
              </a:rPr>
              <a:pPr/>
              <a:t>7</a:t>
            </a:fld>
            <a:endParaRPr lang="en-GB" sz="8000">
              <a:solidFill>
                <a:schemeClr val="bg1">
                  <a:lumMod val="50000"/>
                </a:schemeClr>
              </a:solidFill>
              <a:latin typeface="Ayuthaya" pitchFamily="2" charset="-34"/>
              <a:ea typeface="Ayuthaya" pitchFamily="2" charset="-34"/>
              <a:cs typeface="Ayuthaya" pitchFamily="2" charset="-34"/>
            </a:endParaRPr>
          </a:p>
        </xdr:txBody>
      </xdr:sp>
    </xdr:grpSp>
    <xdr:clientData/>
  </xdr:twoCellAnchor>
  <xdr:twoCellAnchor>
    <xdr:from>
      <xdr:col>12</xdr:col>
      <xdr:colOff>571500</xdr:colOff>
      <xdr:row>6</xdr:row>
      <xdr:rowOff>92507</xdr:rowOff>
    </xdr:from>
    <xdr:to>
      <xdr:col>16</xdr:col>
      <xdr:colOff>254000</xdr:colOff>
      <xdr:row>13</xdr:row>
      <xdr:rowOff>140587</xdr:rowOff>
    </xdr:to>
    <xdr:grpSp>
      <xdr:nvGrpSpPr>
        <xdr:cNvPr id="30" name="Group 29">
          <a:extLst>
            <a:ext uri="{FF2B5EF4-FFF2-40B4-BE49-F238E27FC236}">
              <a16:creationId xmlns:a16="http://schemas.microsoft.com/office/drawing/2014/main" id="{C968FBD3-E521-004F-A1A0-E9265E356B98}"/>
            </a:ext>
          </a:extLst>
        </xdr:cNvPr>
        <xdr:cNvGrpSpPr/>
      </xdr:nvGrpSpPr>
      <xdr:grpSpPr>
        <a:xfrm>
          <a:off x="10477500" y="1311707"/>
          <a:ext cx="2984500" cy="1470480"/>
          <a:chOff x="3090333" y="1345596"/>
          <a:chExt cx="2635250" cy="1397513"/>
        </a:xfrm>
      </xdr:grpSpPr>
      <xdr:sp macro="" textlink="">
        <xdr:nvSpPr>
          <xdr:cNvPr id="31" name="Rounded Rectangle 30">
            <a:extLst>
              <a:ext uri="{FF2B5EF4-FFF2-40B4-BE49-F238E27FC236}">
                <a16:creationId xmlns:a16="http://schemas.microsoft.com/office/drawing/2014/main" id="{32AAD499-EEE8-3CE7-3DC0-FFB819B36F6D}"/>
              </a:ext>
            </a:extLst>
          </xdr:cNvPr>
          <xdr:cNvSpPr/>
        </xdr:nvSpPr>
        <xdr:spPr>
          <a:xfrm>
            <a:off x="3090333" y="1345596"/>
            <a:ext cx="2635250" cy="123976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solidFill>
                  <a:schemeClr val="tx1"/>
                </a:solidFill>
                <a:latin typeface="American Typewriter" panose="02090604020004020304" pitchFamily="18" charset="77"/>
              </a:rPr>
              <a:t>Clients Waiting</a:t>
            </a:r>
            <a:r>
              <a:rPr lang="en-GB" sz="2400" baseline="0">
                <a:solidFill>
                  <a:schemeClr val="tx1"/>
                </a:solidFill>
                <a:latin typeface="American Typewriter" panose="02090604020004020304" pitchFamily="18" charset="77"/>
              </a:rPr>
              <a:t> Allocation</a:t>
            </a:r>
            <a:endParaRPr lang="en-GB" sz="2400">
              <a:solidFill>
                <a:schemeClr val="tx1"/>
              </a:solidFill>
              <a:latin typeface="American Typewriter" panose="02090604020004020304" pitchFamily="18" charset="77"/>
            </a:endParaRPr>
          </a:p>
        </xdr:txBody>
      </xdr:sp>
      <xdr:sp macro="" textlink="'Pivot Tables'!C26">
        <xdr:nvSpPr>
          <xdr:cNvPr id="32" name="TextBox 31">
            <a:extLst>
              <a:ext uri="{FF2B5EF4-FFF2-40B4-BE49-F238E27FC236}">
                <a16:creationId xmlns:a16="http://schemas.microsoft.com/office/drawing/2014/main" id="{31475EA4-3700-9F18-5B81-D4E66DC4A81B}"/>
              </a:ext>
            </a:extLst>
          </xdr:cNvPr>
          <xdr:cNvSpPr txBox="1"/>
        </xdr:nvSpPr>
        <xdr:spPr>
          <a:xfrm>
            <a:off x="4225957" y="2017106"/>
            <a:ext cx="886280" cy="72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E49661-2E24-AD43-AD66-323B4BBAB2F4}" type="TxLink">
              <a:rPr lang="en-US" sz="2800" b="0" i="0" u="none" strike="noStrike">
                <a:solidFill>
                  <a:schemeClr val="bg1">
                    <a:lumMod val="50000"/>
                  </a:schemeClr>
                </a:solidFill>
                <a:latin typeface="Aptos Narrow"/>
                <a:ea typeface="Ayuthaya" pitchFamily="2" charset="-34"/>
                <a:cs typeface="Ayuthaya" pitchFamily="2" charset="-34"/>
              </a:rPr>
              <a:pPr/>
              <a:t>5</a:t>
            </a:fld>
            <a:endParaRPr lang="en-GB" sz="8000">
              <a:solidFill>
                <a:schemeClr val="bg1">
                  <a:lumMod val="50000"/>
                </a:schemeClr>
              </a:solidFill>
              <a:latin typeface="Ayuthaya" pitchFamily="2" charset="-34"/>
              <a:ea typeface="Ayuthaya" pitchFamily="2" charset="-34"/>
              <a:cs typeface="Ayuthaya" pitchFamily="2" charset="-34"/>
            </a:endParaRPr>
          </a:p>
        </xdr:txBody>
      </xdr:sp>
    </xdr:grpSp>
    <xdr:clientData/>
  </xdr:twoCellAnchor>
  <xdr:twoCellAnchor>
    <xdr:from>
      <xdr:col>7</xdr:col>
      <xdr:colOff>239574</xdr:colOff>
      <xdr:row>19</xdr:row>
      <xdr:rowOff>12700</xdr:rowOff>
    </xdr:from>
    <xdr:to>
      <xdr:col>8</xdr:col>
      <xdr:colOff>647700</xdr:colOff>
      <xdr:row>23</xdr:row>
      <xdr:rowOff>50800</xdr:rowOff>
    </xdr:to>
    <xdr:sp macro="" textlink="'Pivot Tables'!G6">
      <xdr:nvSpPr>
        <xdr:cNvPr id="48" name="TextBox 47">
          <a:extLst>
            <a:ext uri="{FF2B5EF4-FFF2-40B4-BE49-F238E27FC236}">
              <a16:creationId xmlns:a16="http://schemas.microsoft.com/office/drawing/2014/main" id="{B02018F3-0CFA-B54D-5A80-ADB769514C02}"/>
            </a:ext>
          </a:extLst>
        </xdr:cNvPr>
        <xdr:cNvSpPr txBox="1"/>
      </xdr:nvSpPr>
      <xdr:spPr>
        <a:xfrm>
          <a:off x="6018074" y="3873500"/>
          <a:ext cx="1233626" cy="850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3DD981E-7CA2-9445-8978-9CF23970EDB7}" type="TxLink">
            <a:rPr lang="en-US" sz="4800" b="0" i="0" u="none" strike="noStrike">
              <a:solidFill>
                <a:schemeClr val="bg1"/>
              </a:solidFill>
              <a:latin typeface="Aptos Narrow"/>
              <a:ea typeface="Ayuthaya" pitchFamily="2" charset="-34"/>
              <a:cs typeface="Ayuthaya" pitchFamily="2" charset="-34"/>
            </a:rPr>
            <a:pPr/>
            <a:t>143</a:t>
          </a:fld>
          <a:endParaRPr lang="en-GB" sz="400000">
            <a:solidFill>
              <a:schemeClr val="bg1"/>
            </a:solidFill>
            <a:latin typeface="Ayuthaya" pitchFamily="2" charset="-34"/>
            <a:ea typeface="Ayuthaya" pitchFamily="2" charset="-34"/>
            <a:cs typeface="Ayuthaya" pitchFamily="2" charset="-34"/>
          </a:endParaRPr>
        </a:p>
      </xdr:txBody>
    </xdr:sp>
    <xdr:clientData/>
  </xdr:twoCellAnchor>
  <xdr:twoCellAnchor>
    <xdr:from>
      <xdr:col>7</xdr:col>
      <xdr:colOff>240651</xdr:colOff>
      <xdr:row>15</xdr:row>
      <xdr:rowOff>114300</xdr:rowOff>
    </xdr:from>
    <xdr:to>
      <xdr:col>9</xdr:col>
      <xdr:colOff>38101</xdr:colOff>
      <xdr:row>19</xdr:row>
      <xdr:rowOff>139700</xdr:rowOff>
    </xdr:to>
    <xdr:sp macro="" textlink="'Pivot Tables'!G4">
      <xdr:nvSpPr>
        <xdr:cNvPr id="49" name="TextBox 48">
          <a:extLst>
            <a:ext uri="{FF2B5EF4-FFF2-40B4-BE49-F238E27FC236}">
              <a16:creationId xmlns:a16="http://schemas.microsoft.com/office/drawing/2014/main" id="{40E399EB-BEF2-E8A1-F557-D0CAF8069D65}"/>
            </a:ext>
          </a:extLst>
        </xdr:cNvPr>
        <xdr:cNvSpPr txBox="1"/>
      </xdr:nvSpPr>
      <xdr:spPr>
        <a:xfrm>
          <a:off x="6019151" y="3162300"/>
          <a:ext cx="1448450" cy="838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9287A6-6171-EF44-B5C4-67641790A7DD}" type="TxLink">
            <a:rPr lang="en-US" sz="4800" b="0" i="0" u="none" strike="noStrike">
              <a:solidFill>
                <a:schemeClr val="bg1"/>
              </a:solidFill>
              <a:latin typeface="Aptos Narrow"/>
              <a:ea typeface="Ayuthaya" pitchFamily="2" charset="-34"/>
              <a:cs typeface="Ayuthaya" pitchFamily="2" charset="-34"/>
            </a:rPr>
            <a:pPr/>
            <a:t>68%</a:t>
          </a:fld>
          <a:endParaRPr lang="en-GB" sz="59500">
            <a:solidFill>
              <a:schemeClr val="bg1"/>
            </a:solidFill>
            <a:latin typeface="Ayuthaya" pitchFamily="2" charset="-34"/>
            <a:ea typeface="Ayuthaya" pitchFamily="2" charset="-34"/>
            <a:cs typeface="Ayuthaya" pitchFamily="2" charset="-34"/>
          </a:endParaRPr>
        </a:p>
      </xdr:txBody>
    </xdr:sp>
    <xdr:clientData/>
  </xdr:twoCellAnchor>
  <xdr:twoCellAnchor editAs="oneCell">
    <xdr:from>
      <xdr:col>8</xdr:col>
      <xdr:colOff>762001</xdr:colOff>
      <xdr:row>14</xdr:row>
      <xdr:rowOff>50800</xdr:rowOff>
    </xdr:from>
    <xdr:to>
      <xdr:col>10</xdr:col>
      <xdr:colOff>141403</xdr:colOff>
      <xdr:row>19</xdr:row>
      <xdr:rowOff>50800</xdr:rowOff>
    </xdr:to>
    <xdr:pic>
      <xdr:nvPicPr>
        <xdr:cNvPr id="39" name="Graphic 38" descr="Female outline">
          <a:extLst>
            <a:ext uri="{FF2B5EF4-FFF2-40B4-BE49-F238E27FC236}">
              <a16:creationId xmlns:a16="http://schemas.microsoft.com/office/drawing/2014/main" id="{0AF22683-47FB-58DC-4074-6940367EEFA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366001" y="2895600"/>
          <a:ext cx="1030402" cy="1016000"/>
        </a:xfrm>
        <a:prstGeom prst="rect">
          <a:avLst/>
        </a:prstGeom>
      </xdr:spPr>
    </xdr:pic>
    <xdr:clientData/>
  </xdr:twoCellAnchor>
  <xdr:twoCellAnchor>
    <xdr:from>
      <xdr:col>10</xdr:col>
      <xdr:colOff>456739</xdr:colOff>
      <xdr:row>13</xdr:row>
      <xdr:rowOff>187027</xdr:rowOff>
    </xdr:from>
    <xdr:to>
      <xdr:col>16</xdr:col>
      <xdr:colOff>203200</xdr:colOff>
      <xdr:row>25</xdr:row>
      <xdr:rowOff>165100</xdr:rowOff>
    </xdr:to>
    <xdr:sp macro="" textlink="">
      <xdr:nvSpPr>
        <xdr:cNvPr id="52" name="Rounded Rectangle 51">
          <a:extLst>
            <a:ext uri="{FF2B5EF4-FFF2-40B4-BE49-F238E27FC236}">
              <a16:creationId xmlns:a16="http://schemas.microsoft.com/office/drawing/2014/main" id="{259A3718-6005-6C08-F3AF-3112E7E458AE}"/>
            </a:ext>
          </a:extLst>
        </xdr:cNvPr>
        <xdr:cNvSpPr/>
      </xdr:nvSpPr>
      <xdr:spPr>
        <a:xfrm>
          <a:off x="8711739" y="2828627"/>
          <a:ext cx="4699461" cy="241647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solidFill>
                <a:schemeClr val="tx1"/>
              </a:solidFill>
              <a:latin typeface="American Typewriter" panose="02090604020004020304" pitchFamily="18" charset="77"/>
            </a:rPr>
            <a:t>Client Processing</a:t>
          </a:r>
          <a:r>
            <a:rPr lang="en-GB" sz="2400" baseline="0">
              <a:solidFill>
                <a:schemeClr val="tx1"/>
              </a:solidFill>
              <a:latin typeface="American Typewriter" panose="02090604020004020304" pitchFamily="18" charset="77"/>
            </a:rPr>
            <a:t> Status</a:t>
          </a:r>
          <a:endParaRPr lang="en-GB" sz="2400">
            <a:solidFill>
              <a:schemeClr val="tx1"/>
            </a:solidFill>
            <a:latin typeface="American Typewriter" panose="02090604020004020304" pitchFamily="18" charset="77"/>
          </a:endParaRPr>
        </a:p>
      </xdr:txBody>
    </xdr:sp>
    <xdr:clientData/>
  </xdr:twoCellAnchor>
  <xdr:twoCellAnchor>
    <xdr:from>
      <xdr:col>8</xdr:col>
      <xdr:colOff>647700</xdr:colOff>
      <xdr:row>20</xdr:row>
      <xdr:rowOff>101601</xdr:rowOff>
    </xdr:from>
    <xdr:to>
      <xdr:col>9</xdr:col>
      <xdr:colOff>622300</xdr:colOff>
      <xdr:row>25</xdr:row>
      <xdr:rowOff>25401</xdr:rowOff>
    </xdr:to>
    <xdr:grpSp>
      <xdr:nvGrpSpPr>
        <xdr:cNvPr id="66" name="Graphic 62" descr="Female Profile outline">
          <a:extLst>
            <a:ext uri="{FF2B5EF4-FFF2-40B4-BE49-F238E27FC236}">
              <a16:creationId xmlns:a16="http://schemas.microsoft.com/office/drawing/2014/main" id="{4B7FFBA3-474E-5FF8-6516-FF977386C0E5}"/>
            </a:ext>
          </a:extLst>
        </xdr:cNvPr>
        <xdr:cNvGrpSpPr/>
      </xdr:nvGrpSpPr>
      <xdr:grpSpPr>
        <a:xfrm>
          <a:off x="7251700" y="4165601"/>
          <a:ext cx="800100" cy="939800"/>
          <a:chOff x="7023100" y="5065809"/>
          <a:chExt cx="609600" cy="719040"/>
        </a:xfrm>
        <a:solidFill>
          <a:schemeClr val="bg1"/>
        </a:solidFill>
      </xdr:grpSpPr>
      <xdr:sp macro="" textlink="">
        <xdr:nvSpPr>
          <xdr:cNvPr id="67" name="Freeform 66">
            <a:extLst>
              <a:ext uri="{FF2B5EF4-FFF2-40B4-BE49-F238E27FC236}">
                <a16:creationId xmlns:a16="http://schemas.microsoft.com/office/drawing/2014/main" id="{35ABC0C9-827C-2CE6-3596-F09CA7C40333}"/>
              </a:ext>
            </a:extLst>
          </xdr:cNvPr>
          <xdr:cNvSpPr/>
        </xdr:nvSpPr>
        <xdr:spPr>
          <a:xfrm>
            <a:off x="7121151" y="5065809"/>
            <a:ext cx="413222" cy="427995"/>
          </a:xfrm>
          <a:custGeom>
            <a:avLst/>
            <a:gdLst>
              <a:gd name="connsiteX0" fmla="*/ 9514 w 413222"/>
              <a:gd name="connsiteY0" fmla="*/ 427995 h 427995"/>
              <a:gd name="connsiteX1" fmla="*/ 9657 w 413222"/>
              <a:gd name="connsiteY1" fmla="*/ 427995 h 427995"/>
              <a:gd name="connsiteX2" fmla="*/ 114203 w 413222"/>
              <a:gd name="connsiteY2" fmla="*/ 409031 h 427995"/>
              <a:gd name="connsiteX3" fmla="*/ 115061 w 413222"/>
              <a:gd name="connsiteY3" fmla="*/ 408516 h 427995"/>
              <a:gd name="connsiteX4" fmla="*/ 154199 w 413222"/>
              <a:gd name="connsiteY4" fmla="*/ 374808 h 427995"/>
              <a:gd name="connsiteX5" fmla="*/ 160571 w 413222"/>
              <a:gd name="connsiteY5" fmla="*/ 368769 h 427995"/>
              <a:gd name="connsiteX6" fmla="*/ 199538 w 413222"/>
              <a:gd name="connsiteY6" fmla="*/ 375970 h 427995"/>
              <a:gd name="connsiteX7" fmla="*/ 206863 w 413222"/>
              <a:gd name="connsiteY7" fmla="*/ 376141 h 427995"/>
              <a:gd name="connsiteX8" fmla="*/ 245915 w 413222"/>
              <a:gd name="connsiteY8" fmla="*/ 370978 h 427995"/>
              <a:gd name="connsiteX9" fmla="*/ 251316 w 413222"/>
              <a:gd name="connsiteY9" fmla="*/ 376055 h 427995"/>
              <a:gd name="connsiteX10" fmla="*/ 288016 w 413222"/>
              <a:gd name="connsiteY10" fmla="*/ 407993 h 427995"/>
              <a:gd name="connsiteX11" fmla="*/ 405916 w 413222"/>
              <a:gd name="connsiteY11" fmla="*/ 411555 h 427995"/>
              <a:gd name="connsiteX12" fmla="*/ 413088 w 413222"/>
              <a:gd name="connsiteY12" fmla="*/ 403935 h 427995"/>
              <a:gd name="connsiteX13" fmla="*/ 408831 w 413222"/>
              <a:gd name="connsiteY13" fmla="*/ 394229 h 427995"/>
              <a:gd name="connsiteX14" fmla="*/ 376912 w 413222"/>
              <a:gd name="connsiteY14" fmla="*/ 332021 h 427995"/>
              <a:gd name="connsiteX15" fmla="*/ 387390 w 413222"/>
              <a:gd name="connsiteY15" fmla="*/ 250373 h 427995"/>
              <a:gd name="connsiteX16" fmla="*/ 402287 w 413222"/>
              <a:gd name="connsiteY16" fmla="*/ 153932 h 427995"/>
              <a:gd name="connsiteX17" fmla="*/ 357377 w 413222"/>
              <a:gd name="connsiteY17" fmla="*/ 60787 h 427995"/>
              <a:gd name="connsiteX18" fmla="*/ 307913 w 413222"/>
              <a:gd name="connsiteY18" fmla="*/ 57806 h 427995"/>
              <a:gd name="connsiteX19" fmla="*/ 228761 w 413222"/>
              <a:gd name="connsiteY19" fmla="*/ 7152 h 427995"/>
              <a:gd name="connsiteX20" fmla="*/ 75694 w 413222"/>
              <a:gd name="connsiteY20" fmla="*/ 26888 h 427995"/>
              <a:gd name="connsiteX21" fmla="*/ 15810 w 413222"/>
              <a:gd name="connsiteY21" fmla="*/ 174954 h 427995"/>
              <a:gd name="connsiteX22" fmla="*/ 19830 w 413222"/>
              <a:gd name="connsiteY22" fmla="*/ 283606 h 427995"/>
              <a:gd name="connsiteX23" fmla="*/ 21211 w 413222"/>
              <a:gd name="connsiteY23" fmla="*/ 364397 h 427995"/>
              <a:gd name="connsiteX24" fmla="*/ 1856 w 413222"/>
              <a:gd name="connsiteY24" fmla="*/ 412822 h 427995"/>
              <a:gd name="connsiteX25" fmla="*/ 3877 w 413222"/>
              <a:gd name="connsiteY25" fmla="*/ 426140 h 427995"/>
              <a:gd name="connsiteX26" fmla="*/ 9476 w 413222"/>
              <a:gd name="connsiteY26" fmla="*/ 427995 h 427995"/>
              <a:gd name="connsiteX27" fmla="*/ 200414 w 413222"/>
              <a:gd name="connsiteY27" fmla="*/ 356939 h 427995"/>
              <a:gd name="connsiteX28" fmla="*/ 73656 w 413222"/>
              <a:gd name="connsiteY28" fmla="*/ 230980 h 427995"/>
              <a:gd name="connsiteX29" fmla="*/ 73656 w 413222"/>
              <a:gd name="connsiteY29" fmla="*/ 217150 h 427995"/>
              <a:gd name="connsiteX30" fmla="*/ 91591 w 413222"/>
              <a:gd name="connsiteY30" fmla="*/ 199405 h 427995"/>
              <a:gd name="connsiteX31" fmla="*/ 112051 w 413222"/>
              <a:gd name="connsiteY31" fmla="*/ 197500 h 427995"/>
              <a:gd name="connsiteX32" fmla="*/ 201776 w 413222"/>
              <a:gd name="connsiteY32" fmla="*/ 172173 h 427995"/>
              <a:gd name="connsiteX33" fmla="*/ 288387 w 413222"/>
              <a:gd name="connsiteY33" fmla="*/ 112994 h 427995"/>
              <a:gd name="connsiteX34" fmla="*/ 303913 w 413222"/>
              <a:gd name="connsiteY34" fmla="*/ 154856 h 427995"/>
              <a:gd name="connsiteX35" fmla="*/ 304522 w 413222"/>
              <a:gd name="connsiteY35" fmla="*/ 155733 h 427995"/>
              <a:gd name="connsiteX36" fmla="*/ 317486 w 413222"/>
              <a:gd name="connsiteY36" fmla="*/ 167505 h 427995"/>
              <a:gd name="connsiteX37" fmla="*/ 319039 w 413222"/>
              <a:gd name="connsiteY37" fmla="*/ 168677 h 427995"/>
              <a:gd name="connsiteX38" fmla="*/ 323982 w 413222"/>
              <a:gd name="connsiteY38" fmla="*/ 173344 h 427995"/>
              <a:gd name="connsiteX39" fmla="*/ 339403 w 413222"/>
              <a:gd name="connsiteY39" fmla="*/ 209787 h 427995"/>
              <a:gd name="connsiteX40" fmla="*/ 340098 w 413222"/>
              <a:gd name="connsiteY40" fmla="*/ 223741 h 427995"/>
              <a:gd name="connsiteX41" fmla="*/ 206746 w 413222"/>
              <a:gd name="connsiteY41" fmla="*/ 357089 h 427995"/>
              <a:gd name="connsiteX42" fmla="*/ 200414 w 413222"/>
              <a:gd name="connsiteY42" fmla="*/ 356939 h 427995"/>
              <a:gd name="connsiteX43" fmla="*/ 38851 w 413222"/>
              <a:gd name="connsiteY43" fmla="*/ 282396 h 427995"/>
              <a:gd name="connsiteX44" fmla="*/ 34860 w 413222"/>
              <a:gd name="connsiteY44" fmla="*/ 175125 h 427995"/>
              <a:gd name="connsiteX45" fmla="*/ 85600 w 413222"/>
              <a:gd name="connsiteY45" fmla="*/ 43157 h 427995"/>
              <a:gd name="connsiteX46" fmla="*/ 223389 w 413222"/>
              <a:gd name="connsiteY46" fmla="*/ 25402 h 427995"/>
              <a:gd name="connsiteX47" fmla="*/ 295245 w 413222"/>
              <a:gd name="connsiteY47" fmla="*/ 73027 h 427995"/>
              <a:gd name="connsiteX48" fmla="*/ 306427 w 413222"/>
              <a:gd name="connsiteY48" fmla="*/ 77694 h 427995"/>
              <a:gd name="connsiteX49" fmla="*/ 348871 w 413222"/>
              <a:gd name="connsiteY49" fmla="*/ 77780 h 427995"/>
              <a:gd name="connsiteX50" fmla="*/ 383161 w 413222"/>
              <a:gd name="connsiteY50" fmla="*/ 153808 h 427995"/>
              <a:gd name="connsiteX51" fmla="*/ 368711 w 413222"/>
              <a:gd name="connsiteY51" fmla="*/ 246201 h 427995"/>
              <a:gd name="connsiteX52" fmla="*/ 358405 w 413222"/>
              <a:gd name="connsiteY52" fmla="*/ 336688 h 427995"/>
              <a:gd name="connsiteX53" fmla="*/ 384513 w 413222"/>
              <a:gd name="connsiteY53" fmla="*/ 396296 h 427995"/>
              <a:gd name="connsiteX54" fmla="*/ 299141 w 413222"/>
              <a:gd name="connsiteY54" fmla="*/ 392581 h 427995"/>
              <a:gd name="connsiteX55" fmla="*/ 266270 w 413222"/>
              <a:gd name="connsiteY55" fmla="*/ 364006 h 427995"/>
              <a:gd name="connsiteX56" fmla="*/ 359148 w 413222"/>
              <a:gd name="connsiteY56" fmla="*/ 223741 h 427995"/>
              <a:gd name="connsiteX57" fmla="*/ 358329 w 413222"/>
              <a:gd name="connsiteY57" fmla="*/ 207796 h 427995"/>
              <a:gd name="connsiteX58" fmla="*/ 338127 w 413222"/>
              <a:gd name="connsiteY58" fmla="*/ 160590 h 427995"/>
              <a:gd name="connsiteX59" fmla="*/ 330507 w 413222"/>
              <a:gd name="connsiteY59" fmla="*/ 153456 h 427995"/>
              <a:gd name="connsiteX60" fmla="*/ 328878 w 413222"/>
              <a:gd name="connsiteY60" fmla="*/ 152237 h 427995"/>
              <a:gd name="connsiteX61" fmla="*/ 319829 w 413222"/>
              <a:gd name="connsiteY61" fmla="*/ 144379 h 427995"/>
              <a:gd name="connsiteX62" fmla="*/ 306942 w 413222"/>
              <a:gd name="connsiteY62" fmla="*/ 108412 h 427995"/>
              <a:gd name="connsiteX63" fmla="*/ 286394 w 413222"/>
              <a:gd name="connsiteY63" fmla="*/ 93154 h 427995"/>
              <a:gd name="connsiteX64" fmla="*/ 276576 w 413222"/>
              <a:gd name="connsiteY64" fmla="*/ 97935 h 427995"/>
              <a:gd name="connsiteX65" fmla="*/ 193613 w 413222"/>
              <a:gd name="connsiteY65" fmla="*/ 154904 h 427995"/>
              <a:gd name="connsiteX66" fmla="*/ 109136 w 413222"/>
              <a:gd name="connsiteY66" fmla="*/ 178631 h 427995"/>
              <a:gd name="connsiteX67" fmla="*/ 91105 w 413222"/>
              <a:gd name="connsiteY67" fmla="*/ 180336 h 427995"/>
              <a:gd name="connsiteX68" fmla="*/ 54606 w 413222"/>
              <a:gd name="connsiteY68" fmla="*/ 216188 h 427995"/>
              <a:gd name="connsiteX69" fmla="*/ 54606 w 413222"/>
              <a:gd name="connsiteY69" fmla="*/ 216188 h 427995"/>
              <a:gd name="connsiteX70" fmla="*/ 54606 w 413222"/>
              <a:gd name="connsiteY70" fmla="*/ 231952 h 427995"/>
              <a:gd name="connsiteX71" fmla="*/ 141169 w 413222"/>
              <a:gd name="connsiteY71" fmla="*/ 360901 h 427995"/>
              <a:gd name="connsiteX72" fmla="*/ 141064 w 413222"/>
              <a:gd name="connsiteY72" fmla="*/ 361006 h 427995"/>
              <a:gd name="connsiteX73" fmla="*/ 104869 w 413222"/>
              <a:gd name="connsiteY73" fmla="*/ 392438 h 427995"/>
              <a:gd name="connsiteX74" fmla="*/ 27183 w 413222"/>
              <a:gd name="connsiteY74" fmla="*/ 408145 h 427995"/>
              <a:gd name="connsiteX75" fmla="*/ 40061 w 413222"/>
              <a:gd name="connsiteY75" fmla="*/ 367016 h 427995"/>
              <a:gd name="connsiteX76" fmla="*/ 38851 w 413222"/>
              <a:gd name="connsiteY76" fmla="*/ 282396 h 42799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Lst>
            <a:rect l="l" t="t" r="r" b="b"/>
            <a:pathLst>
              <a:path w="413222" h="427995">
                <a:moveTo>
                  <a:pt x="9514" y="427995"/>
                </a:moveTo>
                <a:lnTo>
                  <a:pt x="9657" y="427995"/>
                </a:lnTo>
                <a:cubicBezTo>
                  <a:pt x="12515" y="427995"/>
                  <a:pt x="80656" y="426757"/>
                  <a:pt x="114203" y="409031"/>
                </a:cubicBezTo>
                <a:cubicBezTo>
                  <a:pt x="114489" y="408869"/>
                  <a:pt x="114784" y="408697"/>
                  <a:pt x="115061" y="408516"/>
                </a:cubicBezTo>
                <a:cubicBezTo>
                  <a:pt x="128964" y="398316"/>
                  <a:pt x="142050" y="387045"/>
                  <a:pt x="154199" y="374808"/>
                </a:cubicBezTo>
                <a:cubicBezTo>
                  <a:pt x="156390" y="372722"/>
                  <a:pt x="158504" y="370712"/>
                  <a:pt x="160571" y="368769"/>
                </a:cubicBezTo>
                <a:cubicBezTo>
                  <a:pt x="173179" y="372903"/>
                  <a:pt x="186285" y="375325"/>
                  <a:pt x="199538" y="375970"/>
                </a:cubicBezTo>
                <a:cubicBezTo>
                  <a:pt x="201986" y="376084"/>
                  <a:pt x="204434" y="376141"/>
                  <a:pt x="206863" y="376141"/>
                </a:cubicBezTo>
                <a:cubicBezTo>
                  <a:pt x="220048" y="376111"/>
                  <a:pt x="233174" y="374377"/>
                  <a:pt x="245915" y="370978"/>
                </a:cubicBezTo>
                <a:cubicBezTo>
                  <a:pt x="247658" y="372607"/>
                  <a:pt x="249420" y="374265"/>
                  <a:pt x="251316" y="376055"/>
                </a:cubicBezTo>
                <a:cubicBezTo>
                  <a:pt x="262889" y="387437"/>
                  <a:pt x="275145" y="398102"/>
                  <a:pt x="288016" y="407993"/>
                </a:cubicBezTo>
                <a:cubicBezTo>
                  <a:pt x="319181" y="430557"/>
                  <a:pt x="397125" y="413565"/>
                  <a:pt x="405916" y="411555"/>
                </a:cubicBezTo>
                <a:cubicBezTo>
                  <a:pt x="409613" y="410673"/>
                  <a:pt x="412432" y="407678"/>
                  <a:pt x="413088" y="403935"/>
                </a:cubicBezTo>
                <a:cubicBezTo>
                  <a:pt x="413727" y="400140"/>
                  <a:pt x="412055" y="396329"/>
                  <a:pt x="408831" y="394229"/>
                </a:cubicBezTo>
                <a:cubicBezTo>
                  <a:pt x="408631" y="394105"/>
                  <a:pt x="389324" y="381075"/>
                  <a:pt x="376912" y="332021"/>
                </a:cubicBezTo>
                <a:cubicBezTo>
                  <a:pt x="372845" y="316105"/>
                  <a:pt x="379894" y="284177"/>
                  <a:pt x="387390" y="250373"/>
                </a:cubicBezTo>
                <a:cubicBezTo>
                  <a:pt x="395576" y="218807"/>
                  <a:pt x="400567" y="186497"/>
                  <a:pt x="402287" y="153932"/>
                </a:cubicBezTo>
                <a:cubicBezTo>
                  <a:pt x="402287" y="105593"/>
                  <a:pt x="388000" y="75989"/>
                  <a:pt x="357377" y="60787"/>
                </a:cubicBezTo>
                <a:cubicBezTo>
                  <a:pt x="341603" y="54661"/>
                  <a:pt x="324309" y="53619"/>
                  <a:pt x="307913" y="57806"/>
                </a:cubicBezTo>
                <a:cubicBezTo>
                  <a:pt x="299341" y="46290"/>
                  <a:pt x="276538" y="22040"/>
                  <a:pt x="228761" y="7152"/>
                </a:cubicBezTo>
                <a:cubicBezTo>
                  <a:pt x="177155" y="-7041"/>
                  <a:pt x="122012" y="69"/>
                  <a:pt x="75694" y="26888"/>
                </a:cubicBezTo>
                <a:cubicBezTo>
                  <a:pt x="35822" y="52605"/>
                  <a:pt x="16696" y="81371"/>
                  <a:pt x="15810" y="174954"/>
                </a:cubicBezTo>
                <a:cubicBezTo>
                  <a:pt x="15448" y="214407"/>
                  <a:pt x="17772" y="251154"/>
                  <a:pt x="19830" y="283606"/>
                </a:cubicBezTo>
                <a:cubicBezTo>
                  <a:pt x="22602" y="310447"/>
                  <a:pt x="23064" y="337476"/>
                  <a:pt x="21211" y="364397"/>
                </a:cubicBezTo>
                <a:cubicBezTo>
                  <a:pt x="18992" y="381925"/>
                  <a:pt x="12330" y="398593"/>
                  <a:pt x="1856" y="412822"/>
                </a:cubicBezTo>
                <a:cubicBezTo>
                  <a:pt x="-1263" y="417058"/>
                  <a:pt x="-359" y="423020"/>
                  <a:pt x="3877" y="426140"/>
                </a:cubicBezTo>
                <a:cubicBezTo>
                  <a:pt x="5500" y="427335"/>
                  <a:pt x="7461" y="427985"/>
                  <a:pt x="9476" y="427995"/>
                </a:cubicBezTo>
                <a:close/>
                <a:moveTo>
                  <a:pt x="200414" y="356939"/>
                </a:moveTo>
                <a:cubicBezTo>
                  <a:pt x="132307" y="353232"/>
                  <a:pt x="77792" y="299063"/>
                  <a:pt x="73656" y="230980"/>
                </a:cubicBezTo>
                <a:cubicBezTo>
                  <a:pt x="73422" y="226373"/>
                  <a:pt x="73422" y="221757"/>
                  <a:pt x="73656" y="217150"/>
                </a:cubicBezTo>
                <a:cubicBezTo>
                  <a:pt x="74101" y="207467"/>
                  <a:pt x="81904" y="199747"/>
                  <a:pt x="91591" y="199405"/>
                </a:cubicBezTo>
                <a:cubicBezTo>
                  <a:pt x="98450" y="199293"/>
                  <a:pt x="105290" y="198656"/>
                  <a:pt x="112051" y="197500"/>
                </a:cubicBezTo>
                <a:cubicBezTo>
                  <a:pt x="143020" y="193409"/>
                  <a:pt x="173238" y="184879"/>
                  <a:pt x="201776" y="172173"/>
                </a:cubicBezTo>
                <a:cubicBezTo>
                  <a:pt x="233151" y="156387"/>
                  <a:pt x="262278" y="136485"/>
                  <a:pt x="288387" y="112994"/>
                </a:cubicBezTo>
                <a:cubicBezTo>
                  <a:pt x="290754" y="127835"/>
                  <a:pt x="296031" y="142061"/>
                  <a:pt x="303913" y="154856"/>
                </a:cubicBezTo>
                <a:cubicBezTo>
                  <a:pt x="304097" y="155162"/>
                  <a:pt x="304300" y="155454"/>
                  <a:pt x="304522" y="155733"/>
                </a:cubicBezTo>
                <a:cubicBezTo>
                  <a:pt x="308292" y="160225"/>
                  <a:pt x="312652" y="164186"/>
                  <a:pt x="317486" y="167505"/>
                </a:cubicBezTo>
                <a:lnTo>
                  <a:pt x="319039" y="168677"/>
                </a:lnTo>
                <a:cubicBezTo>
                  <a:pt x="320833" y="170070"/>
                  <a:pt x="322489" y="171633"/>
                  <a:pt x="323982" y="173344"/>
                </a:cubicBezTo>
                <a:cubicBezTo>
                  <a:pt x="332859" y="183547"/>
                  <a:pt x="338260" y="196311"/>
                  <a:pt x="339403" y="209787"/>
                </a:cubicBezTo>
                <a:cubicBezTo>
                  <a:pt x="339878" y="214423"/>
                  <a:pt x="340111" y="219080"/>
                  <a:pt x="340098" y="223741"/>
                </a:cubicBezTo>
                <a:cubicBezTo>
                  <a:pt x="340097" y="297388"/>
                  <a:pt x="280394" y="357090"/>
                  <a:pt x="206746" y="357089"/>
                </a:cubicBezTo>
                <a:cubicBezTo>
                  <a:pt x="204635" y="357089"/>
                  <a:pt x="202523" y="357039"/>
                  <a:pt x="200414" y="356939"/>
                </a:cubicBezTo>
                <a:close/>
                <a:moveTo>
                  <a:pt x="38851" y="282396"/>
                </a:moveTo>
                <a:cubicBezTo>
                  <a:pt x="36813" y="250287"/>
                  <a:pt x="34498" y="213883"/>
                  <a:pt x="34860" y="175125"/>
                </a:cubicBezTo>
                <a:cubicBezTo>
                  <a:pt x="35670" y="89753"/>
                  <a:pt x="51300" y="65331"/>
                  <a:pt x="85600" y="43157"/>
                </a:cubicBezTo>
                <a:cubicBezTo>
                  <a:pt x="127317" y="19080"/>
                  <a:pt x="176930" y="12688"/>
                  <a:pt x="223389" y="25402"/>
                </a:cubicBezTo>
                <a:cubicBezTo>
                  <a:pt x="277957" y="42404"/>
                  <a:pt x="295102" y="72817"/>
                  <a:pt x="295245" y="73027"/>
                </a:cubicBezTo>
                <a:cubicBezTo>
                  <a:pt x="297375" y="77059"/>
                  <a:pt x="302063" y="79015"/>
                  <a:pt x="306427" y="77694"/>
                </a:cubicBezTo>
                <a:cubicBezTo>
                  <a:pt x="313743" y="75494"/>
                  <a:pt x="335641" y="71208"/>
                  <a:pt x="348871" y="77780"/>
                </a:cubicBezTo>
                <a:cubicBezTo>
                  <a:pt x="364854" y="85705"/>
                  <a:pt x="383161" y="101526"/>
                  <a:pt x="383161" y="153808"/>
                </a:cubicBezTo>
                <a:cubicBezTo>
                  <a:pt x="381401" y="185007"/>
                  <a:pt x="376561" y="215955"/>
                  <a:pt x="368711" y="246201"/>
                </a:cubicBezTo>
                <a:cubicBezTo>
                  <a:pt x="360396" y="283844"/>
                  <a:pt x="353214" y="316362"/>
                  <a:pt x="358405" y="336688"/>
                </a:cubicBezTo>
                <a:cubicBezTo>
                  <a:pt x="363061" y="358095"/>
                  <a:pt x="371937" y="378358"/>
                  <a:pt x="384513" y="396296"/>
                </a:cubicBezTo>
                <a:cubicBezTo>
                  <a:pt x="357367" y="400763"/>
                  <a:pt x="315543" y="404449"/>
                  <a:pt x="299141" y="392581"/>
                </a:cubicBezTo>
                <a:cubicBezTo>
                  <a:pt x="287623" y="383721"/>
                  <a:pt x="276647" y="374179"/>
                  <a:pt x="266270" y="364006"/>
                </a:cubicBezTo>
                <a:cubicBezTo>
                  <a:pt x="322585" y="340141"/>
                  <a:pt x="359162" y="284904"/>
                  <a:pt x="359148" y="223741"/>
                </a:cubicBezTo>
                <a:cubicBezTo>
                  <a:pt x="359148" y="218416"/>
                  <a:pt x="358875" y="213094"/>
                  <a:pt x="358329" y="207796"/>
                </a:cubicBezTo>
                <a:cubicBezTo>
                  <a:pt x="356771" y="190317"/>
                  <a:pt x="349696" y="173785"/>
                  <a:pt x="338127" y="160590"/>
                </a:cubicBezTo>
                <a:cubicBezTo>
                  <a:pt x="335819" y="157976"/>
                  <a:pt x="333267" y="155587"/>
                  <a:pt x="330507" y="153456"/>
                </a:cubicBezTo>
                <a:lnTo>
                  <a:pt x="328878" y="152237"/>
                </a:lnTo>
                <a:cubicBezTo>
                  <a:pt x="325569" y="149975"/>
                  <a:pt x="322532" y="147338"/>
                  <a:pt x="319829" y="144379"/>
                </a:cubicBezTo>
                <a:cubicBezTo>
                  <a:pt x="313148" y="133383"/>
                  <a:pt x="308764" y="121148"/>
                  <a:pt x="306942" y="108412"/>
                </a:cubicBezTo>
                <a:cubicBezTo>
                  <a:pt x="305481" y="98524"/>
                  <a:pt x="296281" y="91693"/>
                  <a:pt x="286394" y="93154"/>
                </a:cubicBezTo>
                <a:cubicBezTo>
                  <a:pt x="282706" y="93699"/>
                  <a:pt x="279278" y="95369"/>
                  <a:pt x="276576" y="97935"/>
                </a:cubicBezTo>
                <a:cubicBezTo>
                  <a:pt x="251607" y="120566"/>
                  <a:pt x="223702" y="139729"/>
                  <a:pt x="193613" y="154904"/>
                </a:cubicBezTo>
                <a:cubicBezTo>
                  <a:pt x="166736" y="166818"/>
                  <a:pt x="138286" y="174808"/>
                  <a:pt x="109136" y="178631"/>
                </a:cubicBezTo>
                <a:cubicBezTo>
                  <a:pt x="103178" y="179660"/>
                  <a:pt x="97151" y="180230"/>
                  <a:pt x="91105" y="180336"/>
                </a:cubicBezTo>
                <a:cubicBezTo>
                  <a:pt x="71458" y="180957"/>
                  <a:pt x="55578" y="196555"/>
                  <a:pt x="54606" y="216188"/>
                </a:cubicBezTo>
                <a:lnTo>
                  <a:pt x="54606" y="216188"/>
                </a:lnTo>
                <a:cubicBezTo>
                  <a:pt x="54358" y="221445"/>
                  <a:pt x="54367" y="226741"/>
                  <a:pt x="54606" y="231952"/>
                </a:cubicBezTo>
                <a:cubicBezTo>
                  <a:pt x="57989" y="287436"/>
                  <a:pt x="91099" y="336757"/>
                  <a:pt x="141169" y="360901"/>
                </a:cubicBezTo>
                <a:lnTo>
                  <a:pt x="141064" y="361006"/>
                </a:lnTo>
                <a:cubicBezTo>
                  <a:pt x="129788" y="372359"/>
                  <a:pt x="117691" y="382865"/>
                  <a:pt x="104869" y="392438"/>
                </a:cubicBezTo>
                <a:cubicBezTo>
                  <a:pt x="84866" y="402792"/>
                  <a:pt x="48805" y="406726"/>
                  <a:pt x="27183" y="408145"/>
                </a:cubicBezTo>
                <a:cubicBezTo>
                  <a:pt x="33884" y="395309"/>
                  <a:pt x="38244" y="381382"/>
                  <a:pt x="40061" y="367016"/>
                </a:cubicBezTo>
                <a:cubicBezTo>
                  <a:pt x="42207" y="338831"/>
                  <a:pt x="41802" y="310509"/>
                  <a:pt x="38851" y="282396"/>
                </a:cubicBezTo>
                <a:close/>
              </a:path>
            </a:pathLst>
          </a:custGeom>
          <a:grpFill/>
          <a:ln w="9525" cap="flat">
            <a:noFill/>
            <a:prstDash val="solid"/>
            <a:miter/>
          </a:ln>
        </xdr:spPr>
        <xdr:txBody>
          <a:bodyPr rtlCol="0" anchor="ctr"/>
          <a:lstStyle/>
          <a:p>
            <a:endParaRPr lang="en-GB">
              <a:solidFill>
                <a:schemeClr val="bg1"/>
              </a:solidFill>
            </a:endParaRPr>
          </a:p>
        </xdr:txBody>
      </xdr:sp>
      <xdr:sp macro="" textlink="">
        <xdr:nvSpPr>
          <xdr:cNvPr id="68" name="Freeform 67">
            <a:extLst>
              <a:ext uri="{FF2B5EF4-FFF2-40B4-BE49-F238E27FC236}">
                <a16:creationId xmlns:a16="http://schemas.microsoft.com/office/drawing/2014/main" id="{ABB2E876-9919-50E2-0EA0-6C3990232E7D}"/>
              </a:ext>
            </a:extLst>
          </xdr:cNvPr>
          <xdr:cNvSpPr/>
        </xdr:nvSpPr>
        <xdr:spPr>
          <a:xfrm>
            <a:off x="7023100" y="5488403"/>
            <a:ext cx="609600" cy="296446"/>
          </a:xfrm>
          <a:custGeom>
            <a:avLst/>
            <a:gdLst>
              <a:gd name="connsiteX0" fmla="*/ 576577 w 609600"/>
              <a:gd name="connsiteY0" fmla="*/ 82372 h 296446"/>
              <a:gd name="connsiteX1" fmla="*/ 429339 w 609600"/>
              <a:gd name="connsiteY1" fmla="*/ 10497 h 296446"/>
              <a:gd name="connsiteX2" fmla="*/ 392516 w 609600"/>
              <a:gd name="connsiteY2" fmla="*/ 1038 h 296446"/>
              <a:gd name="connsiteX3" fmla="*/ 387687 w 609600"/>
              <a:gd name="connsiteY3" fmla="*/ 0 h 296446"/>
              <a:gd name="connsiteX4" fmla="*/ 384058 w 609600"/>
              <a:gd name="connsiteY4" fmla="*/ 3362 h 296446"/>
              <a:gd name="connsiteX5" fmla="*/ 304800 w 609600"/>
              <a:gd name="connsiteY5" fmla="*/ 39272 h 296446"/>
              <a:gd name="connsiteX6" fmla="*/ 225514 w 609600"/>
              <a:gd name="connsiteY6" fmla="*/ 3839 h 296446"/>
              <a:gd name="connsiteX7" fmla="*/ 221904 w 609600"/>
              <a:gd name="connsiteY7" fmla="*/ 524 h 296446"/>
              <a:gd name="connsiteX8" fmla="*/ 217141 w 609600"/>
              <a:gd name="connsiteY8" fmla="*/ 1534 h 296446"/>
              <a:gd name="connsiteX9" fmla="*/ 180403 w 609600"/>
              <a:gd name="connsiteY9" fmla="*/ 10468 h 296446"/>
              <a:gd name="connsiteX10" fmla="*/ 33137 w 609600"/>
              <a:gd name="connsiteY10" fmla="*/ 82306 h 296446"/>
              <a:gd name="connsiteX11" fmla="*/ 0 w 609600"/>
              <a:gd name="connsiteY11" fmla="*/ 148809 h 296446"/>
              <a:gd name="connsiteX12" fmla="*/ 0 w 609600"/>
              <a:gd name="connsiteY12" fmla="*/ 296447 h 296446"/>
              <a:gd name="connsiteX13" fmla="*/ 19050 w 609600"/>
              <a:gd name="connsiteY13" fmla="*/ 296447 h 296446"/>
              <a:gd name="connsiteX14" fmla="*/ 19050 w 609600"/>
              <a:gd name="connsiteY14" fmla="*/ 148809 h 296446"/>
              <a:gd name="connsiteX15" fmla="*/ 44653 w 609600"/>
              <a:gd name="connsiteY15" fmla="*/ 97450 h 296446"/>
              <a:gd name="connsiteX16" fmla="*/ 185509 w 609600"/>
              <a:gd name="connsiteY16" fmla="*/ 28870 h 296446"/>
              <a:gd name="connsiteX17" fmla="*/ 216322 w 609600"/>
              <a:gd name="connsiteY17" fmla="*/ 21250 h 296446"/>
              <a:gd name="connsiteX18" fmla="*/ 304800 w 609600"/>
              <a:gd name="connsiteY18" fmla="*/ 58322 h 296446"/>
              <a:gd name="connsiteX19" fmla="*/ 393287 w 609600"/>
              <a:gd name="connsiteY19" fmla="*/ 20707 h 296446"/>
              <a:gd name="connsiteX20" fmla="*/ 423986 w 609600"/>
              <a:gd name="connsiteY20" fmla="*/ 28785 h 296446"/>
              <a:gd name="connsiteX21" fmla="*/ 564594 w 609600"/>
              <a:gd name="connsiteY21" fmla="*/ 97184 h 296446"/>
              <a:gd name="connsiteX22" fmla="*/ 590550 w 609600"/>
              <a:gd name="connsiteY22" fmla="*/ 148809 h 296446"/>
              <a:gd name="connsiteX23" fmla="*/ 590550 w 609600"/>
              <a:gd name="connsiteY23" fmla="*/ 296447 h 296446"/>
              <a:gd name="connsiteX24" fmla="*/ 609600 w 609600"/>
              <a:gd name="connsiteY24" fmla="*/ 296447 h 296446"/>
              <a:gd name="connsiteX25" fmla="*/ 609600 w 609600"/>
              <a:gd name="connsiteY25" fmla="*/ 148809 h 296446"/>
              <a:gd name="connsiteX26" fmla="*/ 576577 w 609600"/>
              <a:gd name="connsiteY26" fmla="*/ 82372 h 29644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609600" h="296446">
                <a:moveTo>
                  <a:pt x="576577" y="82372"/>
                </a:moveTo>
                <a:cubicBezTo>
                  <a:pt x="532856" y="48714"/>
                  <a:pt x="482770" y="24264"/>
                  <a:pt x="429339" y="10497"/>
                </a:cubicBezTo>
                <a:cubicBezTo>
                  <a:pt x="417033" y="6810"/>
                  <a:pt x="404641" y="3629"/>
                  <a:pt x="392516" y="1038"/>
                </a:cubicBezTo>
                <a:lnTo>
                  <a:pt x="387687" y="0"/>
                </a:lnTo>
                <a:lnTo>
                  <a:pt x="384058" y="3362"/>
                </a:lnTo>
                <a:cubicBezTo>
                  <a:pt x="345243" y="39272"/>
                  <a:pt x="318935" y="39272"/>
                  <a:pt x="304800" y="39272"/>
                </a:cubicBezTo>
                <a:cubicBezTo>
                  <a:pt x="290665" y="39272"/>
                  <a:pt x="264138" y="39272"/>
                  <a:pt x="225514" y="3839"/>
                </a:cubicBezTo>
                <a:lnTo>
                  <a:pt x="221904" y="524"/>
                </a:lnTo>
                <a:lnTo>
                  <a:pt x="217141" y="1534"/>
                </a:lnTo>
                <a:cubicBezTo>
                  <a:pt x="205473" y="3991"/>
                  <a:pt x="193148" y="6991"/>
                  <a:pt x="180403" y="10468"/>
                </a:cubicBezTo>
                <a:cubicBezTo>
                  <a:pt x="127615" y="25938"/>
                  <a:pt x="77824" y="50227"/>
                  <a:pt x="33137" y="82306"/>
                </a:cubicBezTo>
                <a:cubicBezTo>
                  <a:pt x="12648" y="98358"/>
                  <a:pt x="477" y="122785"/>
                  <a:pt x="0" y="148809"/>
                </a:cubicBezTo>
                <a:lnTo>
                  <a:pt x="0" y="296447"/>
                </a:lnTo>
                <a:lnTo>
                  <a:pt x="19050" y="296447"/>
                </a:lnTo>
                <a:lnTo>
                  <a:pt x="19050" y="148809"/>
                </a:lnTo>
                <a:cubicBezTo>
                  <a:pt x="19470" y="128721"/>
                  <a:pt x="28864" y="109877"/>
                  <a:pt x="44653" y="97450"/>
                </a:cubicBezTo>
                <a:cubicBezTo>
                  <a:pt x="87419" y="66838"/>
                  <a:pt x="135037" y="43653"/>
                  <a:pt x="185509" y="28870"/>
                </a:cubicBezTo>
                <a:cubicBezTo>
                  <a:pt x="196082" y="26013"/>
                  <a:pt x="206464" y="23422"/>
                  <a:pt x="216322" y="21250"/>
                </a:cubicBezTo>
                <a:cubicBezTo>
                  <a:pt x="253365" y="53816"/>
                  <a:pt x="281788" y="58322"/>
                  <a:pt x="304800" y="58322"/>
                </a:cubicBezTo>
                <a:cubicBezTo>
                  <a:pt x="327812" y="58322"/>
                  <a:pt x="356083" y="53759"/>
                  <a:pt x="393287" y="20707"/>
                </a:cubicBezTo>
                <a:cubicBezTo>
                  <a:pt x="403393" y="22993"/>
                  <a:pt x="413671" y="25689"/>
                  <a:pt x="423986" y="28785"/>
                </a:cubicBezTo>
                <a:cubicBezTo>
                  <a:pt x="474991" y="41863"/>
                  <a:pt x="522821" y="65130"/>
                  <a:pt x="564594" y="97184"/>
                </a:cubicBezTo>
                <a:cubicBezTo>
                  <a:pt x="580568" y="109615"/>
                  <a:pt x="590099" y="128573"/>
                  <a:pt x="590550" y="148809"/>
                </a:cubicBezTo>
                <a:lnTo>
                  <a:pt x="590550" y="296447"/>
                </a:lnTo>
                <a:lnTo>
                  <a:pt x="609600" y="296447"/>
                </a:lnTo>
                <a:lnTo>
                  <a:pt x="609600" y="148809"/>
                </a:lnTo>
                <a:cubicBezTo>
                  <a:pt x="609139" y="122825"/>
                  <a:pt x="597012" y="98428"/>
                  <a:pt x="576577" y="82372"/>
                </a:cubicBezTo>
                <a:close/>
              </a:path>
            </a:pathLst>
          </a:custGeom>
          <a:grpFill/>
          <a:ln w="9525" cap="flat">
            <a:noFill/>
            <a:prstDash val="solid"/>
            <a:miter/>
          </a:ln>
        </xdr:spPr>
        <xdr:txBody>
          <a:bodyPr rtlCol="0" anchor="ctr"/>
          <a:lstStyle/>
          <a:p>
            <a:endParaRPr lang="en-GB">
              <a:solidFill>
                <a:schemeClr val="bg1"/>
              </a:solidFill>
            </a:endParaRPr>
          </a:p>
        </xdr:txBody>
      </xdr:sp>
    </xdr:grpSp>
    <xdr:clientData/>
  </xdr:twoCellAnchor>
  <xdr:twoCellAnchor>
    <xdr:from>
      <xdr:col>3</xdr:col>
      <xdr:colOff>203198</xdr:colOff>
      <xdr:row>14</xdr:row>
      <xdr:rowOff>63499</xdr:rowOff>
    </xdr:from>
    <xdr:to>
      <xdr:col>6</xdr:col>
      <xdr:colOff>685800</xdr:colOff>
      <xdr:row>24</xdr:row>
      <xdr:rowOff>190501</xdr:rowOff>
    </xdr:to>
    <xdr:grpSp>
      <xdr:nvGrpSpPr>
        <xdr:cNvPr id="72" name="Group 71">
          <a:extLst>
            <a:ext uri="{FF2B5EF4-FFF2-40B4-BE49-F238E27FC236}">
              <a16:creationId xmlns:a16="http://schemas.microsoft.com/office/drawing/2014/main" id="{FBEBE3B2-1E57-C2EF-1323-5911F64C547E}"/>
            </a:ext>
          </a:extLst>
        </xdr:cNvPr>
        <xdr:cNvGrpSpPr/>
      </xdr:nvGrpSpPr>
      <xdr:grpSpPr>
        <a:xfrm>
          <a:off x="2679698" y="2908299"/>
          <a:ext cx="2959102" cy="2159002"/>
          <a:chOff x="2849206" y="3391420"/>
          <a:chExt cx="2057400" cy="1727200"/>
        </a:xfrm>
      </xdr:grpSpPr>
      <xdr:sp macro="" textlink="">
        <xdr:nvSpPr>
          <xdr:cNvPr id="61" name="Rounded Rectangle 60">
            <a:extLst>
              <a:ext uri="{FF2B5EF4-FFF2-40B4-BE49-F238E27FC236}">
                <a16:creationId xmlns:a16="http://schemas.microsoft.com/office/drawing/2014/main" id="{458532C4-8EAE-A84F-B2B9-A19E8E57ABA8}"/>
              </a:ext>
            </a:extLst>
          </xdr:cNvPr>
          <xdr:cNvSpPr/>
        </xdr:nvSpPr>
        <xdr:spPr>
          <a:xfrm>
            <a:off x="2849206" y="3391420"/>
            <a:ext cx="2057400" cy="1727200"/>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ot Tables'!G7">
        <xdr:nvSpPr>
          <xdr:cNvPr id="43" name="TextBox 42">
            <a:extLst>
              <a:ext uri="{FF2B5EF4-FFF2-40B4-BE49-F238E27FC236}">
                <a16:creationId xmlns:a16="http://schemas.microsoft.com/office/drawing/2014/main" id="{0068B829-524E-9645-B303-73AC1B6ACB70}"/>
              </a:ext>
            </a:extLst>
          </xdr:cNvPr>
          <xdr:cNvSpPr txBox="1"/>
        </xdr:nvSpPr>
        <xdr:spPr>
          <a:xfrm>
            <a:off x="3104415" y="4125647"/>
            <a:ext cx="752498" cy="659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2B5A93-B08A-C84F-B0DC-B7C0559F3BB2}" type="TxLink">
              <a:rPr lang="en-US" sz="4800" b="0" i="0" u="none" strike="noStrike">
                <a:solidFill>
                  <a:schemeClr val="bg1"/>
                </a:solidFill>
                <a:latin typeface="Aptos Narrow"/>
                <a:ea typeface="Ayuthaya" pitchFamily="2" charset="-34"/>
                <a:cs typeface="Ayuthaya" pitchFamily="2" charset="-34"/>
              </a:rPr>
              <a:pPr/>
              <a:t>64</a:t>
            </a:fld>
            <a:endParaRPr lang="en-GB" sz="213200">
              <a:solidFill>
                <a:schemeClr val="bg1"/>
              </a:solidFill>
              <a:latin typeface="Ayuthaya" pitchFamily="2" charset="-34"/>
              <a:ea typeface="Ayuthaya" pitchFamily="2" charset="-34"/>
              <a:cs typeface="Ayuthaya" pitchFamily="2" charset="-34"/>
            </a:endParaRPr>
          </a:p>
        </xdr:txBody>
      </xdr:sp>
      <xdr:sp macro="" textlink="'Pivot Tables'!G5">
        <xdr:nvSpPr>
          <xdr:cNvPr id="44" name="TextBox 43">
            <a:extLst>
              <a:ext uri="{FF2B5EF4-FFF2-40B4-BE49-F238E27FC236}">
                <a16:creationId xmlns:a16="http://schemas.microsoft.com/office/drawing/2014/main" id="{2CB021CD-A460-CC44-AC5D-73DFA35F0A81}"/>
              </a:ext>
            </a:extLst>
          </xdr:cNvPr>
          <xdr:cNvSpPr txBox="1"/>
        </xdr:nvSpPr>
        <xdr:spPr>
          <a:xfrm>
            <a:off x="2916108" y="3544350"/>
            <a:ext cx="1146419" cy="675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5D31D8-DCC7-F94B-B12E-A8FCF7A29303}" type="TxLink">
              <a:rPr lang="en-US" sz="4800" b="0" i="0" u="none" strike="noStrike">
                <a:solidFill>
                  <a:schemeClr val="bg1"/>
                </a:solidFill>
                <a:latin typeface="Aptos Narrow"/>
                <a:ea typeface="Ayuthaya" pitchFamily="2" charset="-34"/>
                <a:cs typeface="Ayuthaya" pitchFamily="2" charset="-34"/>
              </a:rPr>
              <a:pPr/>
              <a:t>30%</a:t>
            </a:fld>
            <a:endParaRPr lang="en-GB" sz="16600">
              <a:solidFill>
                <a:schemeClr val="bg1"/>
              </a:solidFill>
              <a:latin typeface="Ayuthaya" pitchFamily="2" charset="-34"/>
              <a:ea typeface="Ayuthaya" pitchFamily="2" charset="-34"/>
              <a:cs typeface="Ayuthaya" pitchFamily="2" charset="-34"/>
            </a:endParaRPr>
          </a:p>
        </xdr:txBody>
      </xdr:sp>
    </xdr:grpSp>
    <xdr:clientData/>
  </xdr:twoCellAnchor>
  <xdr:twoCellAnchor>
    <xdr:from>
      <xdr:col>5</xdr:col>
      <xdr:colOff>14342</xdr:colOff>
      <xdr:row>20</xdr:row>
      <xdr:rowOff>150581</xdr:rowOff>
    </xdr:from>
    <xdr:to>
      <xdr:col>5</xdr:col>
      <xdr:colOff>751883</xdr:colOff>
      <xdr:row>24</xdr:row>
      <xdr:rowOff>198359</xdr:rowOff>
    </xdr:to>
    <xdr:grpSp>
      <xdr:nvGrpSpPr>
        <xdr:cNvPr id="69" name="Graphic 64" descr="Male profile outline">
          <a:extLst>
            <a:ext uri="{FF2B5EF4-FFF2-40B4-BE49-F238E27FC236}">
              <a16:creationId xmlns:a16="http://schemas.microsoft.com/office/drawing/2014/main" id="{8C492F5A-B803-7645-5E02-20E6A4F5EFEC}"/>
            </a:ext>
          </a:extLst>
        </xdr:cNvPr>
        <xdr:cNvGrpSpPr/>
      </xdr:nvGrpSpPr>
      <xdr:grpSpPr>
        <a:xfrm>
          <a:off x="4141842" y="4214581"/>
          <a:ext cx="737541" cy="860578"/>
          <a:chOff x="7173100" y="5250413"/>
          <a:chExt cx="609600" cy="684436"/>
        </a:xfrm>
        <a:solidFill>
          <a:schemeClr val="bg1"/>
        </a:solidFill>
      </xdr:grpSpPr>
      <xdr:sp macro="" textlink="">
        <xdr:nvSpPr>
          <xdr:cNvPr id="70" name="Freeform 69">
            <a:extLst>
              <a:ext uri="{FF2B5EF4-FFF2-40B4-BE49-F238E27FC236}">
                <a16:creationId xmlns:a16="http://schemas.microsoft.com/office/drawing/2014/main" id="{788D3C47-8F12-7F7B-80DA-D31552FFCD0E}"/>
              </a:ext>
            </a:extLst>
          </xdr:cNvPr>
          <xdr:cNvSpPr/>
        </xdr:nvSpPr>
        <xdr:spPr>
          <a:xfrm>
            <a:off x="7286365" y="5250413"/>
            <a:ext cx="343839" cy="341395"/>
          </a:xfrm>
          <a:custGeom>
            <a:avLst/>
            <a:gdLst>
              <a:gd name="connsiteX0" fmla="*/ 9435 w 343839"/>
              <a:gd name="connsiteY0" fmla="*/ 191994 h 341395"/>
              <a:gd name="connsiteX1" fmla="*/ 29752 w 343839"/>
              <a:gd name="connsiteY1" fmla="*/ 191994 h 341395"/>
              <a:gd name="connsiteX2" fmla="*/ 184934 w 343839"/>
              <a:gd name="connsiteY2" fmla="*/ 341367 h 341395"/>
              <a:gd name="connsiteX3" fmla="*/ 334324 w 343839"/>
              <a:gd name="connsiteY3" fmla="*/ 190870 h 341395"/>
              <a:gd name="connsiteX4" fmla="*/ 333543 w 343839"/>
              <a:gd name="connsiteY4" fmla="*/ 76761 h 341395"/>
              <a:gd name="connsiteX5" fmla="*/ 258838 w 343839"/>
              <a:gd name="connsiteY5" fmla="*/ 31679 h 341395"/>
              <a:gd name="connsiteX6" fmla="*/ 86159 w 343839"/>
              <a:gd name="connsiteY6" fmla="*/ 18677 h 341395"/>
              <a:gd name="connsiteX7" fmla="*/ 8826 w 343839"/>
              <a:gd name="connsiteY7" fmla="*/ 143712 h 341395"/>
              <a:gd name="connsiteX8" fmla="*/ 253 w 343839"/>
              <a:gd name="connsiteY8" fmla="*/ 180336 h 341395"/>
              <a:gd name="connsiteX9" fmla="*/ 7355 w 343839"/>
              <a:gd name="connsiteY9" fmla="*/ 191782 h 341395"/>
              <a:gd name="connsiteX10" fmla="*/ 9416 w 343839"/>
              <a:gd name="connsiteY10" fmla="*/ 192032 h 341395"/>
              <a:gd name="connsiteX11" fmla="*/ 182009 w 343839"/>
              <a:gd name="connsiteY11" fmla="*/ 322487 h 341395"/>
              <a:gd name="connsiteX12" fmla="*/ 48774 w 343839"/>
              <a:gd name="connsiteY12" fmla="*/ 191404 h 341395"/>
              <a:gd name="connsiteX13" fmla="*/ 152834 w 343839"/>
              <a:gd name="connsiteY13" fmla="*/ 172820 h 341395"/>
              <a:gd name="connsiteX14" fmla="*/ 244884 w 343839"/>
              <a:gd name="connsiteY14" fmla="*/ 107774 h 341395"/>
              <a:gd name="connsiteX15" fmla="*/ 279107 w 343839"/>
              <a:gd name="connsiteY15" fmla="*/ 133949 h 341395"/>
              <a:gd name="connsiteX16" fmla="*/ 299243 w 343839"/>
              <a:gd name="connsiteY16" fmla="*/ 164800 h 341395"/>
              <a:gd name="connsiteX17" fmla="*/ 315226 w 343839"/>
              <a:gd name="connsiteY17" fmla="*/ 191718 h 341395"/>
              <a:gd name="connsiteX18" fmla="*/ 182009 w 343839"/>
              <a:gd name="connsiteY18" fmla="*/ 322487 h 341395"/>
              <a:gd name="connsiteX19" fmla="*/ 27647 w 343839"/>
              <a:gd name="connsiteY19" fmla="*/ 146827 h 341395"/>
              <a:gd name="connsiteX20" fmla="*/ 27895 w 343839"/>
              <a:gd name="connsiteY20" fmla="*/ 144322 h 341395"/>
              <a:gd name="connsiteX21" fmla="*/ 94294 w 343839"/>
              <a:gd name="connsiteY21" fmla="*/ 35841 h 341395"/>
              <a:gd name="connsiteX22" fmla="*/ 165455 w 343839"/>
              <a:gd name="connsiteY22" fmla="*/ 18696 h 341395"/>
              <a:gd name="connsiteX23" fmla="*/ 249275 w 343839"/>
              <a:gd name="connsiteY23" fmla="*/ 48405 h 341395"/>
              <a:gd name="connsiteX24" fmla="*/ 257381 w 343839"/>
              <a:gd name="connsiteY24" fmla="*/ 50900 h 341395"/>
              <a:gd name="connsiteX25" fmla="*/ 316626 w 343839"/>
              <a:gd name="connsiteY25" fmla="*/ 85486 h 341395"/>
              <a:gd name="connsiteX26" fmla="*/ 320912 w 343839"/>
              <a:gd name="connsiteY26" fmla="*/ 164438 h 341395"/>
              <a:gd name="connsiteX27" fmla="*/ 315836 w 343839"/>
              <a:gd name="connsiteY27" fmla="*/ 155456 h 341395"/>
              <a:gd name="connsiteX28" fmla="*/ 293452 w 343839"/>
              <a:gd name="connsiteY28" fmla="*/ 121376 h 341395"/>
              <a:gd name="connsiteX29" fmla="*/ 245065 w 343839"/>
              <a:gd name="connsiteY29" fmla="*/ 87667 h 341395"/>
              <a:gd name="connsiteX30" fmla="*/ 236492 w 343839"/>
              <a:gd name="connsiteY30" fmla="*/ 89829 h 341395"/>
              <a:gd name="connsiteX31" fmla="*/ 144748 w 343839"/>
              <a:gd name="connsiteY31" fmla="*/ 155552 h 341395"/>
              <a:gd name="connsiteX32" fmla="*/ 21580 w 343839"/>
              <a:gd name="connsiteY32" fmla="*/ 172906 h 34139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Lst>
            <a:rect l="l" t="t" r="r" b="b"/>
            <a:pathLst>
              <a:path w="343839" h="341395">
                <a:moveTo>
                  <a:pt x="9435" y="191994"/>
                </a:moveTo>
                <a:cubicBezTo>
                  <a:pt x="15474" y="192070"/>
                  <a:pt x="22370" y="192061"/>
                  <a:pt x="29752" y="191994"/>
                </a:cubicBezTo>
                <a:cubicBezTo>
                  <a:pt x="31356" y="276094"/>
                  <a:pt x="100834" y="342971"/>
                  <a:pt x="184934" y="341367"/>
                </a:cubicBezTo>
                <a:cubicBezTo>
                  <a:pt x="267211" y="339797"/>
                  <a:pt x="333362" y="273157"/>
                  <a:pt x="334324" y="190870"/>
                </a:cubicBezTo>
                <a:cubicBezTo>
                  <a:pt x="337095" y="181479"/>
                  <a:pt x="354736" y="117328"/>
                  <a:pt x="333543" y="76761"/>
                </a:cubicBezTo>
                <a:cubicBezTo>
                  <a:pt x="319898" y="48146"/>
                  <a:pt x="290514" y="30413"/>
                  <a:pt x="258838" y="31679"/>
                </a:cubicBezTo>
                <a:cubicBezTo>
                  <a:pt x="243265" y="19354"/>
                  <a:pt x="177971" y="-24671"/>
                  <a:pt x="86159" y="18677"/>
                </a:cubicBezTo>
                <a:cubicBezTo>
                  <a:pt x="10912" y="54177"/>
                  <a:pt x="8731" y="132025"/>
                  <a:pt x="8826" y="143712"/>
                </a:cubicBezTo>
                <a:lnTo>
                  <a:pt x="253" y="180336"/>
                </a:lnTo>
                <a:cubicBezTo>
                  <a:pt x="-947" y="185457"/>
                  <a:pt x="2233" y="190583"/>
                  <a:pt x="7355" y="191782"/>
                </a:cubicBezTo>
                <a:cubicBezTo>
                  <a:pt x="8030" y="191940"/>
                  <a:pt x="8722" y="192025"/>
                  <a:pt x="9416" y="192032"/>
                </a:cubicBezTo>
                <a:close/>
                <a:moveTo>
                  <a:pt x="182009" y="322487"/>
                </a:moveTo>
                <a:cubicBezTo>
                  <a:pt x="109304" y="322384"/>
                  <a:pt x="50060" y="264098"/>
                  <a:pt x="48774" y="191404"/>
                </a:cubicBezTo>
                <a:cubicBezTo>
                  <a:pt x="84388" y="189927"/>
                  <a:pt x="126402" y="185308"/>
                  <a:pt x="152834" y="172820"/>
                </a:cubicBezTo>
                <a:cubicBezTo>
                  <a:pt x="187420" y="156495"/>
                  <a:pt x="231130" y="119719"/>
                  <a:pt x="244884" y="107774"/>
                </a:cubicBezTo>
                <a:cubicBezTo>
                  <a:pt x="258087" y="113861"/>
                  <a:pt x="269776" y="122800"/>
                  <a:pt x="279107" y="133949"/>
                </a:cubicBezTo>
                <a:cubicBezTo>
                  <a:pt x="286906" y="143482"/>
                  <a:pt x="293657" y="153825"/>
                  <a:pt x="299243" y="164800"/>
                </a:cubicBezTo>
                <a:cubicBezTo>
                  <a:pt x="303701" y="172754"/>
                  <a:pt x="308768" y="181745"/>
                  <a:pt x="315226" y="191718"/>
                </a:cubicBezTo>
                <a:cubicBezTo>
                  <a:pt x="313775" y="264284"/>
                  <a:pt x="254590" y="322382"/>
                  <a:pt x="182009" y="322487"/>
                </a:cubicBezTo>
                <a:close/>
                <a:moveTo>
                  <a:pt x="27647" y="146827"/>
                </a:moveTo>
                <a:cubicBezTo>
                  <a:pt x="27839" y="146006"/>
                  <a:pt x="27922" y="145164"/>
                  <a:pt x="27895" y="144322"/>
                </a:cubicBezTo>
                <a:cubicBezTo>
                  <a:pt x="27800" y="141216"/>
                  <a:pt x="26161" y="68007"/>
                  <a:pt x="94294" y="35841"/>
                </a:cubicBezTo>
                <a:cubicBezTo>
                  <a:pt x="116440" y="24896"/>
                  <a:pt x="140754" y="19038"/>
                  <a:pt x="165455" y="18696"/>
                </a:cubicBezTo>
                <a:cubicBezTo>
                  <a:pt x="196043" y="18293"/>
                  <a:pt x="225768" y="28829"/>
                  <a:pt x="249275" y="48405"/>
                </a:cubicBezTo>
                <a:cubicBezTo>
                  <a:pt x="251442" y="50453"/>
                  <a:pt x="254437" y="51375"/>
                  <a:pt x="257381" y="50900"/>
                </a:cubicBezTo>
                <a:cubicBezTo>
                  <a:pt x="282476" y="48648"/>
                  <a:pt x="306249" y="62526"/>
                  <a:pt x="316626" y="85486"/>
                </a:cubicBezTo>
                <a:cubicBezTo>
                  <a:pt x="328513" y="108241"/>
                  <a:pt x="325084" y="142321"/>
                  <a:pt x="320912" y="164438"/>
                </a:cubicBezTo>
                <a:cubicBezTo>
                  <a:pt x="319122" y="161314"/>
                  <a:pt x="317445" y="158323"/>
                  <a:pt x="315836" y="155456"/>
                </a:cubicBezTo>
                <a:cubicBezTo>
                  <a:pt x="309630" y="143320"/>
                  <a:pt x="302124" y="131892"/>
                  <a:pt x="293452" y="121376"/>
                </a:cubicBezTo>
                <a:cubicBezTo>
                  <a:pt x="280898" y="105722"/>
                  <a:pt x="264099" y="94019"/>
                  <a:pt x="245065" y="87667"/>
                </a:cubicBezTo>
                <a:cubicBezTo>
                  <a:pt x="242025" y="86937"/>
                  <a:pt x="238822" y="87746"/>
                  <a:pt x="236492" y="89829"/>
                </a:cubicBezTo>
                <a:cubicBezTo>
                  <a:pt x="235959" y="90305"/>
                  <a:pt x="182971" y="137549"/>
                  <a:pt x="144748" y="155552"/>
                </a:cubicBezTo>
                <a:cubicBezTo>
                  <a:pt x="113725" y="170192"/>
                  <a:pt x="54870" y="172697"/>
                  <a:pt x="21580" y="172906"/>
                </a:cubicBezTo>
                <a:close/>
              </a:path>
            </a:pathLst>
          </a:custGeom>
          <a:grpFill/>
          <a:ln w="9525" cap="flat">
            <a:noFill/>
            <a:prstDash val="solid"/>
            <a:miter/>
          </a:ln>
        </xdr:spPr>
        <xdr:txBody>
          <a:bodyPr rtlCol="0" anchor="ctr"/>
          <a:lstStyle/>
          <a:p>
            <a:endParaRPr lang="en-GB"/>
          </a:p>
        </xdr:txBody>
      </xdr:sp>
      <xdr:sp macro="" textlink="">
        <xdr:nvSpPr>
          <xdr:cNvPr id="71" name="Freeform 70">
            <a:extLst>
              <a:ext uri="{FF2B5EF4-FFF2-40B4-BE49-F238E27FC236}">
                <a16:creationId xmlns:a16="http://schemas.microsoft.com/office/drawing/2014/main" id="{E81CA0FC-37D4-DBAF-1C2E-27C2539B80B2}"/>
              </a:ext>
            </a:extLst>
          </xdr:cNvPr>
          <xdr:cNvSpPr/>
        </xdr:nvSpPr>
        <xdr:spPr>
          <a:xfrm>
            <a:off x="7173100" y="5638403"/>
            <a:ext cx="609600" cy="296446"/>
          </a:xfrm>
          <a:custGeom>
            <a:avLst/>
            <a:gdLst>
              <a:gd name="connsiteX0" fmla="*/ 576577 w 609600"/>
              <a:gd name="connsiteY0" fmla="*/ 82372 h 296446"/>
              <a:gd name="connsiteX1" fmla="*/ 429339 w 609600"/>
              <a:gd name="connsiteY1" fmla="*/ 10497 h 296446"/>
              <a:gd name="connsiteX2" fmla="*/ 392516 w 609600"/>
              <a:gd name="connsiteY2" fmla="*/ 1038 h 296446"/>
              <a:gd name="connsiteX3" fmla="*/ 387687 w 609600"/>
              <a:gd name="connsiteY3" fmla="*/ 0 h 296446"/>
              <a:gd name="connsiteX4" fmla="*/ 384058 w 609600"/>
              <a:gd name="connsiteY4" fmla="*/ 3362 h 296446"/>
              <a:gd name="connsiteX5" fmla="*/ 304800 w 609600"/>
              <a:gd name="connsiteY5" fmla="*/ 39272 h 296446"/>
              <a:gd name="connsiteX6" fmla="*/ 225514 w 609600"/>
              <a:gd name="connsiteY6" fmla="*/ 3839 h 296446"/>
              <a:gd name="connsiteX7" fmla="*/ 221904 w 609600"/>
              <a:gd name="connsiteY7" fmla="*/ 524 h 296446"/>
              <a:gd name="connsiteX8" fmla="*/ 217141 w 609600"/>
              <a:gd name="connsiteY8" fmla="*/ 1534 h 296446"/>
              <a:gd name="connsiteX9" fmla="*/ 180403 w 609600"/>
              <a:gd name="connsiteY9" fmla="*/ 10468 h 296446"/>
              <a:gd name="connsiteX10" fmla="*/ 33137 w 609600"/>
              <a:gd name="connsiteY10" fmla="*/ 82306 h 296446"/>
              <a:gd name="connsiteX11" fmla="*/ 0 w 609600"/>
              <a:gd name="connsiteY11" fmla="*/ 148809 h 296446"/>
              <a:gd name="connsiteX12" fmla="*/ 0 w 609600"/>
              <a:gd name="connsiteY12" fmla="*/ 296447 h 296446"/>
              <a:gd name="connsiteX13" fmla="*/ 19050 w 609600"/>
              <a:gd name="connsiteY13" fmla="*/ 296447 h 296446"/>
              <a:gd name="connsiteX14" fmla="*/ 19050 w 609600"/>
              <a:gd name="connsiteY14" fmla="*/ 148809 h 296446"/>
              <a:gd name="connsiteX15" fmla="*/ 44653 w 609600"/>
              <a:gd name="connsiteY15" fmla="*/ 97450 h 296446"/>
              <a:gd name="connsiteX16" fmla="*/ 185509 w 609600"/>
              <a:gd name="connsiteY16" fmla="*/ 28870 h 296446"/>
              <a:gd name="connsiteX17" fmla="*/ 216322 w 609600"/>
              <a:gd name="connsiteY17" fmla="*/ 21250 h 296446"/>
              <a:gd name="connsiteX18" fmla="*/ 304800 w 609600"/>
              <a:gd name="connsiteY18" fmla="*/ 58322 h 296446"/>
              <a:gd name="connsiteX19" fmla="*/ 393287 w 609600"/>
              <a:gd name="connsiteY19" fmla="*/ 20707 h 296446"/>
              <a:gd name="connsiteX20" fmla="*/ 423986 w 609600"/>
              <a:gd name="connsiteY20" fmla="*/ 28785 h 296446"/>
              <a:gd name="connsiteX21" fmla="*/ 564594 w 609600"/>
              <a:gd name="connsiteY21" fmla="*/ 97184 h 296446"/>
              <a:gd name="connsiteX22" fmla="*/ 590550 w 609600"/>
              <a:gd name="connsiteY22" fmla="*/ 148809 h 296446"/>
              <a:gd name="connsiteX23" fmla="*/ 590550 w 609600"/>
              <a:gd name="connsiteY23" fmla="*/ 296447 h 296446"/>
              <a:gd name="connsiteX24" fmla="*/ 609600 w 609600"/>
              <a:gd name="connsiteY24" fmla="*/ 296447 h 296446"/>
              <a:gd name="connsiteX25" fmla="*/ 609600 w 609600"/>
              <a:gd name="connsiteY25" fmla="*/ 148809 h 296446"/>
              <a:gd name="connsiteX26" fmla="*/ 576577 w 609600"/>
              <a:gd name="connsiteY26" fmla="*/ 82372 h 29644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609600" h="296446">
                <a:moveTo>
                  <a:pt x="576577" y="82372"/>
                </a:moveTo>
                <a:cubicBezTo>
                  <a:pt x="532856" y="48714"/>
                  <a:pt x="482770" y="24264"/>
                  <a:pt x="429339" y="10497"/>
                </a:cubicBezTo>
                <a:cubicBezTo>
                  <a:pt x="417033" y="6810"/>
                  <a:pt x="404641" y="3629"/>
                  <a:pt x="392516" y="1038"/>
                </a:cubicBezTo>
                <a:lnTo>
                  <a:pt x="387687" y="0"/>
                </a:lnTo>
                <a:lnTo>
                  <a:pt x="384058" y="3362"/>
                </a:lnTo>
                <a:cubicBezTo>
                  <a:pt x="345243" y="39272"/>
                  <a:pt x="318935" y="39272"/>
                  <a:pt x="304800" y="39272"/>
                </a:cubicBezTo>
                <a:cubicBezTo>
                  <a:pt x="290665" y="39272"/>
                  <a:pt x="264138" y="39272"/>
                  <a:pt x="225514" y="3839"/>
                </a:cubicBezTo>
                <a:lnTo>
                  <a:pt x="221904" y="524"/>
                </a:lnTo>
                <a:lnTo>
                  <a:pt x="217141" y="1534"/>
                </a:lnTo>
                <a:cubicBezTo>
                  <a:pt x="205473" y="3991"/>
                  <a:pt x="193148" y="6991"/>
                  <a:pt x="180403" y="10468"/>
                </a:cubicBezTo>
                <a:cubicBezTo>
                  <a:pt x="127615" y="25938"/>
                  <a:pt x="77824" y="50227"/>
                  <a:pt x="33137" y="82306"/>
                </a:cubicBezTo>
                <a:cubicBezTo>
                  <a:pt x="12648" y="98358"/>
                  <a:pt x="477" y="122785"/>
                  <a:pt x="0" y="148809"/>
                </a:cubicBezTo>
                <a:lnTo>
                  <a:pt x="0" y="296447"/>
                </a:lnTo>
                <a:lnTo>
                  <a:pt x="19050" y="296447"/>
                </a:lnTo>
                <a:lnTo>
                  <a:pt x="19050" y="148809"/>
                </a:lnTo>
                <a:cubicBezTo>
                  <a:pt x="19470" y="128721"/>
                  <a:pt x="28864" y="109877"/>
                  <a:pt x="44653" y="97450"/>
                </a:cubicBezTo>
                <a:cubicBezTo>
                  <a:pt x="87419" y="66838"/>
                  <a:pt x="135037" y="43653"/>
                  <a:pt x="185509" y="28870"/>
                </a:cubicBezTo>
                <a:cubicBezTo>
                  <a:pt x="196082" y="26013"/>
                  <a:pt x="206464" y="23422"/>
                  <a:pt x="216322" y="21250"/>
                </a:cubicBezTo>
                <a:cubicBezTo>
                  <a:pt x="253365" y="53816"/>
                  <a:pt x="281788" y="58322"/>
                  <a:pt x="304800" y="58322"/>
                </a:cubicBezTo>
                <a:cubicBezTo>
                  <a:pt x="327812" y="58322"/>
                  <a:pt x="356083" y="53759"/>
                  <a:pt x="393287" y="20707"/>
                </a:cubicBezTo>
                <a:cubicBezTo>
                  <a:pt x="403393" y="22993"/>
                  <a:pt x="413671" y="25689"/>
                  <a:pt x="423986" y="28785"/>
                </a:cubicBezTo>
                <a:cubicBezTo>
                  <a:pt x="474991" y="41863"/>
                  <a:pt x="522821" y="65130"/>
                  <a:pt x="564594" y="97184"/>
                </a:cubicBezTo>
                <a:cubicBezTo>
                  <a:pt x="580568" y="109615"/>
                  <a:pt x="590099" y="128573"/>
                  <a:pt x="590550" y="148809"/>
                </a:cubicBezTo>
                <a:lnTo>
                  <a:pt x="590550" y="296447"/>
                </a:lnTo>
                <a:lnTo>
                  <a:pt x="609600" y="296447"/>
                </a:lnTo>
                <a:lnTo>
                  <a:pt x="609600" y="148809"/>
                </a:lnTo>
                <a:cubicBezTo>
                  <a:pt x="609139" y="122825"/>
                  <a:pt x="597012" y="98428"/>
                  <a:pt x="576577" y="82372"/>
                </a:cubicBezTo>
                <a:close/>
              </a:path>
            </a:pathLst>
          </a:custGeom>
          <a:grpFill/>
          <a:ln w="9525" cap="flat">
            <a:noFill/>
            <a:prstDash val="solid"/>
            <a:miter/>
          </a:ln>
        </xdr:spPr>
        <xdr:txBody>
          <a:bodyPr rtlCol="0" anchor="ctr"/>
          <a:lstStyle/>
          <a:p>
            <a:endParaRPr lang="en-GB"/>
          </a:p>
        </xdr:txBody>
      </xdr:sp>
    </xdr:grpSp>
    <xdr:clientData/>
  </xdr:twoCellAnchor>
  <xdr:twoCellAnchor editAs="oneCell">
    <xdr:from>
      <xdr:col>4</xdr:col>
      <xdr:colOff>723901</xdr:colOff>
      <xdr:row>14</xdr:row>
      <xdr:rowOff>27708</xdr:rowOff>
    </xdr:from>
    <xdr:to>
      <xdr:col>6</xdr:col>
      <xdr:colOff>182419</xdr:colOff>
      <xdr:row>19</xdr:row>
      <xdr:rowOff>105718</xdr:rowOff>
    </xdr:to>
    <xdr:pic>
      <xdr:nvPicPr>
        <xdr:cNvPr id="41" name="Graphic 40" descr="Male outline">
          <a:extLst>
            <a:ext uri="{FF2B5EF4-FFF2-40B4-BE49-F238E27FC236}">
              <a16:creationId xmlns:a16="http://schemas.microsoft.com/office/drawing/2014/main" id="{D54400AB-C9C0-FC58-1D5A-098F3B3F247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025901" y="2872508"/>
          <a:ext cx="1109518" cy="1094010"/>
        </a:xfrm>
        <a:prstGeom prst="rect">
          <a:avLst/>
        </a:prstGeom>
      </xdr:spPr>
    </xdr:pic>
    <xdr:clientData/>
  </xdr:twoCellAnchor>
  <xdr:twoCellAnchor>
    <xdr:from>
      <xdr:col>3</xdr:col>
      <xdr:colOff>190500</xdr:colOff>
      <xdr:row>26</xdr:row>
      <xdr:rowOff>101600</xdr:rowOff>
    </xdr:from>
    <xdr:to>
      <xdr:col>12</xdr:col>
      <xdr:colOff>215900</xdr:colOff>
      <xdr:row>40</xdr:row>
      <xdr:rowOff>114300</xdr:rowOff>
    </xdr:to>
    <xdr:sp macro="" textlink="">
      <xdr:nvSpPr>
        <xdr:cNvPr id="78" name="Rounded Rectangle 77">
          <a:extLst>
            <a:ext uri="{FF2B5EF4-FFF2-40B4-BE49-F238E27FC236}">
              <a16:creationId xmlns:a16="http://schemas.microsoft.com/office/drawing/2014/main" id="{3B5790B3-6659-BD5D-3ABE-3D2BF3FE5DC4}"/>
            </a:ext>
          </a:extLst>
        </xdr:cNvPr>
        <xdr:cNvSpPr/>
      </xdr:nvSpPr>
      <xdr:spPr>
        <a:xfrm>
          <a:off x="2667000" y="5384800"/>
          <a:ext cx="7454900" cy="28575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800">
              <a:solidFill>
                <a:schemeClr val="tx1"/>
              </a:solidFill>
              <a:latin typeface="American Typewriter" panose="02090604020004020304" pitchFamily="18" charset="77"/>
            </a:rPr>
            <a:t>Referrals per month</a:t>
          </a:r>
        </a:p>
      </xdr:txBody>
    </xdr:sp>
    <xdr:clientData/>
  </xdr:twoCellAnchor>
  <xdr:twoCellAnchor>
    <xdr:from>
      <xdr:col>16</xdr:col>
      <xdr:colOff>546101</xdr:colOff>
      <xdr:row>13</xdr:row>
      <xdr:rowOff>152399</xdr:rowOff>
    </xdr:from>
    <xdr:to>
      <xdr:col>18</xdr:col>
      <xdr:colOff>736599</xdr:colOff>
      <xdr:row>26</xdr:row>
      <xdr:rowOff>12699</xdr:rowOff>
    </xdr:to>
    <xdr:grpSp>
      <xdr:nvGrpSpPr>
        <xdr:cNvPr id="80" name="Group 79">
          <a:extLst>
            <a:ext uri="{FF2B5EF4-FFF2-40B4-BE49-F238E27FC236}">
              <a16:creationId xmlns:a16="http://schemas.microsoft.com/office/drawing/2014/main" id="{B6B6E133-7455-974F-8EDD-1B262F52B480}"/>
            </a:ext>
          </a:extLst>
        </xdr:cNvPr>
        <xdr:cNvGrpSpPr/>
      </xdr:nvGrpSpPr>
      <xdr:grpSpPr>
        <a:xfrm>
          <a:off x="13754101" y="2793999"/>
          <a:ext cx="1841498" cy="2501900"/>
          <a:chOff x="2930298" y="1358182"/>
          <a:chExt cx="1547007" cy="1239762"/>
        </a:xfrm>
      </xdr:grpSpPr>
      <xdr:sp macro="" textlink="">
        <xdr:nvSpPr>
          <xdr:cNvPr id="81" name="Rounded Rectangle 80">
            <a:extLst>
              <a:ext uri="{FF2B5EF4-FFF2-40B4-BE49-F238E27FC236}">
                <a16:creationId xmlns:a16="http://schemas.microsoft.com/office/drawing/2014/main" id="{3F76106E-CE08-0639-9DA2-A43BDDBA55F9}"/>
              </a:ext>
            </a:extLst>
          </xdr:cNvPr>
          <xdr:cNvSpPr/>
        </xdr:nvSpPr>
        <xdr:spPr>
          <a:xfrm>
            <a:off x="2930298" y="1358182"/>
            <a:ext cx="1547007" cy="123976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solidFill>
                  <a:schemeClr val="tx1"/>
                </a:solidFill>
                <a:latin typeface="American Typewriter" panose="02090604020004020304" pitchFamily="18" charset="77"/>
              </a:rPr>
              <a:t>Average</a:t>
            </a:r>
          </a:p>
          <a:p>
            <a:pPr algn="ctr"/>
            <a:r>
              <a:rPr lang="en-GB" sz="2000">
                <a:solidFill>
                  <a:schemeClr val="tx1"/>
                </a:solidFill>
                <a:latin typeface="American Typewriter" panose="02090604020004020304" pitchFamily="18" charset="77"/>
              </a:rPr>
              <a:t>Days</a:t>
            </a:r>
          </a:p>
          <a:p>
            <a:pPr algn="ctr"/>
            <a:r>
              <a:rPr lang="en-GB" sz="2000">
                <a:solidFill>
                  <a:schemeClr val="tx1"/>
                </a:solidFill>
                <a:latin typeface="American Typewriter" panose="02090604020004020304" pitchFamily="18" charset="77"/>
              </a:rPr>
              <a:t>To</a:t>
            </a:r>
            <a:r>
              <a:rPr lang="en-GB" sz="2000" baseline="0">
                <a:solidFill>
                  <a:schemeClr val="tx1"/>
                </a:solidFill>
                <a:latin typeface="American Typewriter" panose="02090604020004020304" pitchFamily="18" charset="77"/>
              </a:rPr>
              <a:t> </a:t>
            </a:r>
          </a:p>
          <a:p>
            <a:pPr algn="ctr"/>
            <a:r>
              <a:rPr lang="en-GB" sz="2000" baseline="0">
                <a:solidFill>
                  <a:schemeClr val="tx1"/>
                </a:solidFill>
                <a:latin typeface="American Typewriter" panose="02090604020004020304" pitchFamily="18" charset="77"/>
              </a:rPr>
              <a:t>Assessment</a:t>
            </a:r>
            <a:endParaRPr lang="en-GB" sz="2000">
              <a:solidFill>
                <a:schemeClr val="tx1"/>
              </a:solidFill>
              <a:latin typeface="American Typewriter" panose="02090604020004020304" pitchFamily="18" charset="77"/>
            </a:endParaRPr>
          </a:p>
        </xdr:txBody>
      </xdr:sp>
      <xdr:sp macro="" textlink="'Pivot Tables'!F29">
        <xdr:nvSpPr>
          <xdr:cNvPr id="82" name="TextBox 81">
            <a:extLst>
              <a:ext uri="{FF2B5EF4-FFF2-40B4-BE49-F238E27FC236}">
                <a16:creationId xmlns:a16="http://schemas.microsoft.com/office/drawing/2014/main" id="{C5D4AF84-869E-3625-F4EA-14B9610E33FC}"/>
              </a:ext>
            </a:extLst>
          </xdr:cNvPr>
          <xdr:cNvSpPr txBox="1"/>
        </xdr:nvSpPr>
        <xdr:spPr>
          <a:xfrm>
            <a:off x="3381221" y="2006383"/>
            <a:ext cx="626647" cy="377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E44F525-246C-7F4B-BD73-C356A11B7A27}" type="TxLink">
              <a:rPr lang="en-US" sz="4000" b="0" i="0" u="none" strike="noStrike">
                <a:solidFill>
                  <a:schemeClr val="tx1">
                    <a:lumMod val="65000"/>
                    <a:lumOff val="35000"/>
                  </a:schemeClr>
                </a:solidFill>
                <a:latin typeface="Aptos Narrow"/>
                <a:ea typeface="Ayuthaya" pitchFamily="2" charset="-34"/>
                <a:cs typeface="Ayuthaya" pitchFamily="2" charset="-34"/>
              </a:rPr>
              <a:pPr/>
              <a:t>25</a:t>
            </a:fld>
            <a:endParaRPr lang="en-GB" sz="6000">
              <a:solidFill>
                <a:schemeClr val="tx1">
                  <a:lumMod val="65000"/>
                  <a:lumOff val="35000"/>
                </a:schemeClr>
              </a:solidFill>
              <a:latin typeface="Ayuthaya" pitchFamily="2" charset="-34"/>
              <a:ea typeface="Ayuthaya" pitchFamily="2" charset="-34"/>
              <a:cs typeface="Ayuthaya" pitchFamily="2" charset="-34"/>
            </a:endParaRPr>
          </a:p>
        </xdr:txBody>
      </xdr:sp>
    </xdr:grpSp>
    <xdr:clientData/>
  </xdr:twoCellAnchor>
  <xdr:twoCellAnchor>
    <xdr:from>
      <xdr:col>19</xdr:col>
      <xdr:colOff>152401</xdr:colOff>
      <xdr:row>13</xdr:row>
      <xdr:rowOff>139699</xdr:rowOff>
    </xdr:from>
    <xdr:to>
      <xdr:col>21</xdr:col>
      <xdr:colOff>342899</xdr:colOff>
      <xdr:row>25</xdr:row>
      <xdr:rowOff>203199</xdr:rowOff>
    </xdr:to>
    <xdr:grpSp>
      <xdr:nvGrpSpPr>
        <xdr:cNvPr id="84" name="Group 83">
          <a:extLst>
            <a:ext uri="{FF2B5EF4-FFF2-40B4-BE49-F238E27FC236}">
              <a16:creationId xmlns:a16="http://schemas.microsoft.com/office/drawing/2014/main" id="{333813C7-0B3A-8F4A-99EC-DC47BEDEBFA3}"/>
            </a:ext>
          </a:extLst>
        </xdr:cNvPr>
        <xdr:cNvGrpSpPr/>
      </xdr:nvGrpSpPr>
      <xdr:grpSpPr>
        <a:xfrm>
          <a:off x="15836901" y="2781299"/>
          <a:ext cx="1841498" cy="2501900"/>
          <a:chOff x="2930298" y="1333009"/>
          <a:chExt cx="1547007" cy="1239762"/>
        </a:xfrm>
      </xdr:grpSpPr>
      <xdr:sp macro="" textlink="">
        <xdr:nvSpPr>
          <xdr:cNvPr id="85" name="Rounded Rectangle 84">
            <a:extLst>
              <a:ext uri="{FF2B5EF4-FFF2-40B4-BE49-F238E27FC236}">
                <a16:creationId xmlns:a16="http://schemas.microsoft.com/office/drawing/2014/main" id="{BFB84218-D05D-2CAF-0DF8-44ECDD9AF2BA}"/>
              </a:ext>
            </a:extLst>
          </xdr:cNvPr>
          <xdr:cNvSpPr/>
        </xdr:nvSpPr>
        <xdr:spPr>
          <a:xfrm>
            <a:off x="2930298" y="1333009"/>
            <a:ext cx="1547007" cy="123976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solidFill>
                  <a:schemeClr val="tx1"/>
                </a:solidFill>
                <a:latin typeface="American Typewriter" panose="02090604020004020304" pitchFamily="18" charset="77"/>
              </a:rPr>
              <a:t>Average</a:t>
            </a:r>
          </a:p>
          <a:p>
            <a:pPr algn="ctr"/>
            <a:r>
              <a:rPr lang="en-GB" sz="2000">
                <a:solidFill>
                  <a:schemeClr val="tx1"/>
                </a:solidFill>
                <a:latin typeface="American Typewriter" panose="02090604020004020304" pitchFamily="18" charset="77"/>
              </a:rPr>
              <a:t>Days</a:t>
            </a:r>
          </a:p>
          <a:p>
            <a:pPr algn="ctr"/>
            <a:r>
              <a:rPr lang="en-GB" sz="2000">
                <a:solidFill>
                  <a:schemeClr val="tx1"/>
                </a:solidFill>
                <a:latin typeface="American Typewriter" panose="02090604020004020304" pitchFamily="18" charset="77"/>
              </a:rPr>
              <a:t>To</a:t>
            </a:r>
            <a:r>
              <a:rPr lang="en-GB" sz="2000" baseline="0">
                <a:solidFill>
                  <a:schemeClr val="tx1"/>
                </a:solidFill>
                <a:latin typeface="American Typewriter" panose="02090604020004020304" pitchFamily="18" charset="77"/>
              </a:rPr>
              <a:t> </a:t>
            </a:r>
          </a:p>
          <a:p>
            <a:pPr algn="ctr"/>
            <a:r>
              <a:rPr lang="en-GB" sz="2000" baseline="0">
                <a:solidFill>
                  <a:schemeClr val="tx1"/>
                </a:solidFill>
                <a:latin typeface="American Typewriter" panose="02090604020004020304" pitchFamily="18" charset="77"/>
              </a:rPr>
              <a:t>Allocation</a:t>
            </a:r>
            <a:endParaRPr lang="en-GB" sz="2000">
              <a:solidFill>
                <a:schemeClr val="tx1"/>
              </a:solidFill>
              <a:latin typeface="American Typewriter" panose="02090604020004020304" pitchFamily="18" charset="77"/>
            </a:endParaRPr>
          </a:p>
        </xdr:txBody>
      </xdr:sp>
      <xdr:sp macro="" textlink="'Pivot Tables'!E29">
        <xdr:nvSpPr>
          <xdr:cNvPr id="86" name="TextBox 85">
            <a:extLst>
              <a:ext uri="{FF2B5EF4-FFF2-40B4-BE49-F238E27FC236}">
                <a16:creationId xmlns:a16="http://schemas.microsoft.com/office/drawing/2014/main" id="{CC4E7B4B-B0BE-2BA2-FB3A-56BA1B7C26F1}"/>
              </a:ext>
            </a:extLst>
          </xdr:cNvPr>
          <xdr:cNvSpPr txBox="1"/>
        </xdr:nvSpPr>
        <xdr:spPr>
          <a:xfrm>
            <a:off x="3402559" y="1993797"/>
            <a:ext cx="594640" cy="390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118B43-726F-8B42-8CA5-306015B64F12}" type="TxLink">
              <a:rPr lang="en-US" sz="4000" b="0" i="0" u="none" strike="noStrike">
                <a:solidFill>
                  <a:schemeClr val="tx1">
                    <a:lumMod val="65000"/>
                    <a:lumOff val="35000"/>
                  </a:schemeClr>
                </a:solidFill>
                <a:latin typeface="Aptos Narrow"/>
                <a:ea typeface="Ayuthaya" pitchFamily="2" charset="-34"/>
                <a:cs typeface="Ayuthaya" pitchFamily="2" charset="-34"/>
              </a:rPr>
              <a:pPr/>
              <a:t>31</a:t>
            </a:fld>
            <a:endParaRPr lang="en-GB" sz="6000">
              <a:solidFill>
                <a:schemeClr val="tx1">
                  <a:lumMod val="65000"/>
                  <a:lumOff val="35000"/>
                </a:schemeClr>
              </a:solidFill>
              <a:latin typeface="Ayuthaya" pitchFamily="2" charset="-34"/>
              <a:ea typeface="Ayuthaya" pitchFamily="2" charset="-34"/>
              <a:cs typeface="Ayuthaya" pitchFamily="2" charset="-34"/>
            </a:endParaRPr>
          </a:p>
        </xdr:txBody>
      </xdr:sp>
    </xdr:grpSp>
    <xdr:clientData/>
  </xdr:twoCellAnchor>
  <xdr:twoCellAnchor editAs="oneCell">
    <xdr:from>
      <xdr:col>17</xdr:col>
      <xdr:colOff>749300</xdr:colOff>
      <xdr:row>21</xdr:row>
      <xdr:rowOff>190500</xdr:rowOff>
    </xdr:from>
    <xdr:to>
      <xdr:col>19</xdr:col>
      <xdr:colOff>12700</xdr:colOff>
      <xdr:row>26</xdr:row>
      <xdr:rowOff>88900</xdr:rowOff>
    </xdr:to>
    <xdr:pic>
      <xdr:nvPicPr>
        <xdr:cNvPr id="88" name="Graphic 87" descr="Stopwatch outline">
          <a:extLst>
            <a:ext uri="{FF2B5EF4-FFF2-40B4-BE49-F238E27FC236}">
              <a16:creationId xmlns:a16="http://schemas.microsoft.com/office/drawing/2014/main" id="{46F18509-6809-FB47-F96C-B9F9176ACD3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4782800" y="4457700"/>
          <a:ext cx="914400" cy="914400"/>
        </a:xfrm>
        <a:prstGeom prst="rect">
          <a:avLst/>
        </a:prstGeom>
      </xdr:spPr>
    </xdr:pic>
    <xdr:clientData/>
  </xdr:twoCellAnchor>
  <xdr:twoCellAnchor editAs="oneCell">
    <xdr:from>
      <xdr:col>20</xdr:col>
      <xdr:colOff>342899</xdr:colOff>
      <xdr:row>22</xdr:row>
      <xdr:rowOff>38100</xdr:rowOff>
    </xdr:from>
    <xdr:to>
      <xdr:col>21</xdr:col>
      <xdr:colOff>474002</xdr:colOff>
      <xdr:row>26</xdr:row>
      <xdr:rowOff>88900</xdr:rowOff>
    </xdr:to>
    <xdr:pic>
      <xdr:nvPicPr>
        <xdr:cNvPr id="89" name="Graphic 88" descr="Stopwatch outline">
          <a:extLst>
            <a:ext uri="{FF2B5EF4-FFF2-40B4-BE49-F238E27FC236}">
              <a16:creationId xmlns:a16="http://schemas.microsoft.com/office/drawing/2014/main" id="{8CBE7A6E-5992-DA4B-90B3-34886073D88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6852899" y="4508500"/>
          <a:ext cx="956603" cy="863600"/>
        </a:xfrm>
        <a:prstGeom prst="rect">
          <a:avLst/>
        </a:prstGeom>
      </xdr:spPr>
    </xdr:pic>
    <xdr:clientData/>
  </xdr:twoCellAnchor>
  <xdr:twoCellAnchor>
    <xdr:from>
      <xdr:col>3</xdr:col>
      <xdr:colOff>698500</xdr:colOff>
      <xdr:row>29</xdr:row>
      <xdr:rowOff>88900</xdr:rowOff>
    </xdr:from>
    <xdr:to>
      <xdr:col>11</xdr:col>
      <xdr:colOff>584200</xdr:colOff>
      <xdr:row>39</xdr:row>
      <xdr:rowOff>190500</xdr:rowOff>
    </xdr:to>
    <xdr:graphicFrame macro="">
      <xdr:nvGraphicFramePr>
        <xdr:cNvPr id="90" name="Chart 89">
          <a:extLst>
            <a:ext uri="{FF2B5EF4-FFF2-40B4-BE49-F238E27FC236}">
              <a16:creationId xmlns:a16="http://schemas.microsoft.com/office/drawing/2014/main" id="{4358A0D8-B747-A947-AEE2-008650801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6</xdr:row>
      <xdr:rowOff>1</xdr:rowOff>
    </xdr:from>
    <xdr:to>
      <xdr:col>3</xdr:col>
      <xdr:colOff>0</xdr:colOff>
      <xdr:row>12</xdr:row>
      <xdr:rowOff>0</xdr:rowOff>
    </xdr:to>
    <mc:AlternateContent xmlns:mc="http://schemas.openxmlformats.org/markup-compatibility/2006" xmlns:a14="http://schemas.microsoft.com/office/drawing/2010/main">
      <mc:Choice Requires="a14">
        <xdr:graphicFrame macro="">
          <xdr:nvGraphicFramePr>
            <xdr:cNvPr id="94" name="Gender 1">
              <a:extLst>
                <a:ext uri="{FF2B5EF4-FFF2-40B4-BE49-F238E27FC236}">
                  <a16:creationId xmlns:a16="http://schemas.microsoft.com/office/drawing/2014/main" id="{040E4B56-062F-CA4E-AA0D-5DEA57F0311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1219201"/>
              <a:ext cx="2476500" cy="1219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406400</xdr:colOff>
      <xdr:row>26</xdr:row>
      <xdr:rowOff>101600</xdr:rowOff>
    </xdr:from>
    <xdr:to>
      <xdr:col>21</xdr:col>
      <xdr:colOff>431800</xdr:colOff>
      <xdr:row>40</xdr:row>
      <xdr:rowOff>114300</xdr:rowOff>
    </xdr:to>
    <xdr:sp macro="" textlink="">
      <xdr:nvSpPr>
        <xdr:cNvPr id="91" name="Rounded Rectangle 90">
          <a:extLst>
            <a:ext uri="{FF2B5EF4-FFF2-40B4-BE49-F238E27FC236}">
              <a16:creationId xmlns:a16="http://schemas.microsoft.com/office/drawing/2014/main" id="{49EDC498-8EC4-714F-B9A5-B218EF3ADDC3}"/>
            </a:ext>
          </a:extLst>
        </xdr:cNvPr>
        <xdr:cNvSpPr/>
      </xdr:nvSpPr>
      <xdr:spPr>
        <a:xfrm>
          <a:off x="10312400" y="5384800"/>
          <a:ext cx="7454900" cy="28575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800">
              <a:solidFill>
                <a:schemeClr val="tx1"/>
              </a:solidFill>
              <a:latin typeface="American Typewriter" panose="02090604020004020304" pitchFamily="18" charset="77"/>
            </a:rPr>
            <a:t>Referring Organisation</a:t>
          </a:r>
        </a:p>
      </xdr:txBody>
    </xdr:sp>
    <xdr:clientData/>
  </xdr:twoCellAnchor>
  <xdr:twoCellAnchor>
    <xdr:from>
      <xdr:col>12</xdr:col>
      <xdr:colOff>624052</xdr:colOff>
      <xdr:row>29</xdr:row>
      <xdr:rowOff>119555</xdr:rowOff>
    </xdr:from>
    <xdr:to>
      <xdr:col>19</xdr:col>
      <xdr:colOff>591207</xdr:colOff>
      <xdr:row>40</xdr:row>
      <xdr:rowOff>68754</xdr:rowOff>
    </xdr:to>
    <xdr:graphicFrame macro="">
      <xdr:nvGraphicFramePr>
        <xdr:cNvPr id="92" name="Chart 91">
          <a:extLst>
            <a:ext uri="{FF2B5EF4-FFF2-40B4-BE49-F238E27FC236}">
              <a16:creationId xmlns:a16="http://schemas.microsoft.com/office/drawing/2014/main" id="{338BA81A-7F63-E449-A145-76D5AC66F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12</xdr:row>
      <xdr:rowOff>48846</xdr:rowOff>
    </xdr:from>
    <xdr:to>
      <xdr:col>3</xdr:col>
      <xdr:colOff>0</xdr:colOff>
      <xdr:row>22</xdr:row>
      <xdr:rowOff>108297</xdr:rowOff>
    </xdr:to>
    <mc:AlternateContent xmlns:mc="http://schemas.openxmlformats.org/markup-compatibility/2006" xmlns:a14="http://schemas.microsoft.com/office/drawing/2010/main">
      <mc:Choice Requires="a14">
        <xdr:graphicFrame macro="">
          <xdr:nvGraphicFramePr>
            <xdr:cNvPr id="95" name="Referring Organisation 1">
              <a:extLst>
                <a:ext uri="{FF2B5EF4-FFF2-40B4-BE49-F238E27FC236}">
                  <a16:creationId xmlns:a16="http://schemas.microsoft.com/office/drawing/2014/main" id="{E709072B-73B6-A14A-B94C-817AFDE0DC2E}"/>
                </a:ext>
              </a:extLst>
            </xdr:cNvPr>
            <xdr:cNvGraphicFramePr/>
          </xdr:nvGraphicFramePr>
          <xdr:xfrm>
            <a:off x="0" y="0"/>
            <a:ext cx="0" cy="0"/>
          </xdr:xfrm>
          <a:graphic>
            <a:graphicData uri="http://schemas.microsoft.com/office/drawing/2010/slicer">
              <sle:slicer xmlns:sle="http://schemas.microsoft.com/office/drawing/2010/slicer" name="Referring Organisation 1"/>
            </a:graphicData>
          </a:graphic>
        </xdr:graphicFrame>
      </mc:Choice>
      <mc:Fallback xmlns="">
        <xdr:sp macro="" textlink="">
          <xdr:nvSpPr>
            <xdr:cNvPr id="0" name=""/>
            <xdr:cNvSpPr>
              <a:spLocks noTextEdit="1"/>
            </xdr:cNvSpPr>
          </xdr:nvSpPr>
          <xdr:spPr>
            <a:xfrm>
              <a:off x="0" y="2487246"/>
              <a:ext cx="2476500" cy="20914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0</xdr:rowOff>
    </xdr:from>
    <xdr:to>
      <xdr:col>3</xdr:col>
      <xdr:colOff>0</xdr:colOff>
      <xdr:row>43</xdr:row>
      <xdr:rowOff>15872</xdr:rowOff>
    </xdr:to>
    <mc:AlternateContent xmlns:mc="http://schemas.openxmlformats.org/markup-compatibility/2006" xmlns:a14="http://schemas.microsoft.com/office/drawing/2010/main">
      <mc:Choice Requires="a14">
        <xdr:graphicFrame macro="">
          <xdr:nvGraphicFramePr>
            <xdr:cNvPr id="97" name="Months (Date Referred) 1">
              <a:extLst>
                <a:ext uri="{FF2B5EF4-FFF2-40B4-BE49-F238E27FC236}">
                  <a16:creationId xmlns:a16="http://schemas.microsoft.com/office/drawing/2014/main" id="{EF8D95E2-6B7E-644C-AABC-14F0C14CFB1E}"/>
                </a:ext>
              </a:extLst>
            </xdr:cNvPr>
            <xdr:cNvGraphicFramePr/>
          </xdr:nvGraphicFramePr>
          <xdr:xfrm>
            <a:off x="0" y="0"/>
            <a:ext cx="0" cy="0"/>
          </xdr:xfrm>
          <a:graphic>
            <a:graphicData uri="http://schemas.microsoft.com/office/drawing/2010/slicer">
              <sle:slicer xmlns:sle="http://schemas.microsoft.com/office/drawing/2010/slicer" name="Months (Date Referred) 1"/>
            </a:graphicData>
          </a:graphic>
        </xdr:graphicFrame>
      </mc:Choice>
      <mc:Fallback xmlns="">
        <xdr:sp macro="" textlink="">
          <xdr:nvSpPr>
            <xdr:cNvPr id="0" name=""/>
            <xdr:cNvSpPr>
              <a:spLocks noTextEdit="1"/>
            </xdr:cNvSpPr>
          </xdr:nvSpPr>
          <xdr:spPr>
            <a:xfrm>
              <a:off x="0" y="4470400"/>
              <a:ext cx="2476500" cy="42830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88900</xdr:colOff>
      <xdr:row>1</xdr:row>
      <xdr:rowOff>101600</xdr:rowOff>
    </xdr:from>
    <xdr:to>
      <xdr:col>6</xdr:col>
      <xdr:colOff>0</xdr:colOff>
      <xdr:row>4</xdr:row>
      <xdr:rowOff>0</xdr:rowOff>
    </xdr:to>
    <xdr:sp macro="" textlink="">
      <xdr:nvSpPr>
        <xdr:cNvPr id="98" name="Rectangle 97">
          <a:hlinkClick xmlns:r="http://schemas.openxmlformats.org/officeDocument/2006/relationships" r:id="rId9" tooltip="Main Dashboard"/>
          <a:extLst>
            <a:ext uri="{FF2B5EF4-FFF2-40B4-BE49-F238E27FC236}">
              <a16:creationId xmlns:a16="http://schemas.microsoft.com/office/drawing/2014/main" id="{A53434D7-EEDD-0A6A-23EB-066089E5ACC9}"/>
            </a:ext>
          </a:extLst>
        </xdr:cNvPr>
        <xdr:cNvSpPr/>
      </xdr:nvSpPr>
      <xdr:spPr>
        <a:xfrm>
          <a:off x="3390900" y="304800"/>
          <a:ext cx="1562100" cy="508000"/>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solidFill>
                <a:schemeClr val="bg1"/>
              </a:solidFill>
              <a:latin typeface="American Typewriter" panose="02090604020004020304" pitchFamily="18" charset="77"/>
            </a:rPr>
            <a:t>Home</a:t>
          </a:r>
          <a:endParaRPr lang="en-GB" sz="2800">
            <a:solidFill>
              <a:schemeClr val="bg1"/>
            </a:solidFill>
            <a:latin typeface="American Typewriter" panose="02090604020004020304" pitchFamily="18" charset="77"/>
          </a:endParaRPr>
        </a:p>
      </xdr:txBody>
    </xdr:sp>
    <xdr:clientData/>
  </xdr:twoCellAnchor>
  <xdr:twoCellAnchor>
    <xdr:from>
      <xdr:col>6</xdr:col>
      <xdr:colOff>431800</xdr:colOff>
      <xdr:row>1</xdr:row>
      <xdr:rowOff>101600</xdr:rowOff>
    </xdr:from>
    <xdr:to>
      <xdr:col>8</xdr:col>
      <xdr:colOff>431800</xdr:colOff>
      <xdr:row>4</xdr:row>
      <xdr:rowOff>0</xdr:rowOff>
    </xdr:to>
    <xdr:sp macro="" textlink="">
      <xdr:nvSpPr>
        <xdr:cNvPr id="101" name="Rectangle 100">
          <a:hlinkClick xmlns:r="http://schemas.openxmlformats.org/officeDocument/2006/relationships" r:id="rId10" tooltip="Age Dashboard"/>
          <a:extLst>
            <a:ext uri="{FF2B5EF4-FFF2-40B4-BE49-F238E27FC236}">
              <a16:creationId xmlns:a16="http://schemas.microsoft.com/office/drawing/2014/main" id="{1FB7CBB6-FF98-C34A-9F68-A575695BAC0D}"/>
            </a:ext>
          </a:extLst>
        </xdr:cNvPr>
        <xdr:cNvSpPr/>
      </xdr:nvSpPr>
      <xdr:spPr>
        <a:xfrm>
          <a:off x="5384800" y="304800"/>
          <a:ext cx="1651000" cy="508000"/>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solidFill>
                <a:schemeClr val="bg1"/>
              </a:solidFill>
              <a:latin typeface="American Typewriter" panose="02090604020004020304" pitchFamily="18" charset="77"/>
            </a:rPr>
            <a:t>Age</a:t>
          </a:r>
          <a:endParaRPr lang="en-GB" sz="2800">
            <a:solidFill>
              <a:schemeClr val="bg1"/>
            </a:solidFill>
            <a:latin typeface="American Typewriter" panose="02090604020004020304" pitchFamily="18" charset="77"/>
          </a:endParaRPr>
        </a:p>
      </xdr:txBody>
    </xdr:sp>
    <xdr:clientData/>
  </xdr:twoCellAnchor>
  <xdr:twoCellAnchor>
    <xdr:from>
      <xdr:col>9</xdr:col>
      <xdr:colOff>266700</xdr:colOff>
      <xdr:row>1</xdr:row>
      <xdr:rowOff>101600</xdr:rowOff>
    </xdr:from>
    <xdr:to>
      <xdr:col>12</xdr:col>
      <xdr:colOff>0</xdr:colOff>
      <xdr:row>4</xdr:row>
      <xdr:rowOff>0</xdr:rowOff>
    </xdr:to>
    <xdr:sp macro="" textlink="">
      <xdr:nvSpPr>
        <xdr:cNvPr id="102" name="Rectangle 101">
          <a:hlinkClick xmlns:r="http://schemas.openxmlformats.org/officeDocument/2006/relationships" r:id="rId11"/>
          <a:extLst>
            <a:ext uri="{FF2B5EF4-FFF2-40B4-BE49-F238E27FC236}">
              <a16:creationId xmlns:a16="http://schemas.microsoft.com/office/drawing/2014/main" id="{9E2617FA-7273-814D-AB96-17456BC27F45}"/>
            </a:ext>
          </a:extLst>
        </xdr:cNvPr>
        <xdr:cNvSpPr/>
      </xdr:nvSpPr>
      <xdr:spPr>
        <a:xfrm>
          <a:off x="7696200" y="304800"/>
          <a:ext cx="2209800" cy="508000"/>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solidFill>
                <a:schemeClr val="bg1"/>
              </a:solidFill>
              <a:latin typeface="American Typewriter" panose="02090604020004020304" pitchFamily="18" charset="77"/>
            </a:rPr>
            <a:t>Demographic</a:t>
          </a:r>
          <a:endParaRPr lang="en-GB" sz="2800">
            <a:solidFill>
              <a:schemeClr val="bg1"/>
            </a:solidFill>
            <a:latin typeface="American Typewriter" panose="02090604020004020304" pitchFamily="18" charset="77"/>
          </a:endParaRPr>
        </a:p>
      </xdr:txBody>
    </xdr:sp>
    <xdr:clientData/>
  </xdr:twoCellAnchor>
  <xdr:twoCellAnchor>
    <xdr:from>
      <xdr:col>12</xdr:col>
      <xdr:colOff>609600</xdr:colOff>
      <xdr:row>1</xdr:row>
      <xdr:rowOff>101600</xdr:rowOff>
    </xdr:from>
    <xdr:to>
      <xdr:col>15</xdr:col>
      <xdr:colOff>342900</xdr:colOff>
      <xdr:row>4</xdr:row>
      <xdr:rowOff>0</xdr:rowOff>
    </xdr:to>
    <xdr:sp macro="" textlink="">
      <xdr:nvSpPr>
        <xdr:cNvPr id="103" name="Rectangle 102">
          <a:hlinkClick xmlns:r="http://schemas.openxmlformats.org/officeDocument/2006/relationships" r:id="rId12"/>
          <a:extLst>
            <a:ext uri="{FF2B5EF4-FFF2-40B4-BE49-F238E27FC236}">
              <a16:creationId xmlns:a16="http://schemas.microsoft.com/office/drawing/2014/main" id="{CAD4BD87-A6F5-C041-9B91-01F4962DC95C}"/>
            </a:ext>
          </a:extLst>
        </xdr:cNvPr>
        <xdr:cNvSpPr/>
      </xdr:nvSpPr>
      <xdr:spPr>
        <a:xfrm>
          <a:off x="10515600" y="304800"/>
          <a:ext cx="2209800" cy="508000"/>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solidFill>
                <a:schemeClr val="bg1"/>
              </a:solidFill>
              <a:latin typeface="American Typewriter" panose="02090604020004020304" pitchFamily="18" charset="77"/>
            </a:rPr>
            <a:t>Counsellors</a:t>
          </a:r>
        </a:p>
      </xdr:txBody>
    </xdr:sp>
    <xdr:clientData/>
  </xdr:twoCellAnchor>
  <xdr:twoCellAnchor>
    <xdr:from>
      <xdr:col>10</xdr:col>
      <xdr:colOff>0</xdr:colOff>
      <xdr:row>16</xdr:row>
      <xdr:rowOff>114300</xdr:rowOff>
    </xdr:from>
    <xdr:to>
      <xdr:col>16</xdr:col>
      <xdr:colOff>0</xdr:colOff>
      <xdr:row>26</xdr:row>
      <xdr:rowOff>0</xdr:rowOff>
    </xdr:to>
    <xdr:graphicFrame macro="">
      <xdr:nvGraphicFramePr>
        <xdr:cNvPr id="105" name="Chart 104">
          <a:extLst>
            <a:ext uri="{FF2B5EF4-FFF2-40B4-BE49-F238E27FC236}">
              <a16:creationId xmlns:a16="http://schemas.microsoft.com/office/drawing/2014/main" id="{25C85AB6-0426-0747-A0CE-A08C746E0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736600</xdr:colOff>
      <xdr:row>13</xdr:row>
      <xdr:rowOff>139700</xdr:rowOff>
    </xdr:from>
    <xdr:to>
      <xdr:col>21</xdr:col>
      <xdr:colOff>101598</xdr:colOff>
      <xdr:row>26</xdr:row>
      <xdr:rowOff>0</xdr:rowOff>
    </xdr:to>
    <xdr:grpSp>
      <xdr:nvGrpSpPr>
        <xdr:cNvPr id="43" name="Group 42">
          <a:extLst>
            <a:ext uri="{FF2B5EF4-FFF2-40B4-BE49-F238E27FC236}">
              <a16:creationId xmlns:a16="http://schemas.microsoft.com/office/drawing/2014/main" id="{C268AC13-3E57-D143-B29C-816C19C91544}"/>
            </a:ext>
          </a:extLst>
        </xdr:cNvPr>
        <xdr:cNvGrpSpPr/>
      </xdr:nvGrpSpPr>
      <xdr:grpSpPr>
        <a:xfrm>
          <a:off x="15595600" y="2781300"/>
          <a:ext cx="1841498" cy="2501900"/>
          <a:chOff x="2108782" y="1301543"/>
          <a:chExt cx="1547007" cy="1239762"/>
        </a:xfrm>
        <a:solidFill>
          <a:srgbClr val="F5BEC9"/>
        </a:solidFill>
      </xdr:grpSpPr>
      <xdr:sp macro="" textlink="">
        <xdr:nvSpPr>
          <xdr:cNvPr id="44" name="Rounded Rectangle 43">
            <a:extLst>
              <a:ext uri="{FF2B5EF4-FFF2-40B4-BE49-F238E27FC236}">
                <a16:creationId xmlns:a16="http://schemas.microsoft.com/office/drawing/2014/main" id="{0A40352C-7D87-B88E-4A45-06CFD890A644}"/>
              </a:ext>
            </a:extLst>
          </xdr:cNvPr>
          <xdr:cNvSpPr/>
        </xdr:nvSpPr>
        <xdr:spPr>
          <a:xfrm>
            <a:off x="2108782" y="1301543"/>
            <a:ext cx="1547007" cy="1239762"/>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solidFill>
                  <a:schemeClr val="bg1"/>
                </a:solidFill>
                <a:latin typeface="American Typewriter" panose="02090604020004020304" pitchFamily="18" charset="77"/>
              </a:rPr>
              <a:t>Average female age</a:t>
            </a:r>
          </a:p>
        </xdr:txBody>
      </xdr:sp>
      <xdr:sp macro="" textlink="'Pivot Tables'!G35">
        <xdr:nvSpPr>
          <xdr:cNvPr id="45" name="TextBox 44">
            <a:extLst>
              <a:ext uri="{FF2B5EF4-FFF2-40B4-BE49-F238E27FC236}">
                <a16:creationId xmlns:a16="http://schemas.microsoft.com/office/drawing/2014/main" id="{4C0E9594-8153-0C5B-8AFE-2E36A7FFB8DE}"/>
              </a:ext>
            </a:extLst>
          </xdr:cNvPr>
          <xdr:cNvSpPr txBox="1"/>
        </xdr:nvSpPr>
        <xdr:spPr>
          <a:xfrm>
            <a:off x="2183465" y="1748362"/>
            <a:ext cx="594640" cy="390178"/>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182042-D10A-B647-9063-C5C24A65677B}" type="TxLink">
              <a:rPr lang="en-US" sz="4000" b="0" i="0" u="none" strike="noStrike">
                <a:solidFill>
                  <a:schemeClr val="bg1"/>
                </a:solidFill>
                <a:latin typeface="Aptos Narrow"/>
                <a:ea typeface="Ayuthaya" pitchFamily="2" charset="-34"/>
                <a:cs typeface="Ayuthaya" pitchFamily="2" charset="-34"/>
              </a:rPr>
              <a:pPr/>
              <a:t>43 </a:t>
            </a:fld>
            <a:endParaRPr lang="en-GB" sz="19900">
              <a:solidFill>
                <a:schemeClr val="bg1"/>
              </a:solidFill>
              <a:latin typeface="Ayuthaya" pitchFamily="2" charset="-34"/>
              <a:ea typeface="Ayuthaya" pitchFamily="2" charset="-34"/>
              <a:cs typeface="Ayuthaya" pitchFamily="2" charset="-34"/>
            </a:endParaRPr>
          </a:p>
        </xdr:txBody>
      </xdr:sp>
    </xdr:grpSp>
    <xdr:clientData/>
  </xdr:twoCellAnchor>
  <xdr:twoCellAnchor>
    <xdr:from>
      <xdr:col>0</xdr:col>
      <xdr:colOff>0</xdr:colOff>
      <xdr:row>0</xdr:row>
      <xdr:rowOff>0</xdr:rowOff>
    </xdr:from>
    <xdr:to>
      <xdr:col>60</xdr:col>
      <xdr:colOff>762000</xdr:colOff>
      <xdr:row>5</xdr:row>
      <xdr:rowOff>7186</xdr:rowOff>
    </xdr:to>
    <xdr:sp macro="" textlink="">
      <xdr:nvSpPr>
        <xdr:cNvPr id="3" name="Rectangle 2">
          <a:extLst>
            <a:ext uri="{FF2B5EF4-FFF2-40B4-BE49-F238E27FC236}">
              <a16:creationId xmlns:a16="http://schemas.microsoft.com/office/drawing/2014/main" id="{22CF5161-3BE2-024D-B445-A0B12BF13CE0}"/>
            </a:ext>
          </a:extLst>
        </xdr:cNvPr>
        <xdr:cNvSpPr/>
      </xdr:nvSpPr>
      <xdr:spPr>
        <a:xfrm>
          <a:off x="0" y="0"/>
          <a:ext cx="50292000" cy="102318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200">
            <a:solidFill>
              <a:schemeClr val="bg1"/>
            </a:solidFill>
          </a:endParaRPr>
        </a:p>
      </xdr:txBody>
    </xdr:sp>
    <xdr:clientData/>
  </xdr:twoCellAnchor>
  <xdr:twoCellAnchor>
    <xdr:from>
      <xdr:col>0</xdr:col>
      <xdr:colOff>0</xdr:colOff>
      <xdr:row>5</xdr:row>
      <xdr:rowOff>1</xdr:rowOff>
    </xdr:from>
    <xdr:to>
      <xdr:col>3</xdr:col>
      <xdr:colOff>14598</xdr:colOff>
      <xdr:row>94</xdr:row>
      <xdr:rowOff>1</xdr:rowOff>
    </xdr:to>
    <xdr:sp macro="" textlink="">
      <xdr:nvSpPr>
        <xdr:cNvPr id="4" name="Rectangle 3">
          <a:extLst>
            <a:ext uri="{FF2B5EF4-FFF2-40B4-BE49-F238E27FC236}">
              <a16:creationId xmlns:a16="http://schemas.microsoft.com/office/drawing/2014/main" id="{866CC362-5713-0248-99D3-72C36836D7D7}"/>
            </a:ext>
          </a:extLst>
        </xdr:cNvPr>
        <xdr:cNvSpPr/>
      </xdr:nvSpPr>
      <xdr:spPr>
        <a:xfrm>
          <a:off x="0" y="1016001"/>
          <a:ext cx="2491098" cy="180848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rgbClr val="DABD63"/>
            </a:solidFill>
          </a:endParaRPr>
        </a:p>
      </xdr:txBody>
    </xdr:sp>
    <xdr:clientData/>
  </xdr:twoCellAnchor>
  <xdr:twoCellAnchor>
    <xdr:from>
      <xdr:col>16</xdr:col>
      <xdr:colOff>508000</xdr:colOff>
      <xdr:row>0</xdr:row>
      <xdr:rowOff>122594</xdr:rowOff>
    </xdr:from>
    <xdr:to>
      <xdr:col>21</xdr:col>
      <xdr:colOff>0</xdr:colOff>
      <xdr:row>4</xdr:row>
      <xdr:rowOff>190500</xdr:rowOff>
    </xdr:to>
    <xdr:sp macro="" textlink="">
      <xdr:nvSpPr>
        <xdr:cNvPr id="6" name="TextBox 5">
          <a:extLst>
            <a:ext uri="{FF2B5EF4-FFF2-40B4-BE49-F238E27FC236}">
              <a16:creationId xmlns:a16="http://schemas.microsoft.com/office/drawing/2014/main" id="{41EBE332-FA1A-DF49-80FD-288CC5FD1892}"/>
            </a:ext>
          </a:extLst>
        </xdr:cNvPr>
        <xdr:cNvSpPr txBox="1"/>
      </xdr:nvSpPr>
      <xdr:spPr>
        <a:xfrm>
          <a:off x="13716000" y="122594"/>
          <a:ext cx="3619500" cy="880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a:t>Last</a:t>
          </a:r>
          <a:r>
            <a:rPr lang="en-GB" sz="2400" baseline="0"/>
            <a:t> update</a:t>
          </a:r>
        </a:p>
        <a:p>
          <a:pPr algn="ctr"/>
          <a:r>
            <a:rPr lang="en-GB" sz="2400" baseline="0">
              <a:solidFill>
                <a:schemeClr val="accent1">
                  <a:lumMod val="60000"/>
                  <a:lumOff val="40000"/>
                </a:schemeClr>
              </a:solidFill>
            </a:rPr>
            <a:t>March 4th 2025</a:t>
          </a:r>
          <a:endParaRPr lang="en-GB" sz="2400">
            <a:solidFill>
              <a:schemeClr val="accent1">
                <a:lumMod val="60000"/>
                <a:lumOff val="40000"/>
              </a:schemeClr>
            </a:solidFill>
          </a:endParaRPr>
        </a:p>
      </xdr:txBody>
    </xdr:sp>
    <xdr:clientData/>
  </xdr:twoCellAnchor>
  <xdr:twoCellAnchor>
    <xdr:from>
      <xdr:col>15</xdr:col>
      <xdr:colOff>677334</xdr:colOff>
      <xdr:row>0</xdr:row>
      <xdr:rowOff>21166</xdr:rowOff>
    </xdr:from>
    <xdr:to>
      <xdr:col>15</xdr:col>
      <xdr:colOff>687917</xdr:colOff>
      <xdr:row>5</xdr:row>
      <xdr:rowOff>31749</xdr:rowOff>
    </xdr:to>
    <xdr:cxnSp macro="">
      <xdr:nvCxnSpPr>
        <xdr:cNvPr id="7" name="Straight Connector 6">
          <a:extLst>
            <a:ext uri="{FF2B5EF4-FFF2-40B4-BE49-F238E27FC236}">
              <a16:creationId xmlns:a16="http://schemas.microsoft.com/office/drawing/2014/main" id="{13CCD01F-177C-7A44-B37E-542B315CDAE1}"/>
            </a:ext>
          </a:extLst>
        </xdr:cNvPr>
        <xdr:cNvCxnSpPr/>
      </xdr:nvCxnSpPr>
      <xdr:spPr>
        <a:xfrm>
          <a:off x="13059834" y="21166"/>
          <a:ext cx="10583" cy="102658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241625</xdr:colOff>
      <xdr:row>6</xdr:row>
      <xdr:rowOff>127000</xdr:rowOff>
    </xdr:from>
    <xdr:to>
      <xdr:col>7</xdr:col>
      <xdr:colOff>177800</xdr:colOff>
      <xdr:row>12</xdr:row>
      <xdr:rowOff>191105</xdr:rowOff>
    </xdr:to>
    <xdr:grpSp>
      <xdr:nvGrpSpPr>
        <xdr:cNvPr id="8" name="Group 7">
          <a:extLst>
            <a:ext uri="{FF2B5EF4-FFF2-40B4-BE49-F238E27FC236}">
              <a16:creationId xmlns:a16="http://schemas.microsoft.com/office/drawing/2014/main" id="{46796776-AA77-2346-8AA0-5D1649AD03F8}"/>
            </a:ext>
          </a:extLst>
        </xdr:cNvPr>
        <xdr:cNvGrpSpPr/>
      </xdr:nvGrpSpPr>
      <xdr:grpSpPr>
        <a:xfrm>
          <a:off x="2718125" y="1346200"/>
          <a:ext cx="3238175" cy="1283305"/>
          <a:chOff x="3090333" y="1345596"/>
          <a:chExt cx="2635250" cy="1239762"/>
        </a:xfrm>
      </xdr:grpSpPr>
      <xdr:sp macro="" textlink="">
        <xdr:nvSpPr>
          <xdr:cNvPr id="9" name="Rounded Rectangle 8">
            <a:extLst>
              <a:ext uri="{FF2B5EF4-FFF2-40B4-BE49-F238E27FC236}">
                <a16:creationId xmlns:a16="http://schemas.microsoft.com/office/drawing/2014/main" id="{C529A979-757D-6337-F87C-445822E8A9A6}"/>
              </a:ext>
            </a:extLst>
          </xdr:cNvPr>
          <xdr:cNvSpPr/>
        </xdr:nvSpPr>
        <xdr:spPr>
          <a:xfrm>
            <a:off x="3090333" y="1345596"/>
            <a:ext cx="2635250" cy="123976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800">
                <a:solidFill>
                  <a:schemeClr val="tx1"/>
                </a:solidFill>
                <a:latin typeface="American Typewriter" panose="02090604020004020304" pitchFamily="18" charset="77"/>
              </a:rPr>
              <a:t>Total Clients</a:t>
            </a:r>
          </a:p>
        </xdr:txBody>
      </xdr:sp>
      <xdr:sp macro="" textlink="'Pivot Tables'!B4">
        <xdr:nvSpPr>
          <xdr:cNvPr id="10" name="TextBox 9">
            <a:extLst>
              <a:ext uri="{FF2B5EF4-FFF2-40B4-BE49-F238E27FC236}">
                <a16:creationId xmlns:a16="http://schemas.microsoft.com/office/drawing/2014/main" id="{304C9C59-6C7E-C9E5-5BE6-8B3923C8F5DD}"/>
              </a:ext>
            </a:extLst>
          </xdr:cNvPr>
          <xdr:cNvSpPr txBox="1"/>
        </xdr:nvSpPr>
        <xdr:spPr>
          <a:xfrm>
            <a:off x="4022810" y="1750476"/>
            <a:ext cx="886280" cy="773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DBBFB9-6D53-FF4D-8435-4961A51B1D08}" type="TxLink">
              <a:rPr lang="en-US" sz="4000" b="0" i="0" u="none" strike="noStrike">
                <a:solidFill>
                  <a:schemeClr val="bg1">
                    <a:lumMod val="65000"/>
                  </a:schemeClr>
                </a:solidFill>
                <a:latin typeface="Aptos Narrow"/>
                <a:ea typeface="Ayuthaya" pitchFamily="2" charset="-34"/>
                <a:cs typeface="Ayuthaya" pitchFamily="2" charset="-34"/>
              </a:rPr>
              <a:pPr algn="ctr"/>
              <a:t>210</a:t>
            </a:fld>
            <a:endParaRPr lang="en-GB" sz="6000">
              <a:solidFill>
                <a:schemeClr val="bg1">
                  <a:lumMod val="65000"/>
                </a:schemeClr>
              </a:solidFill>
              <a:latin typeface="Ayuthaya" pitchFamily="2" charset="-34"/>
              <a:ea typeface="Ayuthaya" pitchFamily="2" charset="-34"/>
              <a:cs typeface="Ayuthaya" pitchFamily="2" charset="-34"/>
            </a:endParaRPr>
          </a:p>
        </xdr:txBody>
      </xdr:sp>
    </xdr:grpSp>
    <xdr:clientData/>
  </xdr:twoCellAnchor>
  <xdr:twoCellAnchor>
    <xdr:from>
      <xdr:col>18</xdr:col>
      <xdr:colOff>0</xdr:colOff>
      <xdr:row>6</xdr:row>
      <xdr:rowOff>128487</xdr:rowOff>
    </xdr:from>
    <xdr:to>
      <xdr:col>20</xdr:col>
      <xdr:colOff>787400</xdr:colOff>
      <xdr:row>13</xdr:row>
      <xdr:rowOff>0</xdr:rowOff>
    </xdr:to>
    <xdr:grpSp>
      <xdr:nvGrpSpPr>
        <xdr:cNvPr id="11" name="Group 10">
          <a:extLst>
            <a:ext uri="{FF2B5EF4-FFF2-40B4-BE49-F238E27FC236}">
              <a16:creationId xmlns:a16="http://schemas.microsoft.com/office/drawing/2014/main" id="{98A1760D-285B-3649-9ED0-C83FDA81EA71}"/>
            </a:ext>
          </a:extLst>
        </xdr:cNvPr>
        <xdr:cNvGrpSpPr/>
      </xdr:nvGrpSpPr>
      <xdr:grpSpPr>
        <a:xfrm>
          <a:off x="14859000" y="1347687"/>
          <a:ext cx="2438400" cy="1293913"/>
          <a:chOff x="3090334" y="1369933"/>
          <a:chExt cx="1540342" cy="1239762"/>
        </a:xfrm>
      </xdr:grpSpPr>
      <xdr:sp macro="" textlink="">
        <xdr:nvSpPr>
          <xdr:cNvPr id="12" name="Rounded Rectangle 11">
            <a:extLst>
              <a:ext uri="{FF2B5EF4-FFF2-40B4-BE49-F238E27FC236}">
                <a16:creationId xmlns:a16="http://schemas.microsoft.com/office/drawing/2014/main" id="{D2F51E07-A718-69BA-E457-A11A42AA18D3}"/>
              </a:ext>
            </a:extLst>
          </xdr:cNvPr>
          <xdr:cNvSpPr/>
        </xdr:nvSpPr>
        <xdr:spPr>
          <a:xfrm>
            <a:off x="3090334" y="1369933"/>
            <a:ext cx="1540342" cy="123976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800">
                <a:solidFill>
                  <a:schemeClr val="tx1"/>
                </a:solidFill>
                <a:latin typeface="American Typewriter" panose="02090604020004020304" pitchFamily="18" charset="77"/>
              </a:rPr>
              <a:t>Median</a:t>
            </a:r>
            <a:r>
              <a:rPr lang="en-GB" sz="2800" baseline="0">
                <a:solidFill>
                  <a:schemeClr val="tx1"/>
                </a:solidFill>
                <a:latin typeface="American Typewriter" panose="02090604020004020304" pitchFamily="18" charset="77"/>
              </a:rPr>
              <a:t> Age</a:t>
            </a:r>
            <a:endParaRPr lang="en-GB" sz="2800">
              <a:solidFill>
                <a:schemeClr val="tx1"/>
              </a:solidFill>
              <a:latin typeface="American Typewriter" panose="02090604020004020304" pitchFamily="18" charset="77"/>
            </a:endParaRPr>
          </a:p>
        </xdr:txBody>
      </xdr:sp>
      <xdr:sp macro="" textlink="'Pivot Tables'!H44">
        <xdr:nvSpPr>
          <xdr:cNvPr id="13" name="TextBox 12">
            <a:extLst>
              <a:ext uri="{FF2B5EF4-FFF2-40B4-BE49-F238E27FC236}">
                <a16:creationId xmlns:a16="http://schemas.microsoft.com/office/drawing/2014/main" id="{53151FA7-5096-EC2E-4163-4B9FA0B9CC8A}"/>
              </a:ext>
            </a:extLst>
          </xdr:cNvPr>
          <xdr:cNvSpPr txBox="1"/>
        </xdr:nvSpPr>
        <xdr:spPr>
          <a:xfrm>
            <a:off x="3452170" y="1757900"/>
            <a:ext cx="681104" cy="791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D097F6-3753-8D4C-8457-D076600C28DC}" type="TxLink">
              <a:rPr lang="en-US" sz="4000" b="0" i="0" u="none" strike="noStrike">
                <a:solidFill>
                  <a:schemeClr val="bg1">
                    <a:lumMod val="65000"/>
                  </a:schemeClr>
                </a:solidFill>
                <a:latin typeface="Aptos Narrow"/>
                <a:ea typeface="Ayuthaya" pitchFamily="2" charset="-34"/>
                <a:cs typeface="Ayuthaya" pitchFamily="2" charset="-34"/>
              </a:rPr>
              <a:pPr algn="ctr"/>
              <a:t>42</a:t>
            </a:fld>
            <a:endParaRPr lang="en-GB" sz="4000">
              <a:solidFill>
                <a:schemeClr val="bg1">
                  <a:lumMod val="65000"/>
                </a:schemeClr>
              </a:solidFill>
              <a:latin typeface="Ayuthaya" pitchFamily="2" charset="-34"/>
              <a:ea typeface="Ayuthaya" pitchFamily="2" charset="-34"/>
              <a:cs typeface="Ayuthaya" pitchFamily="2" charset="-34"/>
            </a:endParaRPr>
          </a:p>
        </xdr:txBody>
      </xdr:sp>
    </xdr:grpSp>
    <xdr:clientData/>
  </xdr:twoCellAnchor>
  <xdr:twoCellAnchor>
    <xdr:from>
      <xdr:col>11</xdr:col>
      <xdr:colOff>342900</xdr:colOff>
      <xdr:row>6</xdr:row>
      <xdr:rowOff>117908</xdr:rowOff>
    </xdr:from>
    <xdr:to>
      <xdr:col>13</xdr:col>
      <xdr:colOff>495300</xdr:colOff>
      <xdr:row>13</xdr:row>
      <xdr:rowOff>0</xdr:rowOff>
    </xdr:to>
    <xdr:grpSp>
      <xdr:nvGrpSpPr>
        <xdr:cNvPr id="17" name="Group 16">
          <a:extLst>
            <a:ext uri="{FF2B5EF4-FFF2-40B4-BE49-F238E27FC236}">
              <a16:creationId xmlns:a16="http://schemas.microsoft.com/office/drawing/2014/main" id="{49108C83-9317-5F48-8C92-2877D095B9BF}"/>
            </a:ext>
          </a:extLst>
        </xdr:cNvPr>
        <xdr:cNvGrpSpPr/>
      </xdr:nvGrpSpPr>
      <xdr:grpSpPr>
        <a:xfrm>
          <a:off x="9423400" y="1337108"/>
          <a:ext cx="1803400" cy="1304492"/>
          <a:chOff x="3090333" y="1345596"/>
          <a:chExt cx="2635250" cy="1239762"/>
        </a:xfrm>
      </xdr:grpSpPr>
      <xdr:sp macro="" textlink="">
        <xdr:nvSpPr>
          <xdr:cNvPr id="18" name="Rounded Rectangle 17">
            <a:extLst>
              <a:ext uri="{FF2B5EF4-FFF2-40B4-BE49-F238E27FC236}">
                <a16:creationId xmlns:a16="http://schemas.microsoft.com/office/drawing/2014/main" id="{875B0927-B76C-2B32-2AD3-8A70C37E5C7F}"/>
              </a:ext>
            </a:extLst>
          </xdr:cNvPr>
          <xdr:cNvSpPr/>
        </xdr:nvSpPr>
        <xdr:spPr>
          <a:xfrm>
            <a:off x="3090333" y="1345596"/>
            <a:ext cx="2635250" cy="123976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800">
                <a:solidFill>
                  <a:schemeClr val="tx1"/>
                </a:solidFill>
                <a:latin typeface="American Typewriter" panose="02090604020004020304" pitchFamily="18" charset="77"/>
              </a:rPr>
              <a:t>Min Age</a:t>
            </a:r>
          </a:p>
        </xdr:txBody>
      </xdr:sp>
      <xdr:sp macro="" textlink="'Pivot Tables'!G44">
        <xdr:nvSpPr>
          <xdr:cNvPr id="19" name="TextBox 18">
            <a:extLst>
              <a:ext uri="{FF2B5EF4-FFF2-40B4-BE49-F238E27FC236}">
                <a16:creationId xmlns:a16="http://schemas.microsoft.com/office/drawing/2014/main" id="{2AC85F8E-529E-27BC-AC0B-1C007B157460}"/>
              </a:ext>
            </a:extLst>
          </xdr:cNvPr>
          <xdr:cNvSpPr txBox="1"/>
        </xdr:nvSpPr>
        <xdr:spPr>
          <a:xfrm>
            <a:off x="3795541" y="1704261"/>
            <a:ext cx="1206276" cy="808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B809696-0AE0-A14C-8BF2-7D81739D4104}" type="TxLink">
              <a:rPr lang="en-US" sz="4000" b="0" i="0" u="none" strike="noStrike">
                <a:solidFill>
                  <a:schemeClr val="bg1">
                    <a:lumMod val="65000"/>
                  </a:schemeClr>
                </a:solidFill>
                <a:latin typeface="Aptos Narrow"/>
                <a:ea typeface="Ayuthaya" pitchFamily="2" charset="-34"/>
                <a:cs typeface="Ayuthaya" pitchFamily="2" charset="-34"/>
              </a:rPr>
              <a:pPr algn="ctr"/>
              <a:t>20</a:t>
            </a:fld>
            <a:endParaRPr lang="en-GB" sz="34400">
              <a:solidFill>
                <a:schemeClr val="bg1">
                  <a:lumMod val="65000"/>
                </a:schemeClr>
              </a:solidFill>
              <a:latin typeface="Ayuthaya" pitchFamily="2" charset="-34"/>
              <a:ea typeface="Ayuthaya" pitchFamily="2" charset="-34"/>
              <a:cs typeface="Ayuthaya" pitchFamily="2" charset="-34"/>
            </a:endParaRPr>
          </a:p>
        </xdr:txBody>
      </xdr:sp>
    </xdr:grpSp>
    <xdr:clientData/>
  </xdr:twoCellAnchor>
  <xdr:twoCellAnchor>
    <xdr:from>
      <xdr:col>9</xdr:col>
      <xdr:colOff>393239</xdr:colOff>
      <xdr:row>14</xdr:row>
      <xdr:rowOff>0</xdr:rowOff>
    </xdr:from>
    <xdr:to>
      <xdr:col>15</xdr:col>
      <xdr:colOff>139700</xdr:colOff>
      <xdr:row>25</xdr:row>
      <xdr:rowOff>181273</xdr:rowOff>
    </xdr:to>
    <xdr:grpSp>
      <xdr:nvGrpSpPr>
        <xdr:cNvPr id="23" name="Group 22">
          <a:extLst>
            <a:ext uri="{FF2B5EF4-FFF2-40B4-BE49-F238E27FC236}">
              <a16:creationId xmlns:a16="http://schemas.microsoft.com/office/drawing/2014/main" id="{06D1B5AF-0ACF-4944-85C6-71EA610F998B}"/>
            </a:ext>
          </a:extLst>
        </xdr:cNvPr>
        <xdr:cNvGrpSpPr/>
      </xdr:nvGrpSpPr>
      <xdr:grpSpPr>
        <a:xfrm>
          <a:off x="7822739" y="2844800"/>
          <a:ext cx="4699461" cy="2416473"/>
          <a:chOff x="7441739" y="2955627"/>
          <a:chExt cx="4939236" cy="2639992"/>
        </a:xfrm>
      </xdr:grpSpPr>
      <xdr:sp macro="" textlink="">
        <xdr:nvSpPr>
          <xdr:cNvPr id="26" name="Rounded Rectangle 25">
            <a:extLst>
              <a:ext uri="{FF2B5EF4-FFF2-40B4-BE49-F238E27FC236}">
                <a16:creationId xmlns:a16="http://schemas.microsoft.com/office/drawing/2014/main" id="{162587FA-1664-2265-4DB5-6079F06B691C}"/>
              </a:ext>
            </a:extLst>
          </xdr:cNvPr>
          <xdr:cNvSpPr/>
        </xdr:nvSpPr>
        <xdr:spPr>
          <a:xfrm>
            <a:off x="7441739" y="2955627"/>
            <a:ext cx="4939236" cy="263999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solidFill>
                  <a:schemeClr val="tx1"/>
                </a:solidFill>
                <a:latin typeface="American Typewriter" panose="02090604020004020304" pitchFamily="18" charset="77"/>
              </a:rPr>
              <a:t>Client Age</a:t>
            </a:r>
            <a:r>
              <a:rPr lang="en-GB" sz="2400" baseline="0">
                <a:solidFill>
                  <a:schemeClr val="tx1"/>
                </a:solidFill>
                <a:latin typeface="American Typewriter" panose="02090604020004020304" pitchFamily="18" charset="77"/>
              </a:rPr>
              <a:t> Distribution</a:t>
            </a:r>
            <a:endParaRPr lang="en-GB" sz="2400">
              <a:solidFill>
                <a:schemeClr val="tx1"/>
              </a:solidFill>
              <a:latin typeface="American Typewriter" panose="02090604020004020304" pitchFamily="18" charset="77"/>
            </a:endParaRPr>
          </a:p>
        </xdr:txBody>
      </xdr:sp>
      <xdr:graphicFrame macro="">
        <xdr:nvGraphicFramePr>
          <xdr:cNvPr id="25" name="Chart 24">
            <a:extLst>
              <a:ext uri="{FF2B5EF4-FFF2-40B4-BE49-F238E27FC236}">
                <a16:creationId xmlns:a16="http://schemas.microsoft.com/office/drawing/2014/main" id="{0F738DC0-E229-FC92-A377-E9FB1B64738A}"/>
              </a:ext>
            </a:extLst>
          </xdr:cNvPr>
          <xdr:cNvGraphicFramePr>
            <a:graphicFrameLocks/>
          </xdr:cNvGraphicFramePr>
        </xdr:nvGraphicFramePr>
        <xdr:xfrm>
          <a:off x="8067308" y="3558633"/>
          <a:ext cx="3611411" cy="1946744"/>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3</xdr:col>
      <xdr:colOff>190500</xdr:colOff>
      <xdr:row>26</xdr:row>
      <xdr:rowOff>101600</xdr:rowOff>
    </xdr:from>
    <xdr:to>
      <xdr:col>12</xdr:col>
      <xdr:colOff>215900</xdr:colOff>
      <xdr:row>40</xdr:row>
      <xdr:rowOff>114300</xdr:rowOff>
    </xdr:to>
    <xdr:sp macro="" textlink="">
      <xdr:nvSpPr>
        <xdr:cNvPr id="39" name="Rounded Rectangle 38">
          <a:extLst>
            <a:ext uri="{FF2B5EF4-FFF2-40B4-BE49-F238E27FC236}">
              <a16:creationId xmlns:a16="http://schemas.microsoft.com/office/drawing/2014/main" id="{6C04E81C-6265-0E4A-B70F-E97CADAF5729}"/>
            </a:ext>
          </a:extLst>
        </xdr:cNvPr>
        <xdr:cNvSpPr/>
      </xdr:nvSpPr>
      <xdr:spPr>
        <a:xfrm>
          <a:off x="2667000" y="5384800"/>
          <a:ext cx="7454900" cy="28575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800">
              <a:solidFill>
                <a:schemeClr val="tx1"/>
              </a:solidFill>
              <a:latin typeface="American Typewriter" panose="02090604020004020304" pitchFamily="18" charset="77"/>
            </a:rPr>
            <a:t>Average</a:t>
          </a:r>
          <a:r>
            <a:rPr lang="en-GB" sz="2800" baseline="0">
              <a:solidFill>
                <a:schemeClr val="tx1"/>
              </a:solidFill>
              <a:latin typeface="American Typewriter" panose="02090604020004020304" pitchFamily="18" charset="77"/>
            </a:rPr>
            <a:t> age per referral month</a:t>
          </a:r>
          <a:endParaRPr lang="en-GB" sz="2800">
            <a:solidFill>
              <a:schemeClr val="tx1"/>
            </a:solidFill>
            <a:latin typeface="American Typewriter" panose="02090604020004020304" pitchFamily="18" charset="77"/>
          </a:endParaRPr>
        </a:p>
      </xdr:txBody>
    </xdr:sp>
    <xdr:clientData/>
  </xdr:twoCellAnchor>
  <xdr:twoCellAnchor>
    <xdr:from>
      <xdr:col>15</xdr:col>
      <xdr:colOff>635002</xdr:colOff>
      <xdr:row>13</xdr:row>
      <xdr:rowOff>139700</xdr:rowOff>
    </xdr:from>
    <xdr:to>
      <xdr:col>18</xdr:col>
      <xdr:colOff>0</xdr:colOff>
      <xdr:row>26</xdr:row>
      <xdr:rowOff>0</xdr:rowOff>
    </xdr:to>
    <xdr:grpSp>
      <xdr:nvGrpSpPr>
        <xdr:cNvPr id="40" name="Group 39">
          <a:extLst>
            <a:ext uri="{FF2B5EF4-FFF2-40B4-BE49-F238E27FC236}">
              <a16:creationId xmlns:a16="http://schemas.microsoft.com/office/drawing/2014/main" id="{EEF24E4C-FFEA-B345-938D-30323D5AF07F}"/>
            </a:ext>
          </a:extLst>
        </xdr:cNvPr>
        <xdr:cNvGrpSpPr/>
      </xdr:nvGrpSpPr>
      <xdr:grpSpPr>
        <a:xfrm>
          <a:off x="13017502" y="2781300"/>
          <a:ext cx="1841498" cy="2501900"/>
          <a:chOff x="2930298" y="1358182"/>
          <a:chExt cx="1547007" cy="1239762"/>
        </a:xfrm>
        <a:solidFill>
          <a:schemeClr val="accent1">
            <a:lumMod val="40000"/>
            <a:lumOff val="60000"/>
          </a:schemeClr>
        </a:solidFill>
      </xdr:grpSpPr>
      <xdr:sp macro="" textlink="">
        <xdr:nvSpPr>
          <xdr:cNvPr id="41" name="Rounded Rectangle 40">
            <a:extLst>
              <a:ext uri="{FF2B5EF4-FFF2-40B4-BE49-F238E27FC236}">
                <a16:creationId xmlns:a16="http://schemas.microsoft.com/office/drawing/2014/main" id="{8556B4D9-AFCC-5E10-5532-BD57DBE814AF}"/>
              </a:ext>
            </a:extLst>
          </xdr:cNvPr>
          <xdr:cNvSpPr/>
        </xdr:nvSpPr>
        <xdr:spPr>
          <a:xfrm>
            <a:off x="2930298" y="1358182"/>
            <a:ext cx="1547007" cy="1239762"/>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solidFill>
                  <a:schemeClr val="bg1"/>
                </a:solidFill>
                <a:latin typeface="American Typewriter" panose="02090604020004020304" pitchFamily="18" charset="77"/>
              </a:rPr>
              <a:t>Average</a:t>
            </a:r>
            <a:r>
              <a:rPr lang="en-GB" sz="2000" baseline="0">
                <a:solidFill>
                  <a:schemeClr val="bg1"/>
                </a:solidFill>
                <a:latin typeface="American Typewriter" panose="02090604020004020304" pitchFamily="18" charset="77"/>
              </a:rPr>
              <a:t> male age</a:t>
            </a:r>
            <a:endParaRPr lang="en-GB" sz="2000">
              <a:solidFill>
                <a:schemeClr val="bg1"/>
              </a:solidFill>
              <a:latin typeface="American Typewriter" panose="02090604020004020304" pitchFamily="18" charset="77"/>
            </a:endParaRPr>
          </a:p>
        </xdr:txBody>
      </xdr:sp>
      <xdr:sp macro="" textlink="'Pivot Tables'!G36">
        <xdr:nvSpPr>
          <xdr:cNvPr id="42" name="TextBox 41">
            <a:extLst>
              <a:ext uri="{FF2B5EF4-FFF2-40B4-BE49-F238E27FC236}">
                <a16:creationId xmlns:a16="http://schemas.microsoft.com/office/drawing/2014/main" id="{01A85476-B394-72EA-C059-BD618238594F}"/>
              </a:ext>
            </a:extLst>
          </xdr:cNvPr>
          <xdr:cNvSpPr txBox="1"/>
        </xdr:nvSpPr>
        <xdr:spPr>
          <a:xfrm>
            <a:off x="3090332" y="1817587"/>
            <a:ext cx="626647" cy="37759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FA1CB0A-18DA-064E-97C5-CEA53739062A}" type="TxLink">
              <a:rPr lang="en-US" sz="4000" b="0" i="0" u="none" strike="noStrike">
                <a:solidFill>
                  <a:schemeClr val="bg1"/>
                </a:solidFill>
                <a:latin typeface="Aptos Narrow"/>
                <a:ea typeface="Ayuthaya" pitchFamily="2" charset="-34"/>
                <a:cs typeface="Ayuthaya" pitchFamily="2" charset="-34"/>
              </a:rPr>
              <a:pPr/>
              <a:t>43 </a:t>
            </a:fld>
            <a:endParaRPr lang="en-GB" sz="19900">
              <a:solidFill>
                <a:schemeClr val="bg1"/>
              </a:solidFill>
              <a:latin typeface="Ayuthaya" pitchFamily="2" charset="-34"/>
              <a:ea typeface="Ayuthaya" pitchFamily="2" charset="-34"/>
              <a:cs typeface="Ayuthaya" pitchFamily="2" charset="-34"/>
            </a:endParaRPr>
          </a:p>
        </xdr:txBody>
      </xdr:sp>
    </xdr:grpSp>
    <xdr:clientData/>
  </xdr:twoCellAnchor>
  <xdr:twoCellAnchor editAs="oneCell">
    <xdr:from>
      <xdr:col>0</xdr:col>
      <xdr:colOff>0</xdr:colOff>
      <xdr:row>6</xdr:row>
      <xdr:rowOff>1</xdr:rowOff>
    </xdr:from>
    <xdr:to>
      <xdr:col>3</xdr:col>
      <xdr:colOff>0</xdr:colOff>
      <xdr:row>12</xdr:row>
      <xdr:rowOff>0</xdr:rowOff>
    </xdr:to>
    <mc:AlternateContent xmlns:mc="http://schemas.openxmlformats.org/markup-compatibility/2006" xmlns:a14="http://schemas.microsoft.com/office/drawing/2010/main">
      <mc:Choice Requires="a14">
        <xdr:graphicFrame macro="">
          <xdr:nvGraphicFramePr>
            <xdr:cNvPr id="49" name="Gender 2">
              <a:extLst>
                <a:ext uri="{FF2B5EF4-FFF2-40B4-BE49-F238E27FC236}">
                  <a16:creationId xmlns:a16="http://schemas.microsoft.com/office/drawing/2014/main" id="{72D2B0BB-717C-C444-977F-2BD07E36EC35}"/>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0" y="1219201"/>
              <a:ext cx="2476500" cy="1219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406400</xdr:colOff>
      <xdr:row>26</xdr:row>
      <xdr:rowOff>101600</xdr:rowOff>
    </xdr:from>
    <xdr:to>
      <xdr:col>21</xdr:col>
      <xdr:colOff>431800</xdr:colOff>
      <xdr:row>40</xdr:row>
      <xdr:rowOff>114300</xdr:rowOff>
    </xdr:to>
    <xdr:sp macro="" textlink="">
      <xdr:nvSpPr>
        <xdr:cNvPr id="50" name="Rounded Rectangle 49">
          <a:extLst>
            <a:ext uri="{FF2B5EF4-FFF2-40B4-BE49-F238E27FC236}">
              <a16:creationId xmlns:a16="http://schemas.microsoft.com/office/drawing/2014/main" id="{F3CC7085-5CC4-1A4C-A6B4-61C5C0C2F74F}"/>
            </a:ext>
          </a:extLst>
        </xdr:cNvPr>
        <xdr:cNvSpPr/>
      </xdr:nvSpPr>
      <xdr:spPr>
        <a:xfrm>
          <a:off x="10312400" y="5384800"/>
          <a:ext cx="7454900" cy="28575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2800">
              <a:solidFill>
                <a:schemeClr val="tx1"/>
              </a:solidFill>
              <a:latin typeface="American Typewriter" panose="02090604020004020304" pitchFamily="18" charset="77"/>
            </a:rPr>
            <a:t>Average</a:t>
          </a:r>
          <a:r>
            <a:rPr lang="en-GB" sz="2800" baseline="0">
              <a:solidFill>
                <a:schemeClr val="tx1"/>
              </a:solidFill>
              <a:latin typeface="American Typewriter" panose="02090604020004020304" pitchFamily="18" charset="77"/>
            </a:rPr>
            <a:t> age per Status</a:t>
          </a:r>
          <a:endParaRPr lang="en-GB" sz="2800">
            <a:solidFill>
              <a:schemeClr val="tx1"/>
            </a:solidFill>
            <a:latin typeface="American Typewriter" panose="02090604020004020304" pitchFamily="18" charset="77"/>
          </a:endParaRPr>
        </a:p>
        <a:p>
          <a:pPr algn="ctr"/>
          <a:endParaRPr lang="en-GB" sz="2800">
            <a:solidFill>
              <a:schemeClr val="tx1"/>
            </a:solidFill>
            <a:latin typeface="American Typewriter" panose="02090604020004020304" pitchFamily="18" charset="77"/>
          </a:endParaRPr>
        </a:p>
      </xdr:txBody>
    </xdr:sp>
    <xdr:clientData/>
  </xdr:twoCellAnchor>
  <xdr:twoCellAnchor editAs="oneCell">
    <xdr:from>
      <xdr:col>0</xdr:col>
      <xdr:colOff>0</xdr:colOff>
      <xdr:row>12</xdr:row>
      <xdr:rowOff>48846</xdr:rowOff>
    </xdr:from>
    <xdr:to>
      <xdr:col>3</xdr:col>
      <xdr:colOff>0</xdr:colOff>
      <xdr:row>22</xdr:row>
      <xdr:rowOff>108297</xdr:rowOff>
    </xdr:to>
    <mc:AlternateContent xmlns:mc="http://schemas.openxmlformats.org/markup-compatibility/2006" xmlns:a14="http://schemas.microsoft.com/office/drawing/2010/main">
      <mc:Choice Requires="a14">
        <xdr:graphicFrame macro="">
          <xdr:nvGraphicFramePr>
            <xdr:cNvPr id="52" name="Referring Organisation 2">
              <a:extLst>
                <a:ext uri="{FF2B5EF4-FFF2-40B4-BE49-F238E27FC236}">
                  <a16:creationId xmlns:a16="http://schemas.microsoft.com/office/drawing/2014/main" id="{37BD5358-114F-6842-A5CA-2D5D8CE0C290}"/>
                </a:ext>
              </a:extLst>
            </xdr:cNvPr>
            <xdr:cNvGraphicFramePr/>
          </xdr:nvGraphicFramePr>
          <xdr:xfrm>
            <a:off x="0" y="0"/>
            <a:ext cx="0" cy="0"/>
          </xdr:xfrm>
          <a:graphic>
            <a:graphicData uri="http://schemas.microsoft.com/office/drawing/2010/slicer">
              <sle:slicer xmlns:sle="http://schemas.microsoft.com/office/drawing/2010/slicer" name="Referring Organisation 2"/>
            </a:graphicData>
          </a:graphic>
        </xdr:graphicFrame>
      </mc:Choice>
      <mc:Fallback xmlns="">
        <xdr:sp macro="" textlink="">
          <xdr:nvSpPr>
            <xdr:cNvPr id="0" name=""/>
            <xdr:cNvSpPr>
              <a:spLocks noTextEdit="1"/>
            </xdr:cNvSpPr>
          </xdr:nvSpPr>
          <xdr:spPr>
            <a:xfrm>
              <a:off x="0" y="2487246"/>
              <a:ext cx="2476500" cy="20914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0</xdr:rowOff>
    </xdr:from>
    <xdr:to>
      <xdr:col>3</xdr:col>
      <xdr:colOff>0</xdr:colOff>
      <xdr:row>43</xdr:row>
      <xdr:rowOff>15872</xdr:rowOff>
    </xdr:to>
    <mc:AlternateContent xmlns:mc="http://schemas.openxmlformats.org/markup-compatibility/2006" xmlns:a14="http://schemas.microsoft.com/office/drawing/2010/main">
      <mc:Choice Requires="a14">
        <xdr:graphicFrame macro="">
          <xdr:nvGraphicFramePr>
            <xdr:cNvPr id="53" name="Months (Date Referred) 2">
              <a:extLst>
                <a:ext uri="{FF2B5EF4-FFF2-40B4-BE49-F238E27FC236}">
                  <a16:creationId xmlns:a16="http://schemas.microsoft.com/office/drawing/2014/main" id="{0394937C-8CAA-B64F-BCD5-CE79BEF3D6E2}"/>
                </a:ext>
              </a:extLst>
            </xdr:cNvPr>
            <xdr:cNvGraphicFramePr/>
          </xdr:nvGraphicFramePr>
          <xdr:xfrm>
            <a:off x="0" y="0"/>
            <a:ext cx="0" cy="0"/>
          </xdr:xfrm>
          <a:graphic>
            <a:graphicData uri="http://schemas.microsoft.com/office/drawing/2010/slicer">
              <sle:slicer xmlns:sle="http://schemas.microsoft.com/office/drawing/2010/slicer" name="Months (Date Referred) 2"/>
            </a:graphicData>
          </a:graphic>
        </xdr:graphicFrame>
      </mc:Choice>
      <mc:Fallback xmlns="">
        <xdr:sp macro="" textlink="">
          <xdr:nvSpPr>
            <xdr:cNvPr id="0" name=""/>
            <xdr:cNvSpPr>
              <a:spLocks noTextEdit="1"/>
            </xdr:cNvSpPr>
          </xdr:nvSpPr>
          <xdr:spPr>
            <a:xfrm>
              <a:off x="0" y="4470400"/>
              <a:ext cx="2476500" cy="42830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88900</xdr:colOff>
      <xdr:row>1</xdr:row>
      <xdr:rowOff>101600</xdr:rowOff>
    </xdr:from>
    <xdr:to>
      <xdr:col>6</xdr:col>
      <xdr:colOff>0</xdr:colOff>
      <xdr:row>4</xdr:row>
      <xdr:rowOff>0</xdr:rowOff>
    </xdr:to>
    <xdr:sp macro="" textlink="">
      <xdr:nvSpPr>
        <xdr:cNvPr id="54" name="Rectangle 53">
          <a:hlinkClick xmlns:r="http://schemas.openxmlformats.org/officeDocument/2006/relationships" r:id="rId2" tooltip="Main Dashboard"/>
          <a:extLst>
            <a:ext uri="{FF2B5EF4-FFF2-40B4-BE49-F238E27FC236}">
              <a16:creationId xmlns:a16="http://schemas.microsoft.com/office/drawing/2014/main" id="{74A6BEB6-D1C2-3846-A8B4-72C01706ECB6}"/>
            </a:ext>
          </a:extLst>
        </xdr:cNvPr>
        <xdr:cNvSpPr/>
      </xdr:nvSpPr>
      <xdr:spPr>
        <a:xfrm>
          <a:off x="3390900" y="304800"/>
          <a:ext cx="1562100" cy="508000"/>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solidFill>
                <a:schemeClr val="bg1"/>
              </a:solidFill>
              <a:latin typeface="American Typewriter" panose="02090604020004020304" pitchFamily="18" charset="77"/>
            </a:rPr>
            <a:t>Home</a:t>
          </a:r>
          <a:endParaRPr lang="en-GB" sz="2800">
            <a:solidFill>
              <a:schemeClr val="bg1"/>
            </a:solidFill>
            <a:latin typeface="American Typewriter" panose="02090604020004020304" pitchFamily="18" charset="77"/>
          </a:endParaRPr>
        </a:p>
      </xdr:txBody>
    </xdr:sp>
    <xdr:clientData/>
  </xdr:twoCellAnchor>
  <xdr:twoCellAnchor>
    <xdr:from>
      <xdr:col>6</xdr:col>
      <xdr:colOff>431800</xdr:colOff>
      <xdr:row>1</xdr:row>
      <xdr:rowOff>101600</xdr:rowOff>
    </xdr:from>
    <xdr:to>
      <xdr:col>8</xdr:col>
      <xdr:colOff>431800</xdr:colOff>
      <xdr:row>4</xdr:row>
      <xdr:rowOff>0</xdr:rowOff>
    </xdr:to>
    <xdr:sp macro="" textlink="">
      <xdr:nvSpPr>
        <xdr:cNvPr id="55" name="Rectangle 54">
          <a:hlinkClick xmlns:r="http://schemas.openxmlformats.org/officeDocument/2006/relationships" r:id="rId3" tooltip="Age Dashboard"/>
          <a:extLst>
            <a:ext uri="{FF2B5EF4-FFF2-40B4-BE49-F238E27FC236}">
              <a16:creationId xmlns:a16="http://schemas.microsoft.com/office/drawing/2014/main" id="{FC6E1C7B-9E24-854C-8345-39B98E07278C}"/>
            </a:ext>
          </a:extLst>
        </xdr:cNvPr>
        <xdr:cNvSpPr/>
      </xdr:nvSpPr>
      <xdr:spPr>
        <a:xfrm>
          <a:off x="5384800" y="304800"/>
          <a:ext cx="1651000" cy="508000"/>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solidFill>
                <a:schemeClr val="bg1"/>
              </a:solidFill>
              <a:latin typeface="American Typewriter" panose="02090604020004020304" pitchFamily="18" charset="77"/>
            </a:rPr>
            <a:t>Age</a:t>
          </a:r>
          <a:endParaRPr lang="en-GB" sz="2800">
            <a:solidFill>
              <a:schemeClr val="bg1"/>
            </a:solidFill>
            <a:latin typeface="American Typewriter" panose="02090604020004020304" pitchFamily="18" charset="77"/>
          </a:endParaRPr>
        </a:p>
      </xdr:txBody>
    </xdr:sp>
    <xdr:clientData/>
  </xdr:twoCellAnchor>
  <xdr:twoCellAnchor>
    <xdr:from>
      <xdr:col>9</xdr:col>
      <xdr:colOff>266700</xdr:colOff>
      <xdr:row>1</xdr:row>
      <xdr:rowOff>101600</xdr:rowOff>
    </xdr:from>
    <xdr:to>
      <xdr:col>12</xdr:col>
      <xdr:colOff>0</xdr:colOff>
      <xdr:row>4</xdr:row>
      <xdr:rowOff>0</xdr:rowOff>
    </xdr:to>
    <xdr:sp macro="" textlink="">
      <xdr:nvSpPr>
        <xdr:cNvPr id="56" name="Rectangle 55">
          <a:hlinkClick xmlns:r="http://schemas.openxmlformats.org/officeDocument/2006/relationships" r:id="rId4"/>
          <a:extLst>
            <a:ext uri="{FF2B5EF4-FFF2-40B4-BE49-F238E27FC236}">
              <a16:creationId xmlns:a16="http://schemas.microsoft.com/office/drawing/2014/main" id="{04A2E22A-FD08-D74A-9C7E-623FAC723AED}"/>
            </a:ext>
          </a:extLst>
        </xdr:cNvPr>
        <xdr:cNvSpPr/>
      </xdr:nvSpPr>
      <xdr:spPr>
        <a:xfrm>
          <a:off x="7696200" y="304800"/>
          <a:ext cx="2209800" cy="508000"/>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solidFill>
                <a:schemeClr val="bg1"/>
              </a:solidFill>
              <a:latin typeface="American Typewriter" panose="02090604020004020304" pitchFamily="18" charset="77"/>
            </a:rPr>
            <a:t>Demographic</a:t>
          </a:r>
          <a:endParaRPr lang="en-GB" sz="2800">
            <a:solidFill>
              <a:schemeClr val="bg1"/>
            </a:solidFill>
            <a:latin typeface="American Typewriter" panose="02090604020004020304" pitchFamily="18" charset="77"/>
          </a:endParaRPr>
        </a:p>
      </xdr:txBody>
    </xdr:sp>
    <xdr:clientData/>
  </xdr:twoCellAnchor>
  <xdr:twoCellAnchor>
    <xdr:from>
      <xdr:col>12</xdr:col>
      <xdr:colOff>609600</xdr:colOff>
      <xdr:row>1</xdr:row>
      <xdr:rowOff>101600</xdr:rowOff>
    </xdr:from>
    <xdr:to>
      <xdr:col>15</xdr:col>
      <xdr:colOff>342900</xdr:colOff>
      <xdr:row>4</xdr:row>
      <xdr:rowOff>0</xdr:rowOff>
    </xdr:to>
    <xdr:sp macro="" textlink="">
      <xdr:nvSpPr>
        <xdr:cNvPr id="57" name="Rectangle 56">
          <a:hlinkClick xmlns:r="http://schemas.openxmlformats.org/officeDocument/2006/relationships" r:id="rId5"/>
          <a:extLst>
            <a:ext uri="{FF2B5EF4-FFF2-40B4-BE49-F238E27FC236}">
              <a16:creationId xmlns:a16="http://schemas.microsoft.com/office/drawing/2014/main" id="{8323D6A1-185D-C14D-BCCD-C755B4BB6A57}"/>
            </a:ext>
          </a:extLst>
        </xdr:cNvPr>
        <xdr:cNvSpPr/>
      </xdr:nvSpPr>
      <xdr:spPr>
        <a:xfrm>
          <a:off x="10515600" y="304800"/>
          <a:ext cx="2209800" cy="508000"/>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solidFill>
                <a:schemeClr val="bg1"/>
              </a:solidFill>
              <a:latin typeface="American Typewriter" panose="02090604020004020304" pitchFamily="18" charset="77"/>
            </a:rPr>
            <a:t>Counsellors</a:t>
          </a:r>
        </a:p>
      </xdr:txBody>
    </xdr:sp>
    <xdr:clientData/>
  </xdr:twoCellAnchor>
  <xdr:twoCellAnchor>
    <xdr:from>
      <xdr:col>0</xdr:col>
      <xdr:colOff>0</xdr:colOff>
      <xdr:row>0</xdr:row>
      <xdr:rowOff>174636</xdr:rowOff>
    </xdr:from>
    <xdr:to>
      <xdr:col>3</xdr:col>
      <xdr:colOff>674416</xdr:colOff>
      <xdr:row>5</xdr:row>
      <xdr:rowOff>0</xdr:rowOff>
    </xdr:to>
    <xdr:sp macro="" textlink="">
      <xdr:nvSpPr>
        <xdr:cNvPr id="58" name="TextBox 57">
          <a:extLst>
            <a:ext uri="{FF2B5EF4-FFF2-40B4-BE49-F238E27FC236}">
              <a16:creationId xmlns:a16="http://schemas.microsoft.com/office/drawing/2014/main" id="{52284322-0930-3A4E-A90F-ADBD2956A84F}"/>
            </a:ext>
          </a:extLst>
        </xdr:cNvPr>
        <xdr:cNvSpPr txBox="1"/>
      </xdr:nvSpPr>
      <xdr:spPr>
        <a:xfrm>
          <a:off x="0" y="174636"/>
          <a:ext cx="3150916" cy="841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2400" baseline="0">
              <a:latin typeface="American Typewriter" panose="02090604020004020304" pitchFamily="18" charset="77"/>
            </a:rPr>
            <a:t>Counselling Agency </a:t>
          </a:r>
          <a:r>
            <a:rPr lang="en-GB" sz="2400" baseline="0">
              <a:solidFill>
                <a:schemeClr val="accent1">
                  <a:lumMod val="60000"/>
                  <a:lumOff val="40000"/>
                </a:schemeClr>
              </a:solidFill>
              <a:latin typeface="American Typewriter" panose="02090604020004020304" pitchFamily="18" charset="77"/>
            </a:rPr>
            <a:t>Dashboard</a:t>
          </a:r>
          <a:endParaRPr lang="en-GB" sz="2000" baseline="0">
            <a:solidFill>
              <a:schemeClr val="accent1">
                <a:lumMod val="60000"/>
                <a:lumOff val="40000"/>
              </a:schemeClr>
            </a:solidFill>
            <a:latin typeface="American Typewriter" panose="02090604020004020304" pitchFamily="18" charset="77"/>
          </a:endParaRPr>
        </a:p>
      </xdr:txBody>
    </xdr:sp>
    <xdr:clientData/>
  </xdr:twoCellAnchor>
  <xdr:twoCellAnchor>
    <xdr:from>
      <xdr:col>14</xdr:col>
      <xdr:colOff>203200</xdr:colOff>
      <xdr:row>6</xdr:row>
      <xdr:rowOff>117908</xdr:rowOff>
    </xdr:from>
    <xdr:to>
      <xdr:col>17</xdr:col>
      <xdr:colOff>355600</xdr:colOff>
      <xdr:row>13</xdr:row>
      <xdr:rowOff>0</xdr:rowOff>
    </xdr:to>
    <xdr:sp macro="" textlink="">
      <xdr:nvSpPr>
        <xdr:cNvPr id="61" name="Rounded Rectangle 60">
          <a:extLst>
            <a:ext uri="{FF2B5EF4-FFF2-40B4-BE49-F238E27FC236}">
              <a16:creationId xmlns:a16="http://schemas.microsoft.com/office/drawing/2014/main" id="{D909F18D-B586-C642-9712-6EA0B4B2F6FA}"/>
            </a:ext>
          </a:extLst>
        </xdr:cNvPr>
        <xdr:cNvSpPr/>
      </xdr:nvSpPr>
      <xdr:spPr>
        <a:xfrm>
          <a:off x="11760200" y="1337108"/>
          <a:ext cx="2628900" cy="130449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800">
              <a:solidFill>
                <a:schemeClr val="tx1"/>
              </a:solidFill>
              <a:latin typeface="American Typewriter" panose="02090604020004020304" pitchFamily="18" charset="77"/>
            </a:rPr>
            <a:t>Max Age</a:t>
          </a:r>
        </a:p>
      </xdr:txBody>
    </xdr:sp>
    <xdr:clientData/>
  </xdr:twoCellAnchor>
  <xdr:twoCellAnchor>
    <xdr:from>
      <xdr:col>8</xdr:col>
      <xdr:colOff>76200</xdr:colOff>
      <xdr:row>6</xdr:row>
      <xdr:rowOff>117908</xdr:rowOff>
    </xdr:from>
    <xdr:to>
      <xdr:col>10</xdr:col>
      <xdr:colOff>228600</xdr:colOff>
      <xdr:row>13</xdr:row>
      <xdr:rowOff>0</xdr:rowOff>
    </xdr:to>
    <xdr:grpSp>
      <xdr:nvGrpSpPr>
        <xdr:cNvPr id="62" name="Group 61">
          <a:extLst>
            <a:ext uri="{FF2B5EF4-FFF2-40B4-BE49-F238E27FC236}">
              <a16:creationId xmlns:a16="http://schemas.microsoft.com/office/drawing/2014/main" id="{F17C4786-E61D-4E4C-9918-47451FE423A5}"/>
            </a:ext>
          </a:extLst>
        </xdr:cNvPr>
        <xdr:cNvGrpSpPr/>
      </xdr:nvGrpSpPr>
      <xdr:grpSpPr>
        <a:xfrm>
          <a:off x="6680200" y="1337108"/>
          <a:ext cx="1803400" cy="1304492"/>
          <a:chOff x="3090333" y="1345596"/>
          <a:chExt cx="2635250" cy="1239762"/>
        </a:xfrm>
      </xdr:grpSpPr>
      <xdr:sp macro="" textlink="">
        <xdr:nvSpPr>
          <xdr:cNvPr id="63" name="Rounded Rectangle 62">
            <a:extLst>
              <a:ext uri="{FF2B5EF4-FFF2-40B4-BE49-F238E27FC236}">
                <a16:creationId xmlns:a16="http://schemas.microsoft.com/office/drawing/2014/main" id="{4F7A215D-18D9-6BAF-648A-C3EB0D040EAC}"/>
              </a:ext>
            </a:extLst>
          </xdr:cNvPr>
          <xdr:cNvSpPr/>
        </xdr:nvSpPr>
        <xdr:spPr>
          <a:xfrm>
            <a:off x="3090333" y="1345596"/>
            <a:ext cx="2635250" cy="123976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800">
                <a:solidFill>
                  <a:schemeClr val="tx1"/>
                </a:solidFill>
                <a:latin typeface="American Typewriter" panose="02090604020004020304" pitchFamily="18" charset="77"/>
              </a:rPr>
              <a:t>Avg Age</a:t>
            </a:r>
          </a:p>
        </xdr:txBody>
      </xdr:sp>
      <xdr:sp macro="" textlink="'Pivot Tables'!E44">
        <xdr:nvSpPr>
          <xdr:cNvPr id="64" name="TextBox 63">
            <a:extLst>
              <a:ext uri="{FF2B5EF4-FFF2-40B4-BE49-F238E27FC236}">
                <a16:creationId xmlns:a16="http://schemas.microsoft.com/office/drawing/2014/main" id="{90A9D1AD-9A4F-3B70-343C-C0D8A411DA60}"/>
              </a:ext>
            </a:extLst>
          </xdr:cNvPr>
          <xdr:cNvSpPr txBox="1"/>
        </xdr:nvSpPr>
        <xdr:spPr>
          <a:xfrm>
            <a:off x="3721308" y="1695622"/>
            <a:ext cx="1299067" cy="696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276FF21-F2DF-1D46-9F8A-83BFF1771A9B}" type="TxLink">
              <a:rPr lang="en-US" sz="4000" b="0" i="0" u="none" strike="noStrike">
                <a:solidFill>
                  <a:schemeClr val="bg1">
                    <a:lumMod val="65000"/>
                  </a:schemeClr>
                </a:solidFill>
                <a:latin typeface="Aptos Narrow"/>
                <a:ea typeface="Ayuthaya" pitchFamily="2" charset="-34"/>
                <a:cs typeface="Ayuthaya" pitchFamily="2" charset="-34"/>
              </a:rPr>
              <a:pPr/>
              <a:t> 43 </a:t>
            </a:fld>
            <a:endParaRPr lang="en-GB" sz="34400">
              <a:solidFill>
                <a:schemeClr val="bg1">
                  <a:lumMod val="65000"/>
                </a:schemeClr>
              </a:solidFill>
              <a:latin typeface="Ayuthaya" pitchFamily="2" charset="-34"/>
              <a:ea typeface="Ayuthaya" pitchFamily="2" charset="-34"/>
              <a:cs typeface="Ayuthaya" pitchFamily="2" charset="-34"/>
            </a:endParaRPr>
          </a:p>
        </xdr:txBody>
      </xdr:sp>
    </xdr:grpSp>
    <xdr:clientData/>
  </xdr:twoCellAnchor>
  <xdr:twoCellAnchor>
    <xdr:from>
      <xdr:col>3</xdr:col>
      <xdr:colOff>253539</xdr:colOff>
      <xdr:row>14</xdr:row>
      <xdr:rowOff>0</xdr:rowOff>
    </xdr:from>
    <xdr:to>
      <xdr:col>9</xdr:col>
      <xdr:colOff>0</xdr:colOff>
      <xdr:row>25</xdr:row>
      <xdr:rowOff>181273</xdr:rowOff>
    </xdr:to>
    <xdr:sp macro="" textlink="">
      <xdr:nvSpPr>
        <xdr:cNvPr id="68" name="Rounded Rectangle 67">
          <a:extLst>
            <a:ext uri="{FF2B5EF4-FFF2-40B4-BE49-F238E27FC236}">
              <a16:creationId xmlns:a16="http://schemas.microsoft.com/office/drawing/2014/main" id="{9F991A21-0265-23BE-05AA-36D6CA247E02}"/>
            </a:ext>
          </a:extLst>
        </xdr:cNvPr>
        <xdr:cNvSpPr/>
      </xdr:nvSpPr>
      <xdr:spPr>
        <a:xfrm>
          <a:off x="2730039" y="2844800"/>
          <a:ext cx="4699461" cy="241647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solidFill>
                <a:schemeClr val="tx1"/>
              </a:solidFill>
              <a:latin typeface="American Typewriter" panose="02090604020004020304" pitchFamily="18" charset="77"/>
            </a:rPr>
            <a:t>Age Group Distibution</a:t>
          </a:r>
        </a:p>
      </xdr:txBody>
    </xdr:sp>
    <xdr:clientData/>
  </xdr:twoCellAnchor>
  <xdr:twoCellAnchor editAs="oneCell">
    <xdr:from>
      <xdr:col>19</xdr:col>
      <xdr:colOff>342900</xdr:colOff>
      <xdr:row>17</xdr:row>
      <xdr:rowOff>0</xdr:rowOff>
    </xdr:from>
    <xdr:to>
      <xdr:col>21</xdr:col>
      <xdr:colOff>342900</xdr:colOff>
      <xdr:row>26</xdr:row>
      <xdr:rowOff>0</xdr:rowOff>
    </xdr:to>
    <xdr:pic>
      <xdr:nvPicPr>
        <xdr:cNvPr id="72" name="Graphic 71" descr="Woman with solid fill">
          <a:extLst>
            <a:ext uri="{FF2B5EF4-FFF2-40B4-BE49-F238E27FC236}">
              <a16:creationId xmlns:a16="http://schemas.microsoft.com/office/drawing/2014/main" id="{8689AB5D-FA89-9EE8-40B8-A596AA08949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6027400" y="3454400"/>
          <a:ext cx="1651000" cy="1828800"/>
        </a:xfrm>
        <a:prstGeom prst="rect">
          <a:avLst/>
        </a:prstGeom>
      </xdr:spPr>
    </xdr:pic>
    <xdr:clientData/>
  </xdr:twoCellAnchor>
  <xdr:twoCellAnchor>
    <xdr:from>
      <xdr:col>3</xdr:col>
      <xdr:colOff>444500</xdr:colOff>
      <xdr:row>16</xdr:row>
      <xdr:rowOff>0</xdr:rowOff>
    </xdr:from>
    <xdr:to>
      <xdr:col>9</xdr:col>
      <xdr:colOff>0</xdr:colOff>
      <xdr:row>26</xdr:row>
      <xdr:rowOff>0</xdr:rowOff>
    </xdr:to>
    <xdr:graphicFrame macro="">
      <xdr:nvGraphicFramePr>
        <xdr:cNvPr id="70" name="Chart 69">
          <a:extLst>
            <a:ext uri="{FF2B5EF4-FFF2-40B4-BE49-F238E27FC236}">
              <a16:creationId xmlns:a16="http://schemas.microsoft.com/office/drawing/2014/main" id="{D2631BC1-3C6E-2B4E-80F8-1B794EBB0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16</xdr:col>
      <xdr:colOff>101600</xdr:colOff>
      <xdr:row>17</xdr:row>
      <xdr:rowOff>0</xdr:rowOff>
    </xdr:from>
    <xdr:to>
      <xdr:col>18</xdr:col>
      <xdr:colOff>279400</xdr:colOff>
      <xdr:row>26</xdr:row>
      <xdr:rowOff>0</xdr:rowOff>
    </xdr:to>
    <xdr:pic>
      <xdr:nvPicPr>
        <xdr:cNvPr id="74" name="Graphic 73" descr="Man with solid fill">
          <a:extLst>
            <a:ext uri="{FF2B5EF4-FFF2-40B4-BE49-F238E27FC236}">
              <a16:creationId xmlns:a16="http://schemas.microsoft.com/office/drawing/2014/main" id="{EAA4E3E7-5F65-7309-5180-77B9E067DFE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3309600" y="3454400"/>
          <a:ext cx="1828800" cy="1828800"/>
        </a:xfrm>
        <a:prstGeom prst="rect">
          <a:avLst/>
        </a:prstGeom>
      </xdr:spPr>
    </xdr:pic>
    <xdr:clientData/>
  </xdr:twoCellAnchor>
  <xdr:twoCellAnchor>
    <xdr:from>
      <xdr:col>15</xdr:col>
      <xdr:colOff>0</xdr:colOff>
      <xdr:row>9</xdr:row>
      <xdr:rowOff>79809</xdr:rowOff>
    </xdr:from>
    <xdr:to>
      <xdr:col>16</xdr:col>
      <xdr:colOff>622300</xdr:colOff>
      <xdr:row>12</xdr:row>
      <xdr:rowOff>0</xdr:rowOff>
    </xdr:to>
    <xdr:sp macro="" textlink="'Pivot Tables'!F44">
      <xdr:nvSpPr>
        <xdr:cNvPr id="75" name="TextBox 74">
          <a:extLst>
            <a:ext uri="{FF2B5EF4-FFF2-40B4-BE49-F238E27FC236}">
              <a16:creationId xmlns:a16="http://schemas.microsoft.com/office/drawing/2014/main" id="{FAA91ED7-9FB7-D046-B136-925A5B8063B2}"/>
            </a:ext>
          </a:extLst>
        </xdr:cNvPr>
        <xdr:cNvSpPr txBox="1"/>
      </xdr:nvSpPr>
      <xdr:spPr>
        <a:xfrm>
          <a:off x="12382500" y="1908609"/>
          <a:ext cx="1447800" cy="529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203A2B-FD91-E64E-8A91-3DBDD790E601}" type="TxLink">
            <a:rPr lang="en-US" sz="4000" b="0" i="0" u="none" strike="noStrike">
              <a:solidFill>
                <a:schemeClr val="bg1">
                  <a:lumMod val="65000"/>
                </a:schemeClr>
              </a:solidFill>
              <a:latin typeface="Aptos Narrow"/>
              <a:ea typeface="Ayuthaya" pitchFamily="2" charset="-34"/>
              <a:cs typeface="Ayuthaya" pitchFamily="2" charset="-34"/>
            </a:rPr>
            <a:pPr algn="ctr"/>
            <a:t>67</a:t>
          </a:fld>
          <a:endParaRPr lang="en-GB" sz="4000">
            <a:solidFill>
              <a:schemeClr val="bg1">
                <a:lumMod val="65000"/>
              </a:schemeClr>
            </a:solidFill>
            <a:latin typeface="Ayuthaya" pitchFamily="2" charset="-34"/>
            <a:ea typeface="Ayuthaya" pitchFamily="2" charset="-34"/>
            <a:cs typeface="Ayuthaya" pitchFamily="2" charset="-34"/>
          </a:endParaRPr>
        </a:p>
      </xdr:txBody>
    </xdr:sp>
    <xdr:clientData/>
  </xdr:twoCellAnchor>
  <xdr:twoCellAnchor>
    <xdr:from>
      <xdr:col>4</xdr:col>
      <xdr:colOff>0</xdr:colOff>
      <xdr:row>29</xdr:row>
      <xdr:rowOff>0</xdr:rowOff>
    </xdr:from>
    <xdr:to>
      <xdr:col>11</xdr:col>
      <xdr:colOff>0</xdr:colOff>
      <xdr:row>40</xdr:row>
      <xdr:rowOff>0</xdr:rowOff>
    </xdr:to>
    <xdr:graphicFrame macro="">
      <xdr:nvGraphicFramePr>
        <xdr:cNvPr id="76" name="Chart 75">
          <a:extLst>
            <a:ext uri="{FF2B5EF4-FFF2-40B4-BE49-F238E27FC236}">
              <a16:creationId xmlns:a16="http://schemas.microsoft.com/office/drawing/2014/main" id="{81A3F235-30CC-6C48-9AA5-2455F9D0E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1</xdr:colOff>
      <xdr:row>29</xdr:row>
      <xdr:rowOff>56790</xdr:rowOff>
    </xdr:from>
    <xdr:to>
      <xdr:col>21</xdr:col>
      <xdr:colOff>1</xdr:colOff>
      <xdr:row>40</xdr:row>
      <xdr:rowOff>0</xdr:rowOff>
    </xdr:to>
    <xdr:graphicFrame macro="">
      <xdr:nvGraphicFramePr>
        <xdr:cNvPr id="77" name="Chart 76">
          <a:extLst>
            <a:ext uri="{FF2B5EF4-FFF2-40B4-BE49-F238E27FC236}">
              <a16:creationId xmlns:a16="http://schemas.microsoft.com/office/drawing/2014/main" id="{0D5AF428-9A31-4F49-BF62-A58F56FB0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457200</xdr:colOff>
      <xdr:row>6</xdr:row>
      <xdr:rowOff>50800</xdr:rowOff>
    </xdr:from>
    <xdr:to>
      <xdr:col>21</xdr:col>
      <xdr:colOff>0</xdr:colOff>
      <xdr:row>21</xdr:row>
      <xdr:rowOff>0</xdr:rowOff>
    </xdr:to>
    <xdr:sp macro="" textlink="">
      <xdr:nvSpPr>
        <xdr:cNvPr id="65" name="Rounded Rectangle 64">
          <a:extLst>
            <a:ext uri="{FF2B5EF4-FFF2-40B4-BE49-F238E27FC236}">
              <a16:creationId xmlns:a16="http://schemas.microsoft.com/office/drawing/2014/main" id="{DB24D855-D2AA-FD4B-B3C6-8B5A8B0702A5}"/>
            </a:ext>
          </a:extLst>
        </xdr:cNvPr>
        <xdr:cNvSpPr/>
      </xdr:nvSpPr>
      <xdr:spPr>
        <a:xfrm>
          <a:off x="15316200" y="1270000"/>
          <a:ext cx="2019300" cy="2997200"/>
        </a:xfrm>
        <a:prstGeom prst="round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800">
              <a:solidFill>
                <a:schemeClr val="bg1"/>
              </a:solidFill>
              <a:latin typeface="American Typewriter" panose="02090604020004020304" pitchFamily="18" charset="77"/>
            </a:rPr>
            <a:t>White </a:t>
          </a:r>
          <a:r>
            <a:rPr lang="en-GB" sz="2800" baseline="0">
              <a:solidFill>
                <a:schemeClr val="bg1"/>
              </a:solidFill>
              <a:latin typeface="American Typewriter" panose="02090604020004020304" pitchFamily="18" charset="77"/>
            </a:rPr>
            <a:t>Clients</a:t>
          </a:r>
          <a:endParaRPr lang="en-GB" sz="2800">
            <a:solidFill>
              <a:schemeClr val="bg1"/>
            </a:solidFill>
            <a:latin typeface="American Typewriter" panose="02090604020004020304" pitchFamily="18" charset="77"/>
          </a:endParaRPr>
        </a:p>
      </xdr:txBody>
    </xdr:sp>
    <xdr:clientData/>
  </xdr:twoCellAnchor>
  <xdr:twoCellAnchor>
    <xdr:from>
      <xdr:col>16</xdr:col>
      <xdr:colOff>190500</xdr:colOff>
      <xdr:row>6</xdr:row>
      <xdr:rowOff>50800</xdr:rowOff>
    </xdr:from>
    <xdr:to>
      <xdr:col>18</xdr:col>
      <xdr:colOff>558800</xdr:colOff>
      <xdr:row>21</xdr:row>
      <xdr:rowOff>0</xdr:rowOff>
    </xdr:to>
    <xdr:sp macro="" textlink="">
      <xdr:nvSpPr>
        <xdr:cNvPr id="64" name="Rounded Rectangle 63">
          <a:extLst>
            <a:ext uri="{FF2B5EF4-FFF2-40B4-BE49-F238E27FC236}">
              <a16:creationId xmlns:a16="http://schemas.microsoft.com/office/drawing/2014/main" id="{08914476-33C8-3C4B-A3A4-7FE0AF130957}"/>
            </a:ext>
          </a:extLst>
        </xdr:cNvPr>
        <xdr:cNvSpPr/>
      </xdr:nvSpPr>
      <xdr:spPr>
        <a:xfrm>
          <a:off x="13398500" y="1270000"/>
          <a:ext cx="2019300" cy="2997200"/>
        </a:xfrm>
        <a:prstGeom prst="round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800">
              <a:solidFill>
                <a:schemeClr val="bg1"/>
              </a:solidFill>
              <a:latin typeface="American Typewriter" panose="02090604020004020304" pitchFamily="18" charset="77"/>
            </a:rPr>
            <a:t>BAME</a:t>
          </a:r>
          <a:r>
            <a:rPr lang="en-GB" sz="2800" baseline="0">
              <a:solidFill>
                <a:schemeClr val="bg1"/>
              </a:solidFill>
              <a:latin typeface="American Typewriter" panose="02090604020004020304" pitchFamily="18" charset="77"/>
            </a:rPr>
            <a:t> Clients</a:t>
          </a:r>
          <a:endParaRPr lang="en-GB" sz="2800">
            <a:solidFill>
              <a:schemeClr val="bg1"/>
            </a:solidFill>
            <a:latin typeface="American Typewriter" panose="02090604020004020304" pitchFamily="18" charset="77"/>
          </a:endParaRPr>
        </a:p>
      </xdr:txBody>
    </xdr:sp>
    <xdr:clientData/>
  </xdr:twoCellAnchor>
  <xdr:twoCellAnchor editAs="oneCell">
    <xdr:from>
      <xdr:col>17</xdr:col>
      <xdr:colOff>101600</xdr:colOff>
      <xdr:row>11</xdr:row>
      <xdr:rowOff>0</xdr:rowOff>
    </xdr:from>
    <xdr:to>
      <xdr:col>20</xdr:col>
      <xdr:colOff>190500</xdr:colOff>
      <xdr:row>23</xdr:row>
      <xdr:rowOff>127000</xdr:rowOff>
    </xdr:to>
    <xdr:pic>
      <xdr:nvPicPr>
        <xdr:cNvPr id="69" name="Graphic 68" descr="Group with solid fill">
          <a:extLst>
            <a:ext uri="{FF2B5EF4-FFF2-40B4-BE49-F238E27FC236}">
              <a16:creationId xmlns:a16="http://schemas.microsoft.com/office/drawing/2014/main" id="{C1965491-A852-563B-78E1-621FE2A3FC0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4135100" y="2235200"/>
          <a:ext cx="2565400" cy="2565400"/>
        </a:xfrm>
        <a:prstGeom prst="rect">
          <a:avLst/>
        </a:prstGeom>
      </xdr:spPr>
    </xdr:pic>
    <xdr:clientData/>
  </xdr:twoCellAnchor>
  <xdr:twoCellAnchor>
    <xdr:from>
      <xdr:col>0</xdr:col>
      <xdr:colOff>0</xdr:colOff>
      <xdr:row>0</xdr:row>
      <xdr:rowOff>0</xdr:rowOff>
    </xdr:from>
    <xdr:to>
      <xdr:col>60</xdr:col>
      <xdr:colOff>762000</xdr:colOff>
      <xdr:row>5</xdr:row>
      <xdr:rowOff>7186</xdr:rowOff>
    </xdr:to>
    <xdr:sp macro="" textlink="">
      <xdr:nvSpPr>
        <xdr:cNvPr id="5" name="Rectangle 4">
          <a:extLst>
            <a:ext uri="{FF2B5EF4-FFF2-40B4-BE49-F238E27FC236}">
              <a16:creationId xmlns:a16="http://schemas.microsoft.com/office/drawing/2014/main" id="{592C9FFC-36E8-2340-9D91-561F45FBECDA}"/>
            </a:ext>
          </a:extLst>
        </xdr:cNvPr>
        <xdr:cNvSpPr/>
      </xdr:nvSpPr>
      <xdr:spPr>
        <a:xfrm>
          <a:off x="0" y="0"/>
          <a:ext cx="50292000" cy="102318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200">
            <a:solidFill>
              <a:schemeClr val="bg1"/>
            </a:solidFill>
          </a:endParaRPr>
        </a:p>
      </xdr:txBody>
    </xdr:sp>
    <xdr:clientData/>
  </xdr:twoCellAnchor>
  <xdr:twoCellAnchor>
    <xdr:from>
      <xdr:col>0</xdr:col>
      <xdr:colOff>0</xdr:colOff>
      <xdr:row>5</xdr:row>
      <xdr:rowOff>1</xdr:rowOff>
    </xdr:from>
    <xdr:to>
      <xdr:col>3</xdr:col>
      <xdr:colOff>14598</xdr:colOff>
      <xdr:row>94</xdr:row>
      <xdr:rowOff>1</xdr:rowOff>
    </xdr:to>
    <xdr:sp macro="" textlink="">
      <xdr:nvSpPr>
        <xdr:cNvPr id="6" name="Rectangle 5">
          <a:extLst>
            <a:ext uri="{FF2B5EF4-FFF2-40B4-BE49-F238E27FC236}">
              <a16:creationId xmlns:a16="http://schemas.microsoft.com/office/drawing/2014/main" id="{35753254-5B3F-7C41-B791-0D907DF7EBF2}"/>
            </a:ext>
          </a:extLst>
        </xdr:cNvPr>
        <xdr:cNvSpPr/>
      </xdr:nvSpPr>
      <xdr:spPr>
        <a:xfrm>
          <a:off x="0" y="1016001"/>
          <a:ext cx="2491098" cy="180848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rgbClr val="DABD63"/>
            </a:solidFill>
          </a:endParaRPr>
        </a:p>
      </xdr:txBody>
    </xdr:sp>
    <xdr:clientData/>
  </xdr:twoCellAnchor>
  <xdr:twoCellAnchor>
    <xdr:from>
      <xdr:col>16</xdr:col>
      <xdr:colOff>508000</xdr:colOff>
      <xdr:row>0</xdr:row>
      <xdr:rowOff>122594</xdr:rowOff>
    </xdr:from>
    <xdr:to>
      <xdr:col>21</xdr:col>
      <xdr:colOff>0</xdr:colOff>
      <xdr:row>4</xdr:row>
      <xdr:rowOff>190500</xdr:rowOff>
    </xdr:to>
    <xdr:sp macro="" textlink="">
      <xdr:nvSpPr>
        <xdr:cNvPr id="7" name="TextBox 6">
          <a:extLst>
            <a:ext uri="{FF2B5EF4-FFF2-40B4-BE49-F238E27FC236}">
              <a16:creationId xmlns:a16="http://schemas.microsoft.com/office/drawing/2014/main" id="{089FC3EB-FAAD-0245-A55C-C4904F722B8E}"/>
            </a:ext>
          </a:extLst>
        </xdr:cNvPr>
        <xdr:cNvSpPr txBox="1"/>
      </xdr:nvSpPr>
      <xdr:spPr>
        <a:xfrm>
          <a:off x="13716000" y="122594"/>
          <a:ext cx="3619500" cy="880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a:t>Last</a:t>
          </a:r>
          <a:r>
            <a:rPr lang="en-GB" sz="2400" baseline="0"/>
            <a:t> update</a:t>
          </a:r>
        </a:p>
        <a:p>
          <a:pPr algn="ctr"/>
          <a:r>
            <a:rPr lang="en-GB" sz="2400" baseline="0">
              <a:solidFill>
                <a:schemeClr val="accent1">
                  <a:lumMod val="60000"/>
                  <a:lumOff val="40000"/>
                </a:schemeClr>
              </a:solidFill>
            </a:rPr>
            <a:t>March 4th 2025</a:t>
          </a:r>
          <a:endParaRPr lang="en-GB" sz="2400">
            <a:solidFill>
              <a:schemeClr val="accent1">
                <a:lumMod val="60000"/>
                <a:lumOff val="40000"/>
              </a:schemeClr>
            </a:solidFill>
          </a:endParaRPr>
        </a:p>
      </xdr:txBody>
    </xdr:sp>
    <xdr:clientData/>
  </xdr:twoCellAnchor>
  <xdr:twoCellAnchor>
    <xdr:from>
      <xdr:col>15</xdr:col>
      <xdr:colOff>677334</xdr:colOff>
      <xdr:row>0</xdr:row>
      <xdr:rowOff>21166</xdr:rowOff>
    </xdr:from>
    <xdr:to>
      <xdr:col>15</xdr:col>
      <xdr:colOff>687917</xdr:colOff>
      <xdr:row>5</xdr:row>
      <xdr:rowOff>31749</xdr:rowOff>
    </xdr:to>
    <xdr:cxnSp macro="">
      <xdr:nvCxnSpPr>
        <xdr:cNvPr id="8" name="Straight Connector 7">
          <a:extLst>
            <a:ext uri="{FF2B5EF4-FFF2-40B4-BE49-F238E27FC236}">
              <a16:creationId xmlns:a16="http://schemas.microsoft.com/office/drawing/2014/main" id="{EFC8BC9B-3DAB-3F4C-BC0E-AD7F56057EE5}"/>
            </a:ext>
          </a:extLst>
        </xdr:cNvPr>
        <xdr:cNvCxnSpPr/>
      </xdr:nvCxnSpPr>
      <xdr:spPr>
        <a:xfrm>
          <a:off x="13059834" y="21166"/>
          <a:ext cx="10583" cy="102658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393700</xdr:colOff>
      <xdr:row>6</xdr:row>
      <xdr:rowOff>50800</xdr:rowOff>
    </xdr:from>
    <xdr:to>
      <xdr:col>8</xdr:col>
      <xdr:colOff>0</xdr:colOff>
      <xdr:row>21</xdr:row>
      <xdr:rowOff>0</xdr:rowOff>
    </xdr:to>
    <xdr:sp macro="" textlink="">
      <xdr:nvSpPr>
        <xdr:cNvPr id="10" name="Rounded Rectangle 9">
          <a:extLst>
            <a:ext uri="{FF2B5EF4-FFF2-40B4-BE49-F238E27FC236}">
              <a16:creationId xmlns:a16="http://schemas.microsoft.com/office/drawing/2014/main" id="{1CD75A39-885D-52D4-054F-BC9582719824}"/>
            </a:ext>
          </a:extLst>
        </xdr:cNvPr>
        <xdr:cNvSpPr/>
      </xdr:nvSpPr>
      <xdr:spPr>
        <a:xfrm>
          <a:off x="2870200" y="1270000"/>
          <a:ext cx="3733800" cy="29972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800">
              <a:solidFill>
                <a:schemeClr val="tx1"/>
              </a:solidFill>
              <a:latin typeface="American Typewriter" panose="02090604020004020304" pitchFamily="18" charset="77"/>
            </a:rPr>
            <a:t>Top Nationalities</a:t>
          </a:r>
        </a:p>
      </xdr:txBody>
    </xdr:sp>
    <xdr:clientData/>
  </xdr:twoCellAnchor>
  <xdr:twoCellAnchor>
    <xdr:from>
      <xdr:col>3</xdr:col>
      <xdr:colOff>253539</xdr:colOff>
      <xdr:row>22</xdr:row>
      <xdr:rowOff>165100</xdr:rowOff>
    </xdr:from>
    <xdr:to>
      <xdr:col>10</xdr:col>
      <xdr:colOff>0</xdr:colOff>
      <xdr:row>43</xdr:row>
      <xdr:rowOff>0</xdr:rowOff>
    </xdr:to>
    <xdr:sp macro="" textlink="">
      <xdr:nvSpPr>
        <xdr:cNvPr id="19" name="Rounded Rectangle 18">
          <a:extLst>
            <a:ext uri="{FF2B5EF4-FFF2-40B4-BE49-F238E27FC236}">
              <a16:creationId xmlns:a16="http://schemas.microsoft.com/office/drawing/2014/main" id="{15F888FD-F276-4F30-5C09-4FA420DAF875}"/>
            </a:ext>
          </a:extLst>
        </xdr:cNvPr>
        <xdr:cNvSpPr/>
      </xdr:nvSpPr>
      <xdr:spPr>
        <a:xfrm>
          <a:off x="2730039" y="4635500"/>
          <a:ext cx="5524961" cy="41021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solidFill>
                <a:schemeClr val="tx1"/>
              </a:solidFill>
              <a:latin typeface="American Typewriter" panose="02090604020004020304" pitchFamily="18" charset="77"/>
            </a:rPr>
            <a:t>Nationality Distribution</a:t>
          </a:r>
        </a:p>
      </xdr:txBody>
    </xdr:sp>
    <xdr:clientData/>
  </xdr:twoCellAnchor>
  <xdr:twoCellAnchor editAs="oneCell">
    <xdr:from>
      <xdr:col>0</xdr:col>
      <xdr:colOff>0</xdr:colOff>
      <xdr:row>6</xdr:row>
      <xdr:rowOff>1</xdr:rowOff>
    </xdr:from>
    <xdr:to>
      <xdr:col>3</xdr:col>
      <xdr:colOff>0</xdr:colOff>
      <xdr:row>12</xdr:row>
      <xdr:rowOff>0</xdr:rowOff>
    </xdr:to>
    <mc:AlternateContent xmlns:mc="http://schemas.openxmlformats.org/markup-compatibility/2006" xmlns:a14="http://schemas.microsoft.com/office/drawing/2010/main">
      <mc:Choice Requires="a14">
        <xdr:graphicFrame macro="">
          <xdr:nvGraphicFramePr>
            <xdr:cNvPr id="25" name="Gender 3">
              <a:extLst>
                <a:ext uri="{FF2B5EF4-FFF2-40B4-BE49-F238E27FC236}">
                  <a16:creationId xmlns:a16="http://schemas.microsoft.com/office/drawing/2014/main" id="{30EFAB01-EA44-1A47-8721-93C23E6C7853}"/>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0" y="1219201"/>
              <a:ext cx="2476500" cy="1219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48846</xdr:rowOff>
    </xdr:from>
    <xdr:to>
      <xdr:col>3</xdr:col>
      <xdr:colOff>0</xdr:colOff>
      <xdr:row>22</xdr:row>
      <xdr:rowOff>108297</xdr:rowOff>
    </xdr:to>
    <mc:AlternateContent xmlns:mc="http://schemas.openxmlformats.org/markup-compatibility/2006" xmlns:a14="http://schemas.microsoft.com/office/drawing/2010/main">
      <mc:Choice Requires="a14">
        <xdr:graphicFrame macro="">
          <xdr:nvGraphicFramePr>
            <xdr:cNvPr id="27" name="Referring Organisation 3">
              <a:extLst>
                <a:ext uri="{FF2B5EF4-FFF2-40B4-BE49-F238E27FC236}">
                  <a16:creationId xmlns:a16="http://schemas.microsoft.com/office/drawing/2014/main" id="{EAD90691-C9FE-994C-B041-0FB3F824FCD3}"/>
                </a:ext>
              </a:extLst>
            </xdr:cNvPr>
            <xdr:cNvGraphicFramePr/>
          </xdr:nvGraphicFramePr>
          <xdr:xfrm>
            <a:off x="0" y="0"/>
            <a:ext cx="0" cy="0"/>
          </xdr:xfrm>
          <a:graphic>
            <a:graphicData uri="http://schemas.microsoft.com/office/drawing/2010/slicer">
              <sle:slicer xmlns:sle="http://schemas.microsoft.com/office/drawing/2010/slicer" name="Referring Organisation 3"/>
            </a:graphicData>
          </a:graphic>
        </xdr:graphicFrame>
      </mc:Choice>
      <mc:Fallback xmlns="">
        <xdr:sp macro="" textlink="">
          <xdr:nvSpPr>
            <xdr:cNvPr id="0" name=""/>
            <xdr:cNvSpPr>
              <a:spLocks noTextEdit="1"/>
            </xdr:cNvSpPr>
          </xdr:nvSpPr>
          <xdr:spPr>
            <a:xfrm>
              <a:off x="0" y="2487246"/>
              <a:ext cx="2476500" cy="20914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0</xdr:rowOff>
    </xdr:from>
    <xdr:to>
      <xdr:col>3</xdr:col>
      <xdr:colOff>0</xdr:colOff>
      <xdr:row>43</xdr:row>
      <xdr:rowOff>15872</xdr:rowOff>
    </xdr:to>
    <mc:AlternateContent xmlns:mc="http://schemas.openxmlformats.org/markup-compatibility/2006" xmlns:a14="http://schemas.microsoft.com/office/drawing/2010/main">
      <mc:Choice Requires="a14">
        <xdr:graphicFrame macro="">
          <xdr:nvGraphicFramePr>
            <xdr:cNvPr id="28" name="Months (Date Referred) 3">
              <a:extLst>
                <a:ext uri="{FF2B5EF4-FFF2-40B4-BE49-F238E27FC236}">
                  <a16:creationId xmlns:a16="http://schemas.microsoft.com/office/drawing/2014/main" id="{7E2A280F-E9D2-CE40-B752-60F713073F78}"/>
                </a:ext>
              </a:extLst>
            </xdr:cNvPr>
            <xdr:cNvGraphicFramePr/>
          </xdr:nvGraphicFramePr>
          <xdr:xfrm>
            <a:off x="0" y="0"/>
            <a:ext cx="0" cy="0"/>
          </xdr:xfrm>
          <a:graphic>
            <a:graphicData uri="http://schemas.microsoft.com/office/drawing/2010/slicer">
              <sle:slicer xmlns:sle="http://schemas.microsoft.com/office/drawing/2010/slicer" name="Months (Date Referred) 3"/>
            </a:graphicData>
          </a:graphic>
        </xdr:graphicFrame>
      </mc:Choice>
      <mc:Fallback xmlns="">
        <xdr:sp macro="" textlink="">
          <xdr:nvSpPr>
            <xdr:cNvPr id="0" name=""/>
            <xdr:cNvSpPr>
              <a:spLocks noTextEdit="1"/>
            </xdr:cNvSpPr>
          </xdr:nvSpPr>
          <xdr:spPr>
            <a:xfrm>
              <a:off x="0" y="4470400"/>
              <a:ext cx="2476500" cy="42830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88900</xdr:colOff>
      <xdr:row>1</xdr:row>
      <xdr:rowOff>101600</xdr:rowOff>
    </xdr:from>
    <xdr:to>
      <xdr:col>6</xdr:col>
      <xdr:colOff>0</xdr:colOff>
      <xdr:row>4</xdr:row>
      <xdr:rowOff>0</xdr:rowOff>
    </xdr:to>
    <xdr:sp macro="" textlink="">
      <xdr:nvSpPr>
        <xdr:cNvPr id="29" name="Rectangle 28">
          <a:hlinkClick xmlns:r="http://schemas.openxmlformats.org/officeDocument/2006/relationships" r:id="rId3" tooltip="Main Dashboard"/>
          <a:extLst>
            <a:ext uri="{FF2B5EF4-FFF2-40B4-BE49-F238E27FC236}">
              <a16:creationId xmlns:a16="http://schemas.microsoft.com/office/drawing/2014/main" id="{EF52F211-C07C-3D49-812B-F3A6B33629AA}"/>
            </a:ext>
          </a:extLst>
        </xdr:cNvPr>
        <xdr:cNvSpPr/>
      </xdr:nvSpPr>
      <xdr:spPr>
        <a:xfrm>
          <a:off x="3390900" y="304800"/>
          <a:ext cx="1562100" cy="508000"/>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solidFill>
                <a:schemeClr val="bg1"/>
              </a:solidFill>
              <a:latin typeface="American Typewriter" panose="02090604020004020304" pitchFamily="18" charset="77"/>
            </a:rPr>
            <a:t>Home</a:t>
          </a:r>
          <a:endParaRPr lang="en-GB" sz="2800">
            <a:solidFill>
              <a:schemeClr val="bg1"/>
            </a:solidFill>
            <a:latin typeface="American Typewriter" panose="02090604020004020304" pitchFamily="18" charset="77"/>
          </a:endParaRPr>
        </a:p>
      </xdr:txBody>
    </xdr:sp>
    <xdr:clientData/>
  </xdr:twoCellAnchor>
  <xdr:twoCellAnchor>
    <xdr:from>
      <xdr:col>6</xdr:col>
      <xdr:colOff>431800</xdr:colOff>
      <xdr:row>1</xdr:row>
      <xdr:rowOff>101600</xdr:rowOff>
    </xdr:from>
    <xdr:to>
      <xdr:col>8</xdr:col>
      <xdr:colOff>431800</xdr:colOff>
      <xdr:row>4</xdr:row>
      <xdr:rowOff>0</xdr:rowOff>
    </xdr:to>
    <xdr:sp macro="" textlink="">
      <xdr:nvSpPr>
        <xdr:cNvPr id="30" name="Rectangle 29">
          <a:hlinkClick xmlns:r="http://schemas.openxmlformats.org/officeDocument/2006/relationships" r:id="rId4" tooltip="Age Dashboard"/>
          <a:extLst>
            <a:ext uri="{FF2B5EF4-FFF2-40B4-BE49-F238E27FC236}">
              <a16:creationId xmlns:a16="http://schemas.microsoft.com/office/drawing/2014/main" id="{A28C87C6-BD67-104F-B84A-FC03DA4D58BC}"/>
            </a:ext>
          </a:extLst>
        </xdr:cNvPr>
        <xdr:cNvSpPr/>
      </xdr:nvSpPr>
      <xdr:spPr>
        <a:xfrm>
          <a:off x="5384800" y="304800"/>
          <a:ext cx="1651000" cy="508000"/>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solidFill>
                <a:schemeClr val="bg1"/>
              </a:solidFill>
              <a:latin typeface="American Typewriter" panose="02090604020004020304" pitchFamily="18" charset="77"/>
            </a:rPr>
            <a:t>Age</a:t>
          </a:r>
          <a:endParaRPr lang="en-GB" sz="2800">
            <a:solidFill>
              <a:schemeClr val="bg1"/>
            </a:solidFill>
            <a:latin typeface="American Typewriter" panose="02090604020004020304" pitchFamily="18" charset="77"/>
          </a:endParaRPr>
        </a:p>
      </xdr:txBody>
    </xdr:sp>
    <xdr:clientData/>
  </xdr:twoCellAnchor>
  <xdr:twoCellAnchor>
    <xdr:from>
      <xdr:col>9</xdr:col>
      <xdr:colOff>266700</xdr:colOff>
      <xdr:row>1</xdr:row>
      <xdr:rowOff>101600</xdr:rowOff>
    </xdr:from>
    <xdr:to>
      <xdr:col>12</xdr:col>
      <xdr:colOff>0</xdr:colOff>
      <xdr:row>4</xdr:row>
      <xdr:rowOff>0</xdr:rowOff>
    </xdr:to>
    <xdr:sp macro="" textlink="">
      <xdr:nvSpPr>
        <xdr:cNvPr id="31" name="Rectangle 30">
          <a:extLst>
            <a:ext uri="{FF2B5EF4-FFF2-40B4-BE49-F238E27FC236}">
              <a16:creationId xmlns:a16="http://schemas.microsoft.com/office/drawing/2014/main" id="{3E8B94D2-B6BF-7842-83DE-484A8230408B}"/>
            </a:ext>
          </a:extLst>
        </xdr:cNvPr>
        <xdr:cNvSpPr/>
      </xdr:nvSpPr>
      <xdr:spPr>
        <a:xfrm>
          <a:off x="7696200" y="304800"/>
          <a:ext cx="2209800" cy="508000"/>
        </a:xfrm>
        <a:prstGeom prst="rect">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solidFill>
                <a:schemeClr val="bg1"/>
              </a:solidFill>
              <a:latin typeface="American Typewriter" panose="02090604020004020304" pitchFamily="18" charset="77"/>
            </a:rPr>
            <a:t>Demographic</a:t>
          </a:r>
          <a:endParaRPr lang="en-GB" sz="2800">
            <a:solidFill>
              <a:schemeClr val="bg1"/>
            </a:solidFill>
            <a:latin typeface="American Typewriter" panose="02090604020004020304" pitchFamily="18" charset="77"/>
          </a:endParaRPr>
        </a:p>
      </xdr:txBody>
    </xdr:sp>
    <xdr:clientData/>
  </xdr:twoCellAnchor>
  <xdr:twoCellAnchor>
    <xdr:from>
      <xdr:col>12</xdr:col>
      <xdr:colOff>609600</xdr:colOff>
      <xdr:row>1</xdr:row>
      <xdr:rowOff>101600</xdr:rowOff>
    </xdr:from>
    <xdr:to>
      <xdr:col>15</xdr:col>
      <xdr:colOff>342900</xdr:colOff>
      <xdr:row>4</xdr:row>
      <xdr:rowOff>0</xdr:rowOff>
    </xdr:to>
    <xdr:sp macro="" textlink="">
      <xdr:nvSpPr>
        <xdr:cNvPr id="32" name="Rectangle 31">
          <a:hlinkClick xmlns:r="http://schemas.openxmlformats.org/officeDocument/2006/relationships" r:id="rId5"/>
          <a:extLst>
            <a:ext uri="{FF2B5EF4-FFF2-40B4-BE49-F238E27FC236}">
              <a16:creationId xmlns:a16="http://schemas.microsoft.com/office/drawing/2014/main" id="{9DCD6299-CB6E-7148-87E0-6B4561732E62}"/>
            </a:ext>
          </a:extLst>
        </xdr:cNvPr>
        <xdr:cNvSpPr/>
      </xdr:nvSpPr>
      <xdr:spPr>
        <a:xfrm>
          <a:off x="10515600" y="304800"/>
          <a:ext cx="2209800" cy="508000"/>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solidFill>
                <a:schemeClr val="bg1"/>
              </a:solidFill>
              <a:latin typeface="American Typewriter" panose="02090604020004020304" pitchFamily="18" charset="77"/>
            </a:rPr>
            <a:t>Counsellors</a:t>
          </a:r>
        </a:p>
      </xdr:txBody>
    </xdr:sp>
    <xdr:clientData/>
  </xdr:twoCellAnchor>
  <xdr:twoCellAnchor>
    <xdr:from>
      <xdr:col>0</xdr:col>
      <xdr:colOff>0</xdr:colOff>
      <xdr:row>0</xdr:row>
      <xdr:rowOff>174636</xdr:rowOff>
    </xdr:from>
    <xdr:to>
      <xdr:col>3</xdr:col>
      <xdr:colOff>674416</xdr:colOff>
      <xdr:row>5</xdr:row>
      <xdr:rowOff>0</xdr:rowOff>
    </xdr:to>
    <xdr:sp macro="" textlink="">
      <xdr:nvSpPr>
        <xdr:cNvPr id="33" name="TextBox 32">
          <a:extLst>
            <a:ext uri="{FF2B5EF4-FFF2-40B4-BE49-F238E27FC236}">
              <a16:creationId xmlns:a16="http://schemas.microsoft.com/office/drawing/2014/main" id="{EEDF3647-9BB7-1840-BE38-CF7DED2B010F}"/>
            </a:ext>
          </a:extLst>
        </xdr:cNvPr>
        <xdr:cNvSpPr txBox="1"/>
      </xdr:nvSpPr>
      <xdr:spPr>
        <a:xfrm>
          <a:off x="0" y="174636"/>
          <a:ext cx="3150916" cy="841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2400" baseline="0">
              <a:latin typeface="American Typewriter" panose="02090604020004020304" pitchFamily="18" charset="77"/>
            </a:rPr>
            <a:t>Counselling Agency </a:t>
          </a:r>
          <a:r>
            <a:rPr lang="en-GB" sz="2400" baseline="0">
              <a:solidFill>
                <a:schemeClr val="accent1">
                  <a:lumMod val="60000"/>
                  <a:lumOff val="40000"/>
                </a:schemeClr>
              </a:solidFill>
              <a:latin typeface="American Typewriter" panose="02090604020004020304" pitchFamily="18" charset="77"/>
            </a:rPr>
            <a:t>Dashboard</a:t>
          </a:r>
          <a:endParaRPr lang="en-GB" sz="2000" baseline="0">
            <a:solidFill>
              <a:schemeClr val="accent1">
                <a:lumMod val="60000"/>
                <a:lumOff val="40000"/>
              </a:schemeClr>
            </a:solidFill>
            <a:latin typeface="American Typewriter" panose="02090604020004020304" pitchFamily="18" charset="77"/>
          </a:endParaRPr>
        </a:p>
      </xdr:txBody>
    </xdr:sp>
    <xdr:clientData/>
  </xdr:twoCellAnchor>
  <xdr:twoCellAnchor>
    <xdr:from>
      <xdr:col>3</xdr:col>
      <xdr:colOff>762000</xdr:colOff>
      <xdr:row>9</xdr:row>
      <xdr:rowOff>79809</xdr:rowOff>
    </xdr:from>
    <xdr:to>
      <xdr:col>6</xdr:col>
      <xdr:colOff>0</xdr:colOff>
      <xdr:row>13</xdr:row>
      <xdr:rowOff>0</xdr:rowOff>
    </xdr:to>
    <xdr:sp macro="" textlink="'Pivot Tables'!Q5">
      <xdr:nvSpPr>
        <xdr:cNvPr id="45" name="TextBox 44">
          <a:extLst>
            <a:ext uri="{FF2B5EF4-FFF2-40B4-BE49-F238E27FC236}">
              <a16:creationId xmlns:a16="http://schemas.microsoft.com/office/drawing/2014/main" id="{E1471E1D-9B77-F245-963B-07F9DE80B6BE}"/>
            </a:ext>
          </a:extLst>
        </xdr:cNvPr>
        <xdr:cNvSpPr txBox="1"/>
      </xdr:nvSpPr>
      <xdr:spPr>
        <a:xfrm>
          <a:off x="3238500" y="1908609"/>
          <a:ext cx="1714500" cy="732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F0FAA5-1C52-AA42-A582-CED697BC730C}" type="TxLink">
            <a:rPr lang="en-US" sz="2800" b="0" i="0" u="none" strike="noStrike">
              <a:solidFill>
                <a:schemeClr val="bg1">
                  <a:lumMod val="65000"/>
                </a:schemeClr>
              </a:solidFill>
              <a:latin typeface="American Typewriter" panose="02090604020004020304" pitchFamily="18" charset="77"/>
              <a:ea typeface="Ayuthaya" pitchFamily="2" charset="-34"/>
              <a:cs typeface="Ayuthaya" pitchFamily="2" charset="-34"/>
            </a:rPr>
            <a:pPr/>
            <a:t>British</a:t>
          </a:fld>
          <a:endParaRPr lang="en-GB" sz="102800">
            <a:solidFill>
              <a:schemeClr val="bg1">
                <a:lumMod val="65000"/>
              </a:schemeClr>
            </a:solidFill>
            <a:latin typeface="American Typewriter" panose="02090604020004020304" pitchFamily="18" charset="77"/>
            <a:ea typeface="Ayuthaya" pitchFamily="2" charset="-34"/>
            <a:cs typeface="Ayuthaya" pitchFamily="2" charset="-34"/>
          </a:endParaRPr>
        </a:p>
      </xdr:txBody>
    </xdr:sp>
    <xdr:clientData/>
  </xdr:twoCellAnchor>
  <xdr:twoCellAnchor>
    <xdr:from>
      <xdr:col>3</xdr:col>
      <xdr:colOff>762000</xdr:colOff>
      <xdr:row>11</xdr:row>
      <xdr:rowOff>139700</xdr:rowOff>
    </xdr:from>
    <xdr:to>
      <xdr:col>6</xdr:col>
      <xdr:colOff>0</xdr:colOff>
      <xdr:row>15</xdr:row>
      <xdr:rowOff>59891</xdr:rowOff>
    </xdr:to>
    <xdr:sp macro="" textlink="'Pivot Tables'!Q7">
      <xdr:nvSpPr>
        <xdr:cNvPr id="46" name="TextBox 45">
          <a:extLst>
            <a:ext uri="{FF2B5EF4-FFF2-40B4-BE49-F238E27FC236}">
              <a16:creationId xmlns:a16="http://schemas.microsoft.com/office/drawing/2014/main" id="{7F7C6040-6B9B-1246-BE60-229D81C86056}"/>
            </a:ext>
          </a:extLst>
        </xdr:cNvPr>
        <xdr:cNvSpPr txBox="1"/>
      </xdr:nvSpPr>
      <xdr:spPr>
        <a:xfrm>
          <a:off x="3238500" y="2374900"/>
          <a:ext cx="1714500" cy="732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426057D-7D6A-D347-B68C-953DE7BF0DA5}" type="TxLink">
            <a:rPr lang="en-US" sz="2800" b="0" i="0" u="none" strike="noStrike">
              <a:solidFill>
                <a:schemeClr val="bg1">
                  <a:lumMod val="65000"/>
                </a:schemeClr>
              </a:solidFill>
              <a:latin typeface="American Typewriter" panose="02090604020004020304" pitchFamily="18" charset="77"/>
              <a:ea typeface="Ayuthaya" pitchFamily="2" charset="-34"/>
              <a:cs typeface="Ayuthaya" pitchFamily="2" charset="-34"/>
            </a:rPr>
            <a:pPr/>
            <a:t>Ghanaian</a:t>
          </a:fld>
          <a:endParaRPr lang="en-GB" sz="2800">
            <a:solidFill>
              <a:schemeClr val="bg1">
                <a:lumMod val="65000"/>
              </a:schemeClr>
            </a:solidFill>
            <a:latin typeface="American Typewriter" panose="02090604020004020304" pitchFamily="18" charset="77"/>
            <a:ea typeface="Ayuthaya" pitchFamily="2" charset="-34"/>
            <a:cs typeface="Ayuthaya" pitchFamily="2" charset="-34"/>
          </a:endParaRPr>
        </a:p>
      </xdr:txBody>
    </xdr:sp>
    <xdr:clientData/>
  </xdr:twoCellAnchor>
  <xdr:twoCellAnchor>
    <xdr:from>
      <xdr:col>3</xdr:col>
      <xdr:colOff>762000</xdr:colOff>
      <xdr:row>14</xdr:row>
      <xdr:rowOff>0</xdr:rowOff>
    </xdr:from>
    <xdr:to>
      <xdr:col>6</xdr:col>
      <xdr:colOff>0</xdr:colOff>
      <xdr:row>17</xdr:row>
      <xdr:rowOff>123391</xdr:rowOff>
    </xdr:to>
    <xdr:sp macro="" textlink="'Pivot Tables'!Q8">
      <xdr:nvSpPr>
        <xdr:cNvPr id="47" name="TextBox 46">
          <a:extLst>
            <a:ext uri="{FF2B5EF4-FFF2-40B4-BE49-F238E27FC236}">
              <a16:creationId xmlns:a16="http://schemas.microsoft.com/office/drawing/2014/main" id="{3E5F9D90-B256-E144-B3AB-6FCA11696BF4}"/>
            </a:ext>
          </a:extLst>
        </xdr:cNvPr>
        <xdr:cNvSpPr txBox="1"/>
      </xdr:nvSpPr>
      <xdr:spPr>
        <a:xfrm>
          <a:off x="3238500" y="2844800"/>
          <a:ext cx="1714500" cy="732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FABD7D1-2D99-0341-9B5F-D82B0328E01D}" type="TxLink">
            <a:rPr lang="en-US" sz="2800" b="0" i="0" u="none" strike="noStrike">
              <a:solidFill>
                <a:schemeClr val="bg1">
                  <a:lumMod val="65000"/>
                </a:schemeClr>
              </a:solidFill>
              <a:latin typeface="American Typewriter" panose="02090604020004020304" pitchFamily="18" charset="77"/>
              <a:ea typeface="Ayuthaya" pitchFamily="2" charset="-34"/>
              <a:cs typeface="Ayuthaya" pitchFamily="2" charset="-34"/>
            </a:rPr>
            <a:pPr/>
            <a:t>Indian</a:t>
          </a:fld>
          <a:endParaRPr lang="en-GB" sz="2800">
            <a:solidFill>
              <a:schemeClr val="bg1">
                <a:lumMod val="65000"/>
              </a:schemeClr>
            </a:solidFill>
            <a:latin typeface="American Typewriter" panose="02090604020004020304" pitchFamily="18" charset="77"/>
            <a:ea typeface="Ayuthaya" pitchFamily="2" charset="-34"/>
            <a:cs typeface="Ayuthaya" pitchFamily="2" charset="-34"/>
          </a:endParaRPr>
        </a:p>
      </xdr:txBody>
    </xdr:sp>
    <xdr:clientData/>
  </xdr:twoCellAnchor>
  <xdr:twoCellAnchor>
    <xdr:from>
      <xdr:col>3</xdr:col>
      <xdr:colOff>762000</xdr:colOff>
      <xdr:row>16</xdr:row>
      <xdr:rowOff>79809</xdr:rowOff>
    </xdr:from>
    <xdr:to>
      <xdr:col>6</xdr:col>
      <xdr:colOff>0</xdr:colOff>
      <xdr:row>19</xdr:row>
      <xdr:rowOff>0</xdr:rowOff>
    </xdr:to>
    <xdr:sp macro="" textlink="'Pivot Tables'!Q9">
      <xdr:nvSpPr>
        <xdr:cNvPr id="48" name="TextBox 47">
          <a:extLst>
            <a:ext uri="{FF2B5EF4-FFF2-40B4-BE49-F238E27FC236}">
              <a16:creationId xmlns:a16="http://schemas.microsoft.com/office/drawing/2014/main" id="{FC3E9263-C489-AB4E-9D02-286F2E3259FC}"/>
            </a:ext>
          </a:extLst>
        </xdr:cNvPr>
        <xdr:cNvSpPr txBox="1"/>
      </xdr:nvSpPr>
      <xdr:spPr>
        <a:xfrm>
          <a:off x="3238500" y="3331009"/>
          <a:ext cx="1714500" cy="529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B1079C-D523-344E-B7C6-9AF681FFDA97}" type="TxLink">
            <a:rPr lang="en-US" sz="2800" b="0" i="0" u="none" strike="noStrike">
              <a:solidFill>
                <a:schemeClr val="bg1">
                  <a:lumMod val="65000"/>
                </a:schemeClr>
              </a:solidFill>
              <a:latin typeface="American Typewriter" panose="02090604020004020304" pitchFamily="18" charset="77"/>
              <a:ea typeface="Ayuthaya" pitchFamily="2" charset="-34"/>
              <a:cs typeface="Ayuthaya" pitchFamily="2" charset="-34"/>
            </a:rPr>
            <a:pPr/>
            <a:t>Other</a:t>
          </a:fld>
          <a:endParaRPr lang="en-GB" sz="2800">
            <a:solidFill>
              <a:schemeClr val="bg1">
                <a:lumMod val="65000"/>
              </a:schemeClr>
            </a:solidFill>
            <a:latin typeface="American Typewriter" panose="02090604020004020304" pitchFamily="18" charset="77"/>
            <a:ea typeface="Ayuthaya" pitchFamily="2" charset="-34"/>
            <a:cs typeface="Ayuthaya" pitchFamily="2" charset="-34"/>
          </a:endParaRPr>
        </a:p>
      </xdr:txBody>
    </xdr:sp>
    <xdr:clientData/>
  </xdr:twoCellAnchor>
  <xdr:twoCellAnchor>
    <xdr:from>
      <xdr:col>6</xdr:col>
      <xdr:colOff>0</xdr:colOff>
      <xdr:row>9</xdr:row>
      <xdr:rowOff>79809</xdr:rowOff>
    </xdr:from>
    <xdr:to>
      <xdr:col>7</xdr:col>
      <xdr:colOff>0</xdr:colOff>
      <xdr:row>12</xdr:row>
      <xdr:rowOff>0</xdr:rowOff>
    </xdr:to>
    <xdr:sp macro="" textlink="'Pivot Tables'!R5">
      <xdr:nvSpPr>
        <xdr:cNvPr id="49" name="TextBox 48">
          <a:extLst>
            <a:ext uri="{FF2B5EF4-FFF2-40B4-BE49-F238E27FC236}">
              <a16:creationId xmlns:a16="http://schemas.microsoft.com/office/drawing/2014/main" id="{056ED34F-4227-F843-A4B4-7A838C2E9C0F}"/>
            </a:ext>
          </a:extLst>
        </xdr:cNvPr>
        <xdr:cNvSpPr txBox="1"/>
      </xdr:nvSpPr>
      <xdr:spPr>
        <a:xfrm>
          <a:off x="4953000" y="1908609"/>
          <a:ext cx="825500" cy="529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9770B53-CBC8-5F4E-888D-B331F6EB6DBA}" type="TxLink">
            <a:rPr lang="en-US" sz="2800" b="0" i="0" u="none" strike="noStrike">
              <a:solidFill>
                <a:srgbClr val="000000"/>
              </a:solidFill>
              <a:latin typeface="American Typewriter" panose="02090604020004020304" pitchFamily="18" charset="77"/>
              <a:ea typeface="Ayuthaya" pitchFamily="2" charset="-34"/>
              <a:cs typeface="Ayuthaya" pitchFamily="2" charset="-34"/>
            </a:rPr>
            <a:pPr algn="l"/>
            <a:t>72</a:t>
          </a:fld>
          <a:endParaRPr lang="en-GB" sz="307000">
            <a:solidFill>
              <a:schemeClr val="bg1">
                <a:lumMod val="65000"/>
              </a:schemeClr>
            </a:solidFill>
            <a:latin typeface="American Typewriter" panose="02090604020004020304" pitchFamily="18" charset="77"/>
            <a:ea typeface="Ayuthaya" pitchFamily="2" charset="-34"/>
            <a:cs typeface="Ayuthaya" pitchFamily="2" charset="-34"/>
          </a:endParaRPr>
        </a:p>
      </xdr:txBody>
    </xdr:sp>
    <xdr:clientData/>
  </xdr:twoCellAnchor>
  <xdr:twoCellAnchor>
    <xdr:from>
      <xdr:col>6</xdr:col>
      <xdr:colOff>0</xdr:colOff>
      <xdr:row>11</xdr:row>
      <xdr:rowOff>190500</xdr:rowOff>
    </xdr:from>
    <xdr:to>
      <xdr:col>7</xdr:col>
      <xdr:colOff>0</xdr:colOff>
      <xdr:row>14</xdr:row>
      <xdr:rowOff>110691</xdr:rowOff>
    </xdr:to>
    <xdr:sp macro="" textlink="'Pivot Tables'!R6">
      <xdr:nvSpPr>
        <xdr:cNvPr id="51" name="TextBox 50">
          <a:extLst>
            <a:ext uri="{FF2B5EF4-FFF2-40B4-BE49-F238E27FC236}">
              <a16:creationId xmlns:a16="http://schemas.microsoft.com/office/drawing/2014/main" id="{720C57B0-E422-A044-B6FB-D39BCEBF76DF}"/>
            </a:ext>
          </a:extLst>
        </xdr:cNvPr>
        <xdr:cNvSpPr txBox="1"/>
      </xdr:nvSpPr>
      <xdr:spPr>
        <a:xfrm>
          <a:off x="4953000" y="2425700"/>
          <a:ext cx="825500" cy="529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DB9BDA0-3341-F94A-8FA5-7928D0BDC482}" type="TxLink">
            <a:rPr lang="en-US" sz="2800" b="0" i="0" u="none" strike="noStrike">
              <a:solidFill>
                <a:srgbClr val="000000"/>
              </a:solidFill>
              <a:latin typeface="American Typewriter" panose="02090604020004020304" pitchFamily="18" charset="77"/>
              <a:ea typeface="Ayuthaya" pitchFamily="2" charset="-34"/>
              <a:cs typeface="Ayuthaya" pitchFamily="2" charset="-34"/>
            </a:rPr>
            <a:pPr algn="l"/>
            <a:t>65</a:t>
          </a:fld>
          <a:endParaRPr lang="en-GB" sz="333300">
            <a:solidFill>
              <a:schemeClr val="bg1">
                <a:lumMod val="65000"/>
              </a:schemeClr>
            </a:solidFill>
            <a:latin typeface="American Typewriter" panose="02090604020004020304" pitchFamily="18" charset="77"/>
            <a:ea typeface="Ayuthaya" pitchFamily="2" charset="-34"/>
            <a:cs typeface="Ayuthaya" pitchFamily="2" charset="-34"/>
          </a:endParaRPr>
        </a:p>
      </xdr:txBody>
    </xdr:sp>
    <xdr:clientData/>
  </xdr:twoCellAnchor>
  <xdr:twoCellAnchor>
    <xdr:from>
      <xdr:col>6</xdr:col>
      <xdr:colOff>0</xdr:colOff>
      <xdr:row>14</xdr:row>
      <xdr:rowOff>79809</xdr:rowOff>
    </xdr:from>
    <xdr:to>
      <xdr:col>7</xdr:col>
      <xdr:colOff>0</xdr:colOff>
      <xdr:row>17</xdr:row>
      <xdr:rowOff>0</xdr:rowOff>
    </xdr:to>
    <xdr:sp macro="" textlink="'Pivot Tables'!R7">
      <xdr:nvSpPr>
        <xdr:cNvPr id="52" name="TextBox 51">
          <a:extLst>
            <a:ext uri="{FF2B5EF4-FFF2-40B4-BE49-F238E27FC236}">
              <a16:creationId xmlns:a16="http://schemas.microsoft.com/office/drawing/2014/main" id="{86A02766-A6D2-4743-816E-9D520E84FC47}"/>
            </a:ext>
          </a:extLst>
        </xdr:cNvPr>
        <xdr:cNvSpPr txBox="1"/>
      </xdr:nvSpPr>
      <xdr:spPr>
        <a:xfrm>
          <a:off x="4953000" y="2924609"/>
          <a:ext cx="825500" cy="529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4A1D4E7-6299-0940-B3E1-201E7965E63D}" type="TxLink">
            <a:rPr lang="en-US" sz="2800" b="0" i="0" u="none" strike="noStrike">
              <a:solidFill>
                <a:srgbClr val="000000"/>
              </a:solidFill>
              <a:latin typeface="American Typewriter" panose="02090604020004020304" pitchFamily="18" charset="77"/>
              <a:ea typeface="Ayuthaya" pitchFamily="2" charset="-34"/>
              <a:cs typeface="Ayuthaya" pitchFamily="2" charset="-34"/>
            </a:rPr>
            <a:pPr algn="l"/>
            <a:t>32</a:t>
          </a:fld>
          <a:endParaRPr lang="en-GB" sz="2800">
            <a:solidFill>
              <a:schemeClr val="bg1">
                <a:lumMod val="65000"/>
              </a:schemeClr>
            </a:solidFill>
            <a:latin typeface="American Typewriter" panose="02090604020004020304" pitchFamily="18" charset="77"/>
            <a:ea typeface="Ayuthaya" pitchFamily="2" charset="-34"/>
            <a:cs typeface="Ayuthaya" pitchFamily="2" charset="-34"/>
          </a:endParaRPr>
        </a:p>
      </xdr:txBody>
    </xdr:sp>
    <xdr:clientData/>
  </xdr:twoCellAnchor>
  <xdr:twoCellAnchor>
    <xdr:from>
      <xdr:col>6</xdr:col>
      <xdr:colOff>0</xdr:colOff>
      <xdr:row>16</xdr:row>
      <xdr:rowOff>114300</xdr:rowOff>
    </xdr:from>
    <xdr:to>
      <xdr:col>7</xdr:col>
      <xdr:colOff>0</xdr:colOff>
      <xdr:row>19</xdr:row>
      <xdr:rowOff>34491</xdr:rowOff>
    </xdr:to>
    <xdr:sp macro="" textlink="'Pivot Tables'!R8">
      <xdr:nvSpPr>
        <xdr:cNvPr id="53" name="TextBox 52">
          <a:extLst>
            <a:ext uri="{FF2B5EF4-FFF2-40B4-BE49-F238E27FC236}">
              <a16:creationId xmlns:a16="http://schemas.microsoft.com/office/drawing/2014/main" id="{681E1A99-9CDB-C04C-A4BC-7D93A077F2EE}"/>
            </a:ext>
          </a:extLst>
        </xdr:cNvPr>
        <xdr:cNvSpPr txBox="1"/>
      </xdr:nvSpPr>
      <xdr:spPr>
        <a:xfrm>
          <a:off x="4953000" y="3365500"/>
          <a:ext cx="825500" cy="529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FB9ACF2-C1E9-764C-8928-1655F9899F7F}" type="TxLink">
            <a:rPr lang="en-US" sz="2800" b="0" i="0" u="none" strike="noStrike">
              <a:solidFill>
                <a:srgbClr val="000000"/>
              </a:solidFill>
              <a:latin typeface="American Typewriter" panose="02090604020004020304" pitchFamily="18" charset="77"/>
              <a:ea typeface="Ayuthaya" pitchFamily="2" charset="-34"/>
              <a:cs typeface="Ayuthaya" pitchFamily="2" charset="-34"/>
            </a:rPr>
            <a:pPr algn="l"/>
            <a:t>17</a:t>
          </a:fld>
          <a:endParaRPr lang="en-GB" sz="5400">
            <a:solidFill>
              <a:schemeClr val="bg1">
                <a:lumMod val="65000"/>
              </a:schemeClr>
            </a:solidFill>
            <a:latin typeface="American Typewriter" panose="02090604020004020304" pitchFamily="18" charset="77"/>
            <a:ea typeface="Ayuthaya" pitchFamily="2" charset="-34"/>
            <a:cs typeface="Ayuthaya" pitchFamily="2" charset="-34"/>
          </a:endParaRPr>
        </a:p>
      </xdr:txBody>
    </xdr:sp>
    <xdr:clientData/>
  </xdr:twoCellAnchor>
  <xdr:twoCellAnchor>
    <xdr:from>
      <xdr:col>8</xdr:col>
      <xdr:colOff>469900</xdr:colOff>
      <xdr:row>6</xdr:row>
      <xdr:rowOff>50800</xdr:rowOff>
    </xdr:from>
    <xdr:to>
      <xdr:col>16</xdr:col>
      <xdr:colOff>0</xdr:colOff>
      <xdr:row>21</xdr:row>
      <xdr:rowOff>0</xdr:rowOff>
    </xdr:to>
    <xdr:sp macro="" textlink="">
      <xdr:nvSpPr>
        <xdr:cNvPr id="54" name="Rounded Rectangle 53">
          <a:extLst>
            <a:ext uri="{FF2B5EF4-FFF2-40B4-BE49-F238E27FC236}">
              <a16:creationId xmlns:a16="http://schemas.microsoft.com/office/drawing/2014/main" id="{2326D190-F523-4E42-A91F-E218B2F9D2AB}"/>
            </a:ext>
          </a:extLst>
        </xdr:cNvPr>
        <xdr:cNvSpPr/>
      </xdr:nvSpPr>
      <xdr:spPr>
        <a:xfrm>
          <a:off x="7073900" y="1270000"/>
          <a:ext cx="6134100" cy="29972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800">
              <a:solidFill>
                <a:schemeClr val="tx1"/>
              </a:solidFill>
              <a:latin typeface="American Typewriter" panose="02090604020004020304" pitchFamily="18" charset="77"/>
            </a:rPr>
            <a:t>Top Ethnicities</a:t>
          </a:r>
        </a:p>
      </xdr:txBody>
    </xdr:sp>
    <xdr:clientData/>
  </xdr:twoCellAnchor>
  <xdr:twoCellAnchor>
    <xdr:from>
      <xdr:col>9</xdr:col>
      <xdr:colOff>0</xdr:colOff>
      <xdr:row>10</xdr:row>
      <xdr:rowOff>0</xdr:rowOff>
    </xdr:from>
    <xdr:to>
      <xdr:col>15</xdr:col>
      <xdr:colOff>0</xdr:colOff>
      <xdr:row>13</xdr:row>
      <xdr:rowOff>0</xdr:rowOff>
    </xdr:to>
    <xdr:sp macro="" textlink="'Pivot Tables'!S26">
      <xdr:nvSpPr>
        <xdr:cNvPr id="55" name="TextBox 54">
          <a:extLst>
            <a:ext uri="{FF2B5EF4-FFF2-40B4-BE49-F238E27FC236}">
              <a16:creationId xmlns:a16="http://schemas.microsoft.com/office/drawing/2014/main" id="{9B49B214-36B2-674F-9C14-31B396A227B5}"/>
            </a:ext>
          </a:extLst>
        </xdr:cNvPr>
        <xdr:cNvSpPr txBox="1"/>
      </xdr:nvSpPr>
      <xdr:spPr>
        <a:xfrm>
          <a:off x="7429500" y="2032000"/>
          <a:ext cx="495300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F87F4D-9346-1F44-8AE6-C45D863C501F}" type="TxLink">
            <a:rPr lang="en-US" sz="2800" b="0" i="0" u="none" strike="noStrike">
              <a:solidFill>
                <a:schemeClr val="bg1">
                  <a:lumMod val="65000"/>
                </a:schemeClr>
              </a:solidFill>
              <a:latin typeface="American Typewriter" panose="02090604020004020304" pitchFamily="18" charset="77"/>
              <a:ea typeface="Ayuthaya" pitchFamily="2" charset="-34"/>
              <a:cs typeface="Ayuthaya" pitchFamily="2" charset="-34"/>
            </a:rPr>
            <a:pPr/>
            <a:t>Black / African / Caribbean</a:t>
          </a:fld>
          <a:endParaRPr lang="en-GB" sz="2800">
            <a:solidFill>
              <a:schemeClr val="bg1">
                <a:lumMod val="65000"/>
              </a:schemeClr>
            </a:solidFill>
            <a:latin typeface="American Typewriter" panose="02090604020004020304" pitchFamily="18" charset="77"/>
            <a:ea typeface="Ayuthaya" pitchFamily="2" charset="-34"/>
            <a:cs typeface="Ayuthaya" pitchFamily="2" charset="-34"/>
          </a:endParaRPr>
        </a:p>
      </xdr:txBody>
    </xdr:sp>
    <xdr:clientData/>
  </xdr:twoCellAnchor>
  <xdr:twoCellAnchor>
    <xdr:from>
      <xdr:col>14</xdr:col>
      <xdr:colOff>0</xdr:colOff>
      <xdr:row>10</xdr:row>
      <xdr:rowOff>16309</xdr:rowOff>
    </xdr:from>
    <xdr:to>
      <xdr:col>16</xdr:col>
      <xdr:colOff>0</xdr:colOff>
      <xdr:row>12</xdr:row>
      <xdr:rowOff>139700</xdr:rowOff>
    </xdr:to>
    <xdr:sp macro="" textlink="'Pivot Tables'!T26">
      <xdr:nvSpPr>
        <xdr:cNvPr id="56" name="TextBox 55">
          <a:extLst>
            <a:ext uri="{FF2B5EF4-FFF2-40B4-BE49-F238E27FC236}">
              <a16:creationId xmlns:a16="http://schemas.microsoft.com/office/drawing/2014/main" id="{CD337B3A-0612-C543-9482-E2C10666F74C}"/>
            </a:ext>
          </a:extLst>
        </xdr:cNvPr>
        <xdr:cNvSpPr txBox="1"/>
      </xdr:nvSpPr>
      <xdr:spPr>
        <a:xfrm>
          <a:off x="11557000" y="2048309"/>
          <a:ext cx="1651000" cy="529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1" algn="ctr"/>
          <a:fld id="{3EDD8DF1-5F75-A942-8D91-68932620175C}" type="TxLink">
            <a:rPr lang="en-US" sz="2800" b="0" i="0" u="none" strike="noStrike">
              <a:solidFill>
                <a:srgbClr val="000000"/>
              </a:solidFill>
              <a:latin typeface="American Typewriter" panose="02090604020004020304" pitchFamily="18" charset="77"/>
              <a:ea typeface="Ayuthaya" pitchFamily="2" charset="-34"/>
              <a:cs typeface="Ayuthaya" pitchFamily="2" charset="-34"/>
            </a:rPr>
            <a:pPr lvl="1" algn="ctr"/>
            <a:t>119</a:t>
          </a:fld>
          <a:endParaRPr lang="en-GB" sz="2800">
            <a:solidFill>
              <a:schemeClr val="bg1">
                <a:lumMod val="65000"/>
              </a:schemeClr>
            </a:solidFill>
            <a:latin typeface="American Typewriter" panose="02090604020004020304" pitchFamily="18" charset="77"/>
            <a:ea typeface="Ayuthaya" pitchFamily="2" charset="-34"/>
            <a:cs typeface="Ayuthaya" pitchFamily="2" charset="-34"/>
          </a:endParaRPr>
        </a:p>
      </xdr:txBody>
    </xdr:sp>
    <xdr:clientData/>
  </xdr:twoCellAnchor>
  <xdr:twoCellAnchor>
    <xdr:from>
      <xdr:col>11</xdr:col>
      <xdr:colOff>0</xdr:colOff>
      <xdr:row>12</xdr:row>
      <xdr:rowOff>114300</xdr:rowOff>
    </xdr:from>
    <xdr:to>
      <xdr:col>13</xdr:col>
      <xdr:colOff>0</xdr:colOff>
      <xdr:row>15</xdr:row>
      <xdr:rowOff>114300</xdr:rowOff>
    </xdr:to>
    <xdr:sp macro="" textlink="'Pivot Tables'!S27">
      <xdr:nvSpPr>
        <xdr:cNvPr id="57" name="TextBox 56">
          <a:extLst>
            <a:ext uri="{FF2B5EF4-FFF2-40B4-BE49-F238E27FC236}">
              <a16:creationId xmlns:a16="http://schemas.microsoft.com/office/drawing/2014/main" id="{5CE33611-CAB6-3841-86D9-8A4B4267AB2B}"/>
            </a:ext>
          </a:extLst>
        </xdr:cNvPr>
        <xdr:cNvSpPr txBox="1"/>
      </xdr:nvSpPr>
      <xdr:spPr>
        <a:xfrm>
          <a:off x="9080500" y="2552700"/>
          <a:ext cx="165100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7057FE-B85F-124A-8401-E3AB980067EF}" type="TxLink">
            <a:rPr lang="en-US" sz="2800" b="0" i="0" u="none" strike="noStrike">
              <a:solidFill>
                <a:schemeClr val="bg1">
                  <a:lumMod val="65000"/>
                </a:schemeClr>
              </a:solidFill>
              <a:latin typeface="American Typewriter" panose="02090604020004020304" pitchFamily="18" charset="77"/>
              <a:ea typeface="Ayuthaya" pitchFamily="2" charset="-34"/>
              <a:cs typeface="Ayuthaya" pitchFamily="2" charset="-34"/>
            </a:rPr>
            <a:pPr/>
            <a:t>White</a:t>
          </a:fld>
          <a:endParaRPr lang="en-GB" sz="2800">
            <a:solidFill>
              <a:schemeClr val="bg1">
                <a:lumMod val="65000"/>
              </a:schemeClr>
            </a:solidFill>
            <a:latin typeface="American Typewriter" panose="02090604020004020304" pitchFamily="18" charset="77"/>
            <a:ea typeface="Ayuthaya" pitchFamily="2" charset="-34"/>
            <a:cs typeface="Ayuthaya" pitchFamily="2" charset="-34"/>
          </a:endParaRPr>
        </a:p>
      </xdr:txBody>
    </xdr:sp>
    <xdr:clientData/>
  </xdr:twoCellAnchor>
  <xdr:twoCellAnchor>
    <xdr:from>
      <xdr:col>13</xdr:col>
      <xdr:colOff>101600</xdr:colOff>
      <xdr:row>12</xdr:row>
      <xdr:rowOff>168709</xdr:rowOff>
    </xdr:from>
    <xdr:to>
      <xdr:col>15</xdr:col>
      <xdr:colOff>101600</xdr:colOff>
      <xdr:row>15</xdr:row>
      <xdr:rowOff>88900</xdr:rowOff>
    </xdr:to>
    <xdr:sp macro="" textlink="'Pivot Tables'!T27">
      <xdr:nvSpPr>
        <xdr:cNvPr id="58" name="TextBox 57">
          <a:extLst>
            <a:ext uri="{FF2B5EF4-FFF2-40B4-BE49-F238E27FC236}">
              <a16:creationId xmlns:a16="http://schemas.microsoft.com/office/drawing/2014/main" id="{542542A6-129F-0349-9DA6-4509F09C8479}"/>
            </a:ext>
          </a:extLst>
        </xdr:cNvPr>
        <xdr:cNvSpPr txBox="1"/>
      </xdr:nvSpPr>
      <xdr:spPr>
        <a:xfrm>
          <a:off x="10833100" y="2607109"/>
          <a:ext cx="1651000" cy="529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87896E3-47C5-764E-BFFF-C84D531F379D}" type="TxLink">
            <a:rPr lang="en-US" sz="2800" b="0" i="0" u="none" strike="noStrike">
              <a:solidFill>
                <a:srgbClr val="000000"/>
              </a:solidFill>
              <a:latin typeface="American Typewriter" panose="02090604020004020304" pitchFamily="18" charset="77"/>
              <a:ea typeface="Ayuthaya" pitchFamily="2" charset="-34"/>
              <a:cs typeface="Ayuthaya" pitchFamily="2" charset="-34"/>
            </a:rPr>
            <a:pPr algn="l"/>
            <a:t>51</a:t>
          </a:fld>
          <a:endParaRPr lang="en-GB" sz="2800">
            <a:solidFill>
              <a:schemeClr val="bg1">
                <a:lumMod val="65000"/>
              </a:schemeClr>
            </a:solidFill>
            <a:latin typeface="American Typewriter" panose="02090604020004020304" pitchFamily="18" charset="77"/>
            <a:ea typeface="Ayuthaya" pitchFamily="2" charset="-34"/>
            <a:cs typeface="Ayuthaya" pitchFamily="2" charset="-34"/>
          </a:endParaRPr>
        </a:p>
      </xdr:txBody>
    </xdr:sp>
    <xdr:clientData/>
  </xdr:twoCellAnchor>
  <xdr:twoCellAnchor>
    <xdr:from>
      <xdr:col>11</xdr:col>
      <xdr:colOff>0</xdr:colOff>
      <xdr:row>15</xdr:row>
      <xdr:rowOff>0</xdr:rowOff>
    </xdr:from>
    <xdr:to>
      <xdr:col>13</xdr:col>
      <xdr:colOff>0</xdr:colOff>
      <xdr:row>18</xdr:row>
      <xdr:rowOff>0</xdr:rowOff>
    </xdr:to>
    <xdr:sp macro="" textlink="'Pivot Tables'!S28">
      <xdr:nvSpPr>
        <xdr:cNvPr id="59" name="TextBox 58">
          <a:extLst>
            <a:ext uri="{FF2B5EF4-FFF2-40B4-BE49-F238E27FC236}">
              <a16:creationId xmlns:a16="http://schemas.microsoft.com/office/drawing/2014/main" id="{896A9CDB-78B8-5F42-995B-B31A9070EF44}"/>
            </a:ext>
          </a:extLst>
        </xdr:cNvPr>
        <xdr:cNvSpPr txBox="1"/>
      </xdr:nvSpPr>
      <xdr:spPr>
        <a:xfrm>
          <a:off x="9080500" y="3048000"/>
          <a:ext cx="165100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4A7C1DD-8A10-FF4A-A418-192D4EDDA8A3}" type="TxLink">
            <a:rPr lang="en-US" sz="2800" b="0" i="0" u="none" strike="noStrike">
              <a:solidFill>
                <a:schemeClr val="bg2">
                  <a:lumMod val="75000"/>
                </a:schemeClr>
              </a:solidFill>
              <a:latin typeface="American Typewriter" panose="02090604020004020304" pitchFamily="18" charset="77"/>
              <a:ea typeface="Ayuthaya" pitchFamily="2" charset="-34"/>
              <a:cs typeface="Ayuthaya" pitchFamily="2" charset="-34"/>
            </a:rPr>
            <a:pPr/>
            <a:t>Asian</a:t>
          </a:fld>
          <a:endParaRPr lang="en-GB" sz="2800">
            <a:solidFill>
              <a:schemeClr val="bg2">
                <a:lumMod val="75000"/>
              </a:schemeClr>
            </a:solidFill>
            <a:latin typeface="American Typewriter" panose="02090604020004020304" pitchFamily="18" charset="77"/>
            <a:ea typeface="Ayuthaya" pitchFamily="2" charset="-34"/>
            <a:cs typeface="Ayuthaya" pitchFamily="2" charset="-34"/>
          </a:endParaRPr>
        </a:p>
      </xdr:txBody>
    </xdr:sp>
    <xdr:clientData/>
  </xdr:twoCellAnchor>
  <xdr:twoCellAnchor>
    <xdr:from>
      <xdr:col>13</xdr:col>
      <xdr:colOff>0</xdr:colOff>
      <xdr:row>15</xdr:row>
      <xdr:rowOff>0</xdr:rowOff>
    </xdr:from>
    <xdr:to>
      <xdr:col>15</xdr:col>
      <xdr:colOff>0</xdr:colOff>
      <xdr:row>17</xdr:row>
      <xdr:rowOff>123391</xdr:rowOff>
    </xdr:to>
    <xdr:sp macro="" textlink="'Pivot Tables'!T28">
      <xdr:nvSpPr>
        <xdr:cNvPr id="60" name="TextBox 59">
          <a:extLst>
            <a:ext uri="{FF2B5EF4-FFF2-40B4-BE49-F238E27FC236}">
              <a16:creationId xmlns:a16="http://schemas.microsoft.com/office/drawing/2014/main" id="{562B57EE-7582-FE46-A088-F35B5E9B5AD1}"/>
            </a:ext>
          </a:extLst>
        </xdr:cNvPr>
        <xdr:cNvSpPr txBox="1"/>
      </xdr:nvSpPr>
      <xdr:spPr>
        <a:xfrm>
          <a:off x="10731500" y="3048000"/>
          <a:ext cx="1651000" cy="529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00A2004-49D0-8A45-A337-6D9C74E17BB6}" type="TxLink">
            <a:rPr lang="en-US" sz="2800" b="0" i="0" u="none" strike="noStrike">
              <a:solidFill>
                <a:srgbClr val="000000"/>
              </a:solidFill>
              <a:latin typeface="American Typewriter" panose="02090604020004020304" pitchFamily="18" charset="77"/>
              <a:ea typeface="Ayuthaya" pitchFamily="2" charset="-34"/>
              <a:cs typeface="Ayuthaya" pitchFamily="2" charset="-34"/>
            </a:rPr>
            <a:pPr algn="l"/>
            <a:t>26</a:t>
          </a:fld>
          <a:endParaRPr lang="en-GB" sz="2800">
            <a:solidFill>
              <a:schemeClr val="bg1">
                <a:lumMod val="65000"/>
              </a:schemeClr>
            </a:solidFill>
            <a:latin typeface="American Typewriter" panose="02090604020004020304" pitchFamily="18" charset="77"/>
            <a:ea typeface="Ayuthaya" pitchFamily="2" charset="-34"/>
            <a:cs typeface="Ayuthaya" pitchFamily="2" charset="-34"/>
          </a:endParaRPr>
        </a:p>
      </xdr:txBody>
    </xdr:sp>
    <xdr:clientData/>
  </xdr:twoCellAnchor>
  <xdr:twoCellAnchor>
    <xdr:from>
      <xdr:col>11</xdr:col>
      <xdr:colOff>0</xdr:colOff>
      <xdr:row>17</xdr:row>
      <xdr:rowOff>88900</xdr:rowOff>
    </xdr:from>
    <xdr:to>
      <xdr:col>13</xdr:col>
      <xdr:colOff>0</xdr:colOff>
      <xdr:row>20</xdr:row>
      <xdr:rowOff>88900</xdr:rowOff>
    </xdr:to>
    <xdr:sp macro="" textlink="'Pivot Tables'!S29">
      <xdr:nvSpPr>
        <xdr:cNvPr id="61" name="TextBox 60">
          <a:extLst>
            <a:ext uri="{FF2B5EF4-FFF2-40B4-BE49-F238E27FC236}">
              <a16:creationId xmlns:a16="http://schemas.microsoft.com/office/drawing/2014/main" id="{B290C3C6-2AC5-544C-BE51-31FE0DD8DBF6}"/>
            </a:ext>
          </a:extLst>
        </xdr:cNvPr>
        <xdr:cNvSpPr txBox="1"/>
      </xdr:nvSpPr>
      <xdr:spPr>
        <a:xfrm>
          <a:off x="9080500" y="3543300"/>
          <a:ext cx="165100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B16C97-D879-9C41-9AEB-969EBED672FB}" type="TxLink">
            <a:rPr lang="en-US" sz="2800" b="0" i="0" u="none" strike="noStrike">
              <a:solidFill>
                <a:schemeClr val="bg2">
                  <a:lumMod val="75000"/>
                </a:schemeClr>
              </a:solidFill>
              <a:latin typeface="American Typewriter" panose="02090604020004020304" pitchFamily="18" charset="77"/>
              <a:ea typeface="Ayuthaya" pitchFamily="2" charset="-34"/>
              <a:cs typeface="Ayuthaya" pitchFamily="2" charset="-34"/>
            </a:rPr>
            <a:pPr/>
            <a:t>Other</a:t>
          </a:fld>
          <a:endParaRPr lang="en-GB" sz="2800">
            <a:solidFill>
              <a:schemeClr val="bg2">
                <a:lumMod val="75000"/>
              </a:schemeClr>
            </a:solidFill>
            <a:latin typeface="American Typewriter" panose="02090604020004020304" pitchFamily="18" charset="77"/>
            <a:ea typeface="Ayuthaya" pitchFamily="2" charset="-34"/>
            <a:cs typeface="Ayuthaya" pitchFamily="2" charset="-34"/>
          </a:endParaRPr>
        </a:p>
      </xdr:txBody>
    </xdr:sp>
    <xdr:clientData/>
  </xdr:twoCellAnchor>
  <xdr:twoCellAnchor>
    <xdr:from>
      <xdr:col>13</xdr:col>
      <xdr:colOff>0</xdr:colOff>
      <xdr:row>17</xdr:row>
      <xdr:rowOff>79809</xdr:rowOff>
    </xdr:from>
    <xdr:to>
      <xdr:col>15</xdr:col>
      <xdr:colOff>0</xdr:colOff>
      <xdr:row>20</xdr:row>
      <xdr:rowOff>0</xdr:rowOff>
    </xdr:to>
    <xdr:sp macro="" textlink="'Pivot Tables'!T29">
      <xdr:nvSpPr>
        <xdr:cNvPr id="62" name="TextBox 61">
          <a:extLst>
            <a:ext uri="{FF2B5EF4-FFF2-40B4-BE49-F238E27FC236}">
              <a16:creationId xmlns:a16="http://schemas.microsoft.com/office/drawing/2014/main" id="{7681A59C-9DD8-9847-9B9A-AC63FCAAFD49}"/>
            </a:ext>
          </a:extLst>
        </xdr:cNvPr>
        <xdr:cNvSpPr txBox="1"/>
      </xdr:nvSpPr>
      <xdr:spPr>
        <a:xfrm>
          <a:off x="10731500" y="3534209"/>
          <a:ext cx="1651000" cy="529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71B6370-1C38-6444-8EB4-9125EA8AA184}" type="TxLink">
            <a:rPr lang="en-US" sz="2800" b="0" i="0" u="none" strike="noStrike">
              <a:solidFill>
                <a:schemeClr val="tx1"/>
              </a:solidFill>
              <a:latin typeface="American Typewriter" panose="02090604020004020304" pitchFamily="18" charset="77"/>
              <a:ea typeface="Ayuthaya" pitchFamily="2" charset="-34"/>
              <a:cs typeface="Ayuthaya" pitchFamily="2" charset="-34"/>
            </a:rPr>
            <a:pPr algn="l"/>
            <a:t>14</a:t>
          </a:fld>
          <a:endParaRPr lang="en-GB" sz="5400">
            <a:solidFill>
              <a:schemeClr val="tx1"/>
            </a:solidFill>
            <a:latin typeface="American Typewriter" panose="02090604020004020304" pitchFamily="18" charset="77"/>
            <a:ea typeface="Ayuthaya" pitchFamily="2" charset="-34"/>
            <a:cs typeface="Ayuthaya" pitchFamily="2" charset="-34"/>
          </a:endParaRPr>
        </a:p>
      </xdr:txBody>
    </xdr:sp>
    <xdr:clientData/>
  </xdr:twoCellAnchor>
  <xdr:twoCellAnchor>
    <xdr:from>
      <xdr:col>17</xdr:col>
      <xdr:colOff>0</xdr:colOff>
      <xdr:row>11</xdr:row>
      <xdr:rowOff>0</xdr:rowOff>
    </xdr:from>
    <xdr:to>
      <xdr:col>19</xdr:col>
      <xdr:colOff>0</xdr:colOff>
      <xdr:row>13</xdr:row>
      <xdr:rowOff>123391</xdr:rowOff>
    </xdr:to>
    <xdr:sp macro="" textlink="'Pivot Tables'!S39">
      <xdr:nvSpPr>
        <xdr:cNvPr id="66" name="TextBox 65">
          <a:extLst>
            <a:ext uri="{FF2B5EF4-FFF2-40B4-BE49-F238E27FC236}">
              <a16:creationId xmlns:a16="http://schemas.microsoft.com/office/drawing/2014/main" id="{E79158EF-EEF9-834E-A043-649BA0F2450F}"/>
            </a:ext>
          </a:extLst>
        </xdr:cNvPr>
        <xdr:cNvSpPr txBox="1"/>
      </xdr:nvSpPr>
      <xdr:spPr>
        <a:xfrm>
          <a:off x="14033500" y="2235200"/>
          <a:ext cx="1651000" cy="529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3EBC2AF-ABBE-4F49-B87A-AA1E995D824E}" type="TxLink">
            <a:rPr lang="en-US" sz="2800" b="0" i="0" u="none" strike="noStrike">
              <a:solidFill>
                <a:schemeClr val="bg1"/>
              </a:solidFill>
              <a:latin typeface="American Typewriter" panose="02090604020004020304" pitchFamily="18" charset="77"/>
              <a:ea typeface="Ayuthaya" pitchFamily="2" charset="-34"/>
              <a:cs typeface="Ayuthaya" pitchFamily="2" charset="-34"/>
            </a:rPr>
            <a:pPr algn="l"/>
            <a:t>159</a:t>
          </a:fld>
          <a:endParaRPr lang="en-GB" sz="2800">
            <a:solidFill>
              <a:schemeClr val="bg1"/>
            </a:solidFill>
            <a:latin typeface="American Typewriter" panose="02090604020004020304" pitchFamily="18" charset="77"/>
            <a:ea typeface="Ayuthaya" pitchFamily="2" charset="-34"/>
            <a:cs typeface="Ayuthaya" pitchFamily="2" charset="-34"/>
          </a:endParaRPr>
        </a:p>
      </xdr:txBody>
    </xdr:sp>
    <xdr:clientData/>
  </xdr:twoCellAnchor>
  <xdr:twoCellAnchor>
    <xdr:from>
      <xdr:col>19</xdr:col>
      <xdr:colOff>419100</xdr:colOff>
      <xdr:row>11</xdr:row>
      <xdr:rowOff>88900</xdr:rowOff>
    </xdr:from>
    <xdr:to>
      <xdr:col>21</xdr:col>
      <xdr:colOff>419100</xdr:colOff>
      <xdr:row>14</xdr:row>
      <xdr:rowOff>9091</xdr:rowOff>
    </xdr:to>
    <xdr:sp macro="" textlink="'Pivot Tables'!S43">
      <xdr:nvSpPr>
        <xdr:cNvPr id="67" name="TextBox 66">
          <a:extLst>
            <a:ext uri="{FF2B5EF4-FFF2-40B4-BE49-F238E27FC236}">
              <a16:creationId xmlns:a16="http://schemas.microsoft.com/office/drawing/2014/main" id="{CA1B7B25-9727-C748-8952-CAF59E1B0D2B}"/>
            </a:ext>
          </a:extLst>
        </xdr:cNvPr>
        <xdr:cNvSpPr txBox="1"/>
      </xdr:nvSpPr>
      <xdr:spPr>
        <a:xfrm>
          <a:off x="16103600" y="2324100"/>
          <a:ext cx="1651000" cy="529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209808A-2D99-6B46-8B39-ADCBAF641FAD}" type="TxLink">
            <a:rPr lang="en-US" sz="2800" b="0" i="0" u="none" strike="noStrike">
              <a:solidFill>
                <a:schemeClr val="bg1"/>
              </a:solidFill>
              <a:latin typeface="American Typewriter" panose="02090604020004020304" pitchFamily="18" charset="77"/>
              <a:ea typeface="Ayuthaya" pitchFamily="2" charset="-34"/>
              <a:cs typeface="Ayuthaya" pitchFamily="2" charset="-34"/>
            </a:rPr>
            <a:pPr algn="l"/>
            <a:t>51</a:t>
          </a:fld>
          <a:endParaRPr lang="en-GB" sz="5400">
            <a:solidFill>
              <a:schemeClr val="bg1"/>
            </a:solidFill>
            <a:latin typeface="American Typewriter" panose="02090604020004020304" pitchFamily="18" charset="77"/>
            <a:ea typeface="Ayuthaya" pitchFamily="2" charset="-34"/>
            <a:cs typeface="Ayuthaya" pitchFamily="2" charset="-34"/>
          </a:endParaRPr>
        </a:p>
      </xdr:txBody>
    </xdr:sp>
    <xdr:clientData/>
  </xdr:twoCellAnchor>
  <xdr:twoCellAnchor>
    <xdr:from>
      <xdr:col>10</xdr:col>
      <xdr:colOff>253539</xdr:colOff>
      <xdr:row>23</xdr:row>
      <xdr:rowOff>0</xdr:rowOff>
    </xdr:from>
    <xdr:to>
      <xdr:col>16</xdr:col>
      <xdr:colOff>0</xdr:colOff>
      <xdr:row>43</xdr:row>
      <xdr:rowOff>38100</xdr:rowOff>
    </xdr:to>
    <xdr:sp macro="" textlink="">
      <xdr:nvSpPr>
        <xdr:cNvPr id="70" name="Rounded Rectangle 69">
          <a:extLst>
            <a:ext uri="{FF2B5EF4-FFF2-40B4-BE49-F238E27FC236}">
              <a16:creationId xmlns:a16="http://schemas.microsoft.com/office/drawing/2014/main" id="{9C618927-CC3F-CA47-843B-C32BAA49D4AC}"/>
            </a:ext>
          </a:extLst>
        </xdr:cNvPr>
        <xdr:cNvSpPr/>
      </xdr:nvSpPr>
      <xdr:spPr>
        <a:xfrm>
          <a:off x="8508539" y="4673600"/>
          <a:ext cx="4699461" cy="41021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solidFill>
                <a:schemeClr val="tx1"/>
              </a:solidFill>
              <a:latin typeface="American Typewriter" panose="02090604020004020304" pitchFamily="18" charset="77"/>
            </a:rPr>
            <a:t>Ethnicity Distribution</a:t>
          </a:r>
        </a:p>
      </xdr:txBody>
    </xdr:sp>
    <xdr:clientData/>
  </xdr:twoCellAnchor>
  <xdr:twoCellAnchor>
    <xdr:from>
      <xdr:col>16</xdr:col>
      <xdr:colOff>279400</xdr:colOff>
      <xdr:row>23</xdr:row>
      <xdr:rowOff>0</xdr:rowOff>
    </xdr:from>
    <xdr:to>
      <xdr:col>21</xdr:col>
      <xdr:colOff>25861</xdr:colOff>
      <xdr:row>42</xdr:row>
      <xdr:rowOff>127000</xdr:rowOff>
    </xdr:to>
    <xdr:sp macro="" textlink="">
      <xdr:nvSpPr>
        <xdr:cNvPr id="71" name="Rounded Rectangle 70">
          <a:extLst>
            <a:ext uri="{FF2B5EF4-FFF2-40B4-BE49-F238E27FC236}">
              <a16:creationId xmlns:a16="http://schemas.microsoft.com/office/drawing/2014/main" id="{74065B49-DAF0-9842-A1D0-966FFD0F605B}"/>
            </a:ext>
          </a:extLst>
        </xdr:cNvPr>
        <xdr:cNvSpPr/>
      </xdr:nvSpPr>
      <xdr:spPr>
        <a:xfrm>
          <a:off x="13487400" y="4673600"/>
          <a:ext cx="3873961" cy="39878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solidFill>
                <a:schemeClr val="tx1"/>
              </a:solidFill>
              <a:latin typeface="American Typewriter" panose="02090604020004020304" pitchFamily="18" charset="77"/>
            </a:rPr>
            <a:t>Key Notes</a:t>
          </a:r>
        </a:p>
      </xdr:txBody>
    </xdr:sp>
    <xdr:clientData/>
  </xdr:twoCellAnchor>
  <xdr:twoCellAnchor>
    <xdr:from>
      <xdr:col>3</xdr:col>
      <xdr:colOff>472776</xdr:colOff>
      <xdr:row>26</xdr:row>
      <xdr:rowOff>0</xdr:rowOff>
    </xdr:from>
    <xdr:to>
      <xdr:col>9</xdr:col>
      <xdr:colOff>774700</xdr:colOff>
      <xdr:row>40</xdr:row>
      <xdr:rowOff>190500</xdr:rowOff>
    </xdr:to>
    <xdr:graphicFrame macro="">
      <xdr:nvGraphicFramePr>
        <xdr:cNvPr id="72" name="Chart 71">
          <a:extLst>
            <a:ext uri="{FF2B5EF4-FFF2-40B4-BE49-F238E27FC236}">
              <a16:creationId xmlns:a16="http://schemas.microsoft.com/office/drawing/2014/main" id="{3B6CF64A-260E-EA43-BDCE-8A1FB1321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444500</xdr:colOff>
      <xdr:row>24</xdr:row>
      <xdr:rowOff>105434</xdr:rowOff>
    </xdr:from>
    <xdr:to>
      <xdr:col>16</xdr:col>
      <xdr:colOff>609600</xdr:colOff>
      <xdr:row>43</xdr:row>
      <xdr:rowOff>0</xdr:rowOff>
    </xdr:to>
    <xdr:graphicFrame macro="">
      <xdr:nvGraphicFramePr>
        <xdr:cNvPr id="73" name="Chart 72">
          <a:extLst>
            <a:ext uri="{FF2B5EF4-FFF2-40B4-BE49-F238E27FC236}">
              <a16:creationId xmlns:a16="http://schemas.microsoft.com/office/drawing/2014/main" id="{13B6F52C-BDE3-AD4C-8238-813C1A9DC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647700</xdr:colOff>
      <xdr:row>27</xdr:row>
      <xdr:rowOff>12700</xdr:rowOff>
    </xdr:from>
    <xdr:to>
      <xdr:col>20</xdr:col>
      <xdr:colOff>647700</xdr:colOff>
      <xdr:row>41</xdr:row>
      <xdr:rowOff>12700</xdr:rowOff>
    </xdr:to>
    <xdr:sp macro="" textlink="">
      <xdr:nvSpPr>
        <xdr:cNvPr id="74" name="TextBox 73">
          <a:extLst>
            <a:ext uri="{FF2B5EF4-FFF2-40B4-BE49-F238E27FC236}">
              <a16:creationId xmlns:a16="http://schemas.microsoft.com/office/drawing/2014/main" id="{06AAF6E3-FFC5-529B-0AEE-E8521D4D2D86}"/>
            </a:ext>
          </a:extLst>
        </xdr:cNvPr>
        <xdr:cNvSpPr txBox="1"/>
      </xdr:nvSpPr>
      <xdr:spPr>
        <a:xfrm>
          <a:off x="13855700" y="5499100"/>
          <a:ext cx="3302000" cy="284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2000">
              <a:latin typeface="American Typewriter" panose="02090604020004020304" pitchFamily="18" charset="77"/>
            </a:rPr>
            <a:t>- 57 % of clients are  Black, african or caribbean. </a:t>
          </a:r>
        </a:p>
        <a:p>
          <a:pPr algn="l"/>
          <a:r>
            <a:rPr lang="en-GB" sz="2000">
              <a:latin typeface="American Typewriter" panose="02090604020004020304" pitchFamily="18" charset="77"/>
            </a:rPr>
            <a:t>- 75% of clients are from the BAME community</a:t>
          </a:r>
        </a:p>
        <a:p>
          <a:pPr algn="l"/>
          <a:r>
            <a:rPr lang="en-GB" sz="2000">
              <a:latin typeface="American Typewriter" panose="02090604020004020304" pitchFamily="18" charset="77"/>
            </a:rPr>
            <a:t>-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60</xdr:col>
      <xdr:colOff>762000</xdr:colOff>
      <xdr:row>5</xdr:row>
      <xdr:rowOff>7186</xdr:rowOff>
    </xdr:to>
    <xdr:sp macro="" textlink="">
      <xdr:nvSpPr>
        <xdr:cNvPr id="5" name="Rectangle 4">
          <a:extLst>
            <a:ext uri="{FF2B5EF4-FFF2-40B4-BE49-F238E27FC236}">
              <a16:creationId xmlns:a16="http://schemas.microsoft.com/office/drawing/2014/main" id="{86A9D8E5-3103-6046-9FF2-6E1C62A0E217}"/>
            </a:ext>
          </a:extLst>
        </xdr:cNvPr>
        <xdr:cNvSpPr/>
      </xdr:nvSpPr>
      <xdr:spPr>
        <a:xfrm>
          <a:off x="0" y="0"/>
          <a:ext cx="50292000" cy="102318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200">
            <a:solidFill>
              <a:schemeClr val="bg1"/>
            </a:solidFill>
          </a:endParaRPr>
        </a:p>
      </xdr:txBody>
    </xdr:sp>
    <xdr:clientData/>
  </xdr:twoCellAnchor>
  <xdr:twoCellAnchor>
    <xdr:from>
      <xdr:col>0</xdr:col>
      <xdr:colOff>0</xdr:colOff>
      <xdr:row>5</xdr:row>
      <xdr:rowOff>1</xdr:rowOff>
    </xdr:from>
    <xdr:to>
      <xdr:col>3</xdr:col>
      <xdr:colOff>14598</xdr:colOff>
      <xdr:row>94</xdr:row>
      <xdr:rowOff>1</xdr:rowOff>
    </xdr:to>
    <xdr:sp macro="" textlink="">
      <xdr:nvSpPr>
        <xdr:cNvPr id="6" name="Rectangle 5">
          <a:extLst>
            <a:ext uri="{FF2B5EF4-FFF2-40B4-BE49-F238E27FC236}">
              <a16:creationId xmlns:a16="http://schemas.microsoft.com/office/drawing/2014/main" id="{5EF28B0A-6A01-0441-831E-EAE649003801}"/>
            </a:ext>
          </a:extLst>
        </xdr:cNvPr>
        <xdr:cNvSpPr/>
      </xdr:nvSpPr>
      <xdr:spPr>
        <a:xfrm>
          <a:off x="0" y="1016001"/>
          <a:ext cx="2491098" cy="180848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rgbClr val="DABD63"/>
            </a:solidFill>
          </a:endParaRPr>
        </a:p>
      </xdr:txBody>
    </xdr:sp>
    <xdr:clientData/>
  </xdr:twoCellAnchor>
  <xdr:twoCellAnchor>
    <xdr:from>
      <xdr:col>16</xdr:col>
      <xdr:colOff>508000</xdr:colOff>
      <xdr:row>0</xdr:row>
      <xdr:rowOff>122594</xdr:rowOff>
    </xdr:from>
    <xdr:to>
      <xdr:col>21</xdr:col>
      <xdr:colOff>0</xdr:colOff>
      <xdr:row>4</xdr:row>
      <xdr:rowOff>190500</xdr:rowOff>
    </xdr:to>
    <xdr:sp macro="" textlink="">
      <xdr:nvSpPr>
        <xdr:cNvPr id="7" name="TextBox 6">
          <a:extLst>
            <a:ext uri="{FF2B5EF4-FFF2-40B4-BE49-F238E27FC236}">
              <a16:creationId xmlns:a16="http://schemas.microsoft.com/office/drawing/2014/main" id="{CE50F2EB-ADB9-DD43-9AEA-37EBBBEA00AD}"/>
            </a:ext>
          </a:extLst>
        </xdr:cNvPr>
        <xdr:cNvSpPr txBox="1"/>
      </xdr:nvSpPr>
      <xdr:spPr>
        <a:xfrm>
          <a:off x="13716000" y="122594"/>
          <a:ext cx="3619500" cy="880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a:t>Last</a:t>
          </a:r>
          <a:r>
            <a:rPr lang="en-GB" sz="2400" baseline="0"/>
            <a:t> update</a:t>
          </a:r>
        </a:p>
        <a:p>
          <a:pPr algn="ctr"/>
          <a:r>
            <a:rPr lang="en-GB" sz="2400" baseline="0">
              <a:solidFill>
                <a:schemeClr val="accent1">
                  <a:lumMod val="60000"/>
                  <a:lumOff val="40000"/>
                </a:schemeClr>
              </a:solidFill>
            </a:rPr>
            <a:t>March 4th 2025</a:t>
          </a:r>
          <a:endParaRPr lang="en-GB" sz="2400">
            <a:solidFill>
              <a:schemeClr val="accent1">
                <a:lumMod val="60000"/>
                <a:lumOff val="40000"/>
              </a:schemeClr>
            </a:solidFill>
          </a:endParaRPr>
        </a:p>
      </xdr:txBody>
    </xdr:sp>
    <xdr:clientData/>
  </xdr:twoCellAnchor>
  <xdr:twoCellAnchor>
    <xdr:from>
      <xdr:col>15</xdr:col>
      <xdr:colOff>677334</xdr:colOff>
      <xdr:row>0</xdr:row>
      <xdr:rowOff>21166</xdr:rowOff>
    </xdr:from>
    <xdr:to>
      <xdr:col>15</xdr:col>
      <xdr:colOff>687917</xdr:colOff>
      <xdr:row>5</xdr:row>
      <xdr:rowOff>31749</xdr:rowOff>
    </xdr:to>
    <xdr:cxnSp macro="">
      <xdr:nvCxnSpPr>
        <xdr:cNvPr id="8" name="Straight Connector 7">
          <a:extLst>
            <a:ext uri="{FF2B5EF4-FFF2-40B4-BE49-F238E27FC236}">
              <a16:creationId xmlns:a16="http://schemas.microsoft.com/office/drawing/2014/main" id="{140E6B91-707C-3E49-BBF0-7DA12E21D0A3}"/>
            </a:ext>
          </a:extLst>
        </xdr:cNvPr>
        <xdr:cNvCxnSpPr/>
      </xdr:nvCxnSpPr>
      <xdr:spPr>
        <a:xfrm>
          <a:off x="13059834" y="21166"/>
          <a:ext cx="10583" cy="102658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199508</xdr:colOff>
      <xdr:row>13</xdr:row>
      <xdr:rowOff>182965</xdr:rowOff>
    </xdr:from>
    <xdr:to>
      <xdr:col>14</xdr:col>
      <xdr:colOff>442231</xdr:colOff>
      <xdr:row>26</xdr:row>
      <xdr:rowOff>56696</xdr:rowOff>
    </xdr:to>
    <xdr:sp macro="" textlink="">
      <xdr:nvSpPr>
        <xdr:cNvPr id="19" name="Rounded Rectangle 18">
          <a:extLst>
            <a:ext uri="{FF2B5EF4-FFF2-40B4-BE49-F238E27FC236}">
              <a16:creationId xmlns:a16="http://schemas.microsoft.com/office/drawing/2014/main" id="{95367DD4-0999-AE7F-D531-DBB4E651073A}"/>
            </a:ext>
          </a:extLst>
        </xdr:cNvPr>
        <xdr:cNvSpPr/>
      </xdr:nvSpPr>
      <xdr:spPr>
        <a:xfrm>
          <a:off x="2682812" y="2836358"/>
          <a:ext cx="9348169" cy="252712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solidFill>
                <a:schemeClr val="tx1"/>
              </a:solidFill>
              <a:latin typeface="American Typewriter" panose="02090604020004020304" pitchFamily="18" charset="77"/>
            </a:rPr>
            <a:t>Counsellor/Client Status Table</a:t>
          </a:r>
        </a:p>
      </xdr:txBody>
    </xdr:sp>
    <xdr:clientData/>
  </xdr:twoCellAnchor>
  <xdr:twoCellAnchor>
    <xdr:from>
      <xdr:col>3</xdr:col>
      <xdr:colOff>190500</xdr:colOff>
      <xdr:row>26</xdr:row>
      <xdr:rowOff>101600</xdr:rowOff>
    </xdr:from>
    <xdr:to>
      <xdr:col>12</xdr:col>
      <xdr:colOff>215900</xdr:colOff>
      <xdr:row>40</xdr:row>
      <xdr:rowOff>114300</xdr:rowOff>
    </xdr:to>
    <xdr:sp macro="" textlink="">
      <xdr:nvSpPr>
        <xdr:cNvPr id="21" name="Rounded Rectangle 20">
          <a:extLst>
            <a:ext uri="{FF2B5EF4-FFF2-40B4-BE49-F238E27FC236}">
              <a16:creationId xmlns:a16="http://schemas.microsoft.com/office/drawing/2014/main" id="{21462AB4-8787-8C41-B89F-8D5AAD458BDD}"/>
            </a:ext>
          </a:extLst>
        </xdr:cNvPr>
        <xdr:cNvSpPr/>
      </xdr:nvSpPr>
      <xdr:spPr>
        <a:xfrm>
          <a:off x="2667000" y="5384800"/>
          <a:ext cx="7454900" cy="28575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800">
              <a:solidFill>
                <a:schemeClr val="tx1"/>
              </a:solidFill>
              <a:latin typeface="American Typewriter" panose="02090604020004020304" pitchFamily="18" charset="77"/>
            </a:rPr>
            <a:t>Total Clients assigned to counsellor</a:t>
          </a:r>
        </a:p>
      </xdr:txBody>
    </xdr:sp>
    <xdr:clientData/>
  </xdr:twoCellAnchor>
  <xdr:twoCellAnchor>
    <xdr:from>
      <xdr:col>12</xdr:col>
      <xdr:colOff>406400</xdr:colOff>
      <xdr:row>26</xdr:row>
      <xdr:rowOff>101600</xdr:rowOff>
    </xdr:from>
    <xdr:to>
      <xdr:col>21</xdr:col>
      <xdr:colOff>431800</xdr:colOff>
      <xdr:row>40</xdr:row>
      <xdr:rowOff>114300</xdr:rowOff>
    </xdr:to>
    <xdr:sp macro="" textlink="">
      <xdr:nvSpPr>
        <xdr:cNvPr id="26" name="Rounded Rectangle 25">
          <a:extLst>
            <a:ext uri="{FF2B5EF4-FFF2-40B4-BE49-F238E27FC236}">
              <a16:creationId xmlns:a16="http://schemas.microsoft.com/office/drawing/2014/main" id="{DF333DE1-74EE-0746-876F-F6F4E29A79FE}"/>
            </a:ext>
          </a:extLst>
        </xdr:cNvPr>
        <xdr:cNvSpPr/>
      </xdr:nvSpPr>
      <xdr:spPr>
        <a:xfrm>
          <a:off x="10312400" y="5384800"/>
          <a:ext cx="7454900" cy="28575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2800">
              <a:solidFill>
                <a:schemeClr val="tx1"/>
              </a:solidFill>
              <a:latin typeface="American Typewriter" panose="02090604020004020304" pitchFamily="18" charset="77"/>
            </a:rPr>
            <a:t>Notes</a:t>
          </a:r>
        </a:p>
        <a:p>
          <a:pPr algn="ctr"/>
          <a:endParaRPr lang="en-GB" sz="2800">
            <a:solidFill>
              <a:schemeClr val="tx1"/>
            </a:solidFill>
            <a:latin typeface="American Typewriter" panose="02090604020004020304" pitchFamily="18" charset="77"/>
          </a:endParaRPr>
        </a:p>
      </xdr:txBody>
    </xdr:sp>
    <xdr:clientData/>
  </xdr:twoCellAnchor>
  <xdr:twoCellAnchor editAs="oneCell">
    <xdr:from>
      <xdr:col>0</xdr:col>
      <xdr:colOff>38100</xdr:colOff>
      <xdr:row>25</xdr:row>
      <xdr:rowOff>202340</xdr:rowOff>
    </xdr:from>
    <xdr:to>
      <xdr:col>3</xdr:col>
      <xdr:colOff>12700</xdr:colOff>
      <xdr:row>44</xdr:row>
      <xdr:rowOff>150679</xdr:rowOff>
    </xdr:to>
    <mc:AlternateContent xmlns:mc="http://schemas.openxmlformats.org/markup-compatibility/2006">
      <mc:Choice xmlns:a14="http://schemas.microsoft.com/office/drawing/2010/main" Requires="a14">
        <xdr:graphicFrame macro="">
          <xdr:nvGraphicFramePr>
            <xdr:cNvPr id="28" name="Months (Date Referred) 4">
              <a:extLst>
                <a:ext uri="{FF2B5EF4-FFF2-40B4-BE49-F238E27FC236}">
                  <a16:creationId xmlns:a16="http://schemas.microsoft.com/office/drawing/2014/main" id="{E8845EE6-0EA3-3B42-8C0C-D14AF6E405F2}"/>
                </a:ext>
              </a:extLst>
            </xdr:cNvPr>
            <xdr:cNvGraphicFramePr/>
          </xdr:nvGraphicFramePr>
          <xdr:xfrm>
            <a:off x="0" y="0"/>
            <a:ext cx="0" cy="0"/>
          </xdr:xfrm>
          <a:graphic>
            <a:graphicData uri="http://schemas.microsoft.com/office/drawing/2010/slicer">
              <sle:slicer xmlns:sle="http://schemas.microsoft.com/office/drawing/2010/slicer" name="Months (Date Referred) 4"/>
            </a:graphicData>
          </a:graphic>
        </xdr:graphicFrame>
      </mc:Choice>
      <mc:Fallback>
        <xdr:sp macro="" textlink="">
          <xdr:nvSpPr>
            <xdr:cNvPr id="0" name=""/>
            <xdr:cNvSpPr>
              <a:spLocks noTextEdit="1"/>
            </xdr:cNvSpPr>
          </xdr:nvSpPr>
          <xdr:spPr>
            <a:xfrm>
              <a:off x="38100" y="5282340"/>
              <a:ext cx="2451100" cy="38091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88900</xdr:colOff>
      <xdr:row>1</xdr:row>
      <xdr:rowOff>101600</xdr:rowOff>
    </xdr:from>
    <xdr:to>
      <xdr:col>6</xdr:col>
      <xdr:colOff>0</xdr:colOff>
      <xdr:row>4</xdr:row>
      <xdr:rowOff>0</xdr:rowOff>
    </xdr:to>
    <xdr:sp macro="" textlink="">
      <xdr:nvSpPr>
        <xdr:cNvPr id="29" name="Rectangle 28">
          <a:hlinkClick xmlns:r="http://schemas.openxmlformats.org/officeDocument/2006/relationships" r:id="rId1" tooltip="Main Dashboard"/>
          <a:extLst>
            <a:ext uri="{FF2B5EF4-FFF2-40B4-BE49-F238E27FC236}">
              <a16:creationId xmlns:a16="http://schemas.microsoft.com/office/drawing/2014/main" id="{5146601D-03C6-7E42-98E0-85DE72AF4D1C}"/>
            </a:ext>
          </a:extLst>
        </xdr:cNvPr>
        <xdr:cNvSpPr/>
      </xdr:nvSpPr>
      <xdr:spPr>
        <a:xfrm>
          <a:off x="3390900" y="304800"/>
          <a:ext cx="1562100" cy="508000"/>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solidFill>
                <a:schemeClr val="bg1"/>
              </a:solidFill>
              <a:latin typeface="American Typewriter" panose="02090604020004020304" pitchFamily="18" charset="77"/>
            </a:rPr>
            <a:t>Home</a:t>
          </a:r>
          <a:endParaRPr lang="en-GB" sz="2800">
            <a:solidFill>
              <a:schemeClr val="bg1"/>
            </a:solidFill>
            <a:latin typeface="American Typewriter" panose="02090604020004020304" pitchFamily="18" charset="77"/>
          </a:endParaRPr>
        </a:p>
      </xdr:txBody>
    </xdr:sp>
    <xdr:clientData/>
  </xdr:twoCellAnchor>
  <xdr:twoCellAnchor>
    <xdr:from>
      <xdr:col>6</xdr:col>
      <xdr:colOff>431800</xdr:colOff>
      <xdr:row>1</xdr:row>
      <xdr:rowOff>101600</xdr:rowOff>
    </xdr:from>
    <xdr:to>
      <xdr:col>8</xdr:col>
      <xdr:colOff>431800</xdr:colOff>
      <xdr:row>4</xdr:row>
      <xdr:rowOff>0</xdr:rowOff>
    </xdr:to>
    <xdr:sp macro="" textlink="">
      <xdr:nvSpPr>
        <xdr:cNvPr id="30" name="Rectangle 29">
          <a:hlinkClick xmlns:r="http://schemas.openxmlformats.org/officeDocument/2006/relationships" r:id="rId2" tooltip="Age Dashboard"/>
          <a:extLst>
            <a:ext uri="{FF2B5EF4-FFF2-40B4-BE49-F238E27FC236}">
              <a16:creationId xmlns:a16="http://schemas.microsoft.com/office/drawing/2014/main" id="{0C52E3EC-6A90-F74C-9E6A-8ED53FC960C0}"/>
            </a:ext>
          </a:extLst>
        </xdr:cNvPr>
        <xdr:cNvSpPr/>
      </xdr:nvSpPr>
      <xdr:spPr>
        <a:xfrm>
          <a:off x="5384800" y="304800"/>
          <a:ext cx="1651000" cy="508000"/>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solidFill>
                <a:schemeClr val="bg1"/>
              </a:solidFill>
              <a:latin typeface="American Typewriter" panose="02090604020004020304" pitchFamily="18" charset="77"/>
            </a:rPr>
            <a:t>Age</a:t>
          </a:r>
          <a:endParaRPr lang="en-GB" sz="2800">
            <a:solidFill>
              <a:schemeClr val="bg1"/>
            </a:solidFill>
            <a:latin typeface="American Typewriter" panose="02090604020004020304" pitchFamily="18" charset="77"/>
          </a:endParaRPr>
        </a:p>
      </xdr:txBody>
    </xdr:sp>
    <xdr:clientData/>
  </xdr:twoCellAnchor>
  <xdr:twoCellAnchor>
    <xdr:from>
      <xdr:col>9</xdr:col>
      <xdr:colOff>266700</xdr:colOff>
      <xdr:row>1</xdr:row>
      <xdr:rowOff>101600</xdr:rowOff>
    </xdr:from>
    <xdr:to>
      <xdr:col>12</xdr:col>
      <xdr:colOff>0</xdr:colOff>
      <xdr:row>4</xdr:row>
      <xdr:rowOff>0</xdr:rowOff>
    </xdr:to>
    <xdr:sp macro="" textlink="">
      <xdr:nvSpPr>
        <xdr:cNvPr id="31" name="Rectangle 30">
          <a:hlinkClick xmlns:r="http://schemas.openxmlformats.org/officeDocument/2006/relationships" r:id="rId3"/>
          <a:extLst>
            <a:ext uri="{FF2B5EF4-FFF2-40B4-BE49-F238E27FC236}">
              <a16:creationId xmlns:a16="http://schemas.microsoft.com/office/drawing/2014/main" id="{3F934CD9-EFAC-7C4E-AE70-F949DFBD393E}"/>
            </a:ext>
          </a:extLst>
        </xdr:cNvPr>
        <xdr:cNvSpPr/>
      </xdr:nvSpPr>
      <xdr:spPr>
        <a:xfrm>
          <a:off x="7696200" y="304800"/>
          <a:ext cx="2209800" cy="508000"/>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solidFill>
                <a:schemeClr val="bg1"/>
              </a:solidFill>
              <a:latin typeface="American Typewriter" panose="02090604020004020304" pitchFamily="18" charset="77"/>
            </a:rPr>
            <a:t>Demographic</a:t>
          </a:r>
          <a:endParaRPr lang="en-GB" sz="2800">
            <a:solidFill>
              <a:schemeClr val="bg1"/>
            </a:solidFill>
            <a:latin typeface="American Typewriter" panose="02090604020004020304" pitchFamily="18" charset="77"/>
          </a:endParaRPr>
        </a:p>
      </xdr:txBody>
    </xdr:sp>
    <xdr:clientData/>
  </xdr:twoCellAnchor>
  <xdr:twoCellAnchor>
    <xdr:from>
      <xdr:col>12</xdr:col>
      <xdr:colOff>609600</xdr:colOff>
      <xdr:row>1</xdr:row>
      <xdr:rowOff>101600</xdr:rowOff>
    </xdr:from>
    <xdr:to>
      <xdr:col>15</xdr:col>
      <xdr:colOff>342900</xdr:colOff>
      <xdr:row>4</xdr:row>
      <xdr:rowOff>0</xdr:rowOff>
    </xdr:to>
    <xdr:sp macro="" textlink="">
      <xdr:nvSpPr>
        <xdr:cNvPr id="32" name="Rectangle 31">
          <a:extLst>
            <a:ext uri="{FF2B5EF4-FFF2-40B4-BE49-F238E27FC236}">
              <a16:creationId xmlns:a16="http://schemas.microsoft.com/office/drawing/2014/main" id="{9258CAA1-3D85-9846-B94F-B2F1BE5043B4}"/>
            </a:ext>
          </a:extLst>
        </xdr:cNvPr>
        <xdr:cNvSpPr/>
      </xdr:nvSpPr>
      <xdr:spPr>
        <a:xfrm>
          <a:off x="10515600" y="304800"/>
          <a:ext cx="2209800" cy="508000"/>
        </a:xfrm>
        <a:prstGeom prst="rect">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solidFill>
                <a:schemeClr val="bg1"/>
              </a:solidFill>
              <a:latin typeface="American Typewriter" panose="02090604020004020304" pitchFamily="18" charset="77"/>
            </a:rPr>
            <a:t>Counsellors</a:t>
          </a:r>
        </a:p>
      </xdr:txBody>
    </xdr:sp>
    <xdr:clientData/>
  </xdr:twoCellAnchor>
  <xdr:twoCellAnchor>
    <xdr:from>
      <xdr:col>0</xdr:col>
      <xdr:colOff>0</xdr:colOff>
      <xdr:row>0</xdr:row>
      <xdr:rowOff>174636</xdr:rowOff>
    </xdr:from>
    <xdr:to>
      <xdr:col>3</xdr:col>
      <xdr:colOff>674416</xdr:colOff>
      <xdr:row>5</xdr:row>
      <xdr:rowOff>0</xdr:rowOff>
    </xdr:to>
    <xdr:sp macro="" textlink="">
      <xdr:nvSpPr>
        <xdr:cNvPr id="33" name="TextBox 32">
          <a:extLst>
            <a:ext uri="{FF2B5EF4-FFF2-40B4-BE49-F238E27FC236}">
              <a16:creationId xmlns:a16="http://schemas.microsoft.com/office/drawing/2014/main" id="{10ED1E5D-12CF-2A46-A583-6F49647247B3}"/>
            </a:ext>
          </a:extLst>
        </xdr:cNvPr>
        <xdr:cNvSpPr txBox="1"/>
      </xdr:nvSpPr>
      <xdr:spPr>
        <a:xfrm>
          <a:off x="0" y="174636"/>
          <a:ext cx="3150916" cy="841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2400" baseline="0">
              <a:latin typeface="American Typewriter" panose="02090604020004020304" pitchFamily="18" charset="77"/>
            </a:rPr>
            <a:t>Counselling Agency </a:t>
          </a:r>
          <a:r>
            <a:rPr lang="en-GB" sz="2400" baseline="0">
              <a:solidFill>
                <a:schemeClr val="accent1">
                  <a:lumMod val="60000"/>
                  <a:lumOff val="40000"/>
                </a:schemeClr>
              </a:solidFill>
              <a:latin typeface="American Typewriter" panose="02090604020004020304" pitchFamily="18" charset="77"/>
            </a:rPr>
            <a:t>Dashboard</a:t>
          </a:r>
          <a:endParaRPr lang="en-GB" sz="2000" baseline="0">
            <a:solidFill>
              <a:schemeClr val="accent1">
                <a:lumMod val="60000"/>
                <a:lumOff val="40000"/>
              </a:schemeClr>
            </a:solidFill>
            <a:latin typeface="American Typewriter" panose="02090604020004020304" pitchFamily="18" charset="77"/>
          </a:endParaRPr>
        </a:p>
      </xdr:txBody>
    </xdr:sp>
    <xdr:clientData/>
  </xdr:twoCellAnchor>
  <xdr:twoCellAnchor editAs="oneCell">
    <xdr:from>
      <xdr:col>0</xdr:col>
      <xdr:colOff>10762</xdr:colOff>
      <xdr:row>15</xdr:row>
      <xdr:rowOff>118391</xdr:rowOff>
    </xdr:from>
    <xdr:to>
      <xdr:col>3</xdr:col>
      <xdr:colOff>32290</xdr:colOff>
      <xdr:row>26</xdr:row>
      <xdr:rowOff>2798</xdr:rowOff>
    </xdr:to>
    <mc:AlternateContent xmlns:mc="http://schemas.openxmlformats.org/markup-compatibility/2006">
      <mc:Choice xmlns:a14="http://schemas.microsoft.com/office/drawing/2010/main" Requires="a14">
        <xdr:graphicFrame macro="">
          <xdr:nvGraphicFramePr>
            <xdr:cNvPr id="27" name="Status 1">
              <a:extLst>
                <a:ext uri="{FF2B5EF4-FFF2-40B4-BE49-F238E27FC236}">
                  <a16:creationId xmlns:a16="http://schemas.microsoft.com/office/drawing/2014/main" id="{E691885E-B630-DD48-AC0A-093CEB7026F4}"/>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dr:sp macro="" textlink="">
          <xdr:nvSpPr>
            <xdr:cNvPr id="0" name=""/>
            <xdr:cNvSpPr>
              <a:spLocks noTextEdit="1"/>
            </xdr:cNvSpPr>
          </xdr:nvSpPr>
          <xdr:spPr>
            <a:xfrm>
              <a:off x="10762" y="3166391"/>
              <a:ext cx="2498028" cy="21196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350330</xdr:colOff>
      <xdr:row>5</xdr:row>
      <xdr:rowOff>163377</xdr:rowOff>
    </xdr:from>
    <xdr:to>
      <xdr:col>6</xdr:col>
      <xdr:colOff>807204</xdr:colOff>
      <xdr:row>13</xdr:row>
      <xdr:rowOff>22386</xdr:rowOff>
    </xdr:to>
    <xdr:grpSp>
      <xdr:nvGrpSpPr>
        <xdr:cNvPr id="46" name="Group 45">
          <a:extLst>
            <a:ext uri="{FF2B5EF4-FFF2-40B4-BE49-F238E27FC236}">
              <a16:creationId xmlns:a16="http://schemas.microsoft.com/office/drawing/2014/main" id="{E5E51C5F-7F2C-9B47-B9F0-910D184CDCCF}"/>
            </a:ext>
          </a:extLst>
        </xdr:cNvPr>
        <xdr:cNvGrpSpPr/>
      </xdr:nvGrpSpPr>
      <xdr:grpSpPr>
        <a:xfrm>
          <a:off x="2826830" y="1179377"/>
          <a:ext cx="2933374" cy="1484609"/>
          <a:chOff x="3090333" y="1345596"/>
          <a:chExt cx="2635250" cy="1239762"/>
        </a:xfrm>
      </xdr:grpSpPr>
      <xdr:sp macro="" textlink="">
        <xdr:nvSpPr>
          <xdr:cNvPr id="47" name="Rounded Rectangle 46">
            <a:extLst>
              <a:ext uri="{FF2B5EF4-FFF2-40B4-BE49-F238E27FC236}">
                <a16:creationId xmlns:a16="http://schemas.microsoft.com/office/drawing/2014/main" id="{FBA492B8-4854-4EA4-5FF9-744370DB3FFB}"/>
              </a:ext>
            </a:extLst>
          </xdr:cNvPr>
          <xdr:cNvSpPr/>
        </xdr:nvSpPr>
        <xdr:spPr>
          <a:xfrm>
            <a:off x="3090333" y="1345596"/>
            <a:ext cx="2635250" cy="123976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800">
                <a:solidFill>
                  <a:schemeClr val="tx1"/>
                </a:solidFill>
                <a:latin typeface="American Typewriter" panose="02090604020004020304" pitchFamily="18" charset="77"/>
              </a:rPr>
              <a:t>Active Clients</a:t>
            </a:r>
          </a:p>
        </xdr:txBody>
      </xdr:sp>
      <xdr:sp macro="" textlink="'Pivot Tables'!C25">
        <xdr:nvSpPr>
          <xdr:cNvPr id="48" name="TextBox 47">
            <a:extLst>
              <a:ext uri="{FF2B5EF4-FFF2-40B4-BE49-F238E27FC236}">
                <a16:creationId xmlns:a16="http://schemas.microsoft.com/office/drawing/2014/main" id="{643A0157-ACF0-42C5-DCDB-BE4EFF5C6523}"/>
              </a:ext>
            </a:extLst>
          </xdr:cNvPr>
          <xdr:cNvSpPr txBox="1"/>
        </xdr:nvSpPr>
        <xdr:spPr>
          <a:xfrm>
            <a:off x="4022810" y="1750476"/>
            <a:ext cx="886280" cy="773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5C7A3E0-A44B-D54E-8A7B-DC9FB0C57AFE}" type="TxLink">
              <a:rPr lang="en-US" sz="4000" b="0" i="0" u="none" strike="noStrike">
                <a:solidFill>
                  <a:schemeClr val="bg1">
                    <a:lumMod val="65000"/>
                  </a:schemeClr>
                </a:solidFill>
                <a:latin typeface="Aptos Narrow"/>
                <a:ea typeface="Ayuthaya" pitchFamily="2" charset="-34"/>
                <a:cs typeface="Ayuthaya" pitchFamily="2" charset="-34"/>
              </a:rPr>
              <a:t>4</a:t>
            </a:fld>
            <a:endParaRPr lang="en-GB" sz="4000">
              <a:solidFill>
                <a:schemeClr val="bg1">
                  <a:lumMod val="65000"/>
                </a:schemeClr>
              </a:solidFill>
              <a:latin typeface="Ayuthaya" pitchFamily="2" charset="-34"/>
              <a:ea typeface="Ayuthaya" pitchFamily="2" charset="-34"/>
              <a:cs typeface="Ayuthaya" pitchFamily="2" charset="-34"/>
            </a:endParaRPr>
          </a:p>
        </xdr:txBody>
      </xdr:sp>
    </xdr:grpSp>
    <xdr:clientData/>
  </xdr:twoCellAnchor>
  <xdr:twoCellAnchor>
    <xdr:from>
      <xdr:col>7</xdr:col>
      <xdr:colOff>691936</xdr:colOff>
      <xdr:row>5</xdr:row>
      <xdr:rowOff>165315</xdr:rowOff>
    </xdr:from>
    <xdr:to>
      <xdr:col>11</xdr:col>
      <xdr:colOff>323311</xdr:colOff>
      <xdr:row>13</xdr:row>
      <xdr:rowOff>24023</xdr:rowOff>
    </xdr:to>
    <xdr:sp macro="" textlink="">
      <xdr:nvSpPr>
        <xdr:cNvPr id="50" name="Rounded Rectangle 49">
          <a:extLst>
            <a:ext uri="{FF2B5EF4-FFF2-40B4-BE49-F238E27FC236}">
              <a16:creationId xmlns:a16="http://schemas.microsoft.com/office/drawing/2014/main" id="{B065E2FB-87B5-66A9-2D55-C639441B53C3}"/>
            </a:ext>
          </a:extLst>
        </xdr:cNvPr>
        <xdr:cNvSpPr/>
      </xdr:nvSpPr>
      <xdr:spPr>
        <a:xfrm>
          <a:off x="6486311" y="1185851"/>
          <a:ext cx="2942446" cy="149156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800">
              <a:solidFill>
                <a:schemeClr val="tx1"/>
              </a:solidFill>
              <a:latin typeface="American Typewriter" panose="02090604020004020304" pitchFamily="18" charset="77"/>
            </a:rPr>
            <a:t>Allocations this month</a:t>
          </a:r>
        </a:p>
      </xdr:txBody>
    </xdr:sp>
    <xdr:clientData/>
  </xdr:twoCellAnchor>
  <xdr:twoCellAnchor>
    <xdr:from>
      <xdr:col>11</xdr:col>
      <xdr:colOff>797411</xdr:colOff>
      <xdr:row>5</xdr:row>
      <xdr:rowOff>154552</xdr:rowOff>
    </xdr:from>
    <xdr:to>
      <xdr:col>15</xdr:col>
      <xdr:colOff>425557</xdr:colOff>
      <xdr:row>13</xdr:row>
      <xdr:rowOff>13260</xdr:rowOff>
    </xdr:to>
    <xdr:sp macro="" textlink="">
      <xdr:nvSpPr>
        <xdr:cNvPr id="53" name="Rounded Rectangle 52">
          <a:extLst>
            <a:ext uri="{FF2B5EF4-FFF2-40B4-BE49-F238E27FC236}">
              <a16:creationId xmlns:a16="http://schemas.microsoft.com/office/drawing/2014/main" id="{B4825B92-E5B7-9CFF-1E56-A4BD732049DC}"/>
            </a:ext>
          </a:extLst>
        </xdr:cNvPr>
        <xdr:cNvSpPr/>
      </xdr:nvSpPr>
      <xdr:spPr>
        <a:xfrm>
          <a:off x="9902857" y="1175088"/>
          <a:ext cx="2939218" cy="149156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800">
              <a:solidFill>
                <a:schemeClr val="tx1"/>
              </a:solidFill>
              <a:latin typeface="American Typewriter" panose="02090604020004020304" pitchFamily="18" charset="77"/>
            </a:rPr>
            <a:t>Monthly</a:t>
          </a:r>
          <a:r>
            <a:rPr lang="en-GB" sz="2800" baseline="0">
              <a:solidFill>
                <a:schemeClr val="tx1"/>
              </a:solidFill>
              <a:latin typeface="American Typewriter" panose="02090604020004020304" pitchFamily="18" charset="77"/>
            </a:rPr>
            <a:t> completion</a:t>
          </a:r>
          <a:endParaRPr lang="en-GB" sz="2800">
            <a:solidFill>
              <a:schemeClr val="tx1"/>
            </a:solidFill>
            <a:latin typeface="American Typewriter" panose="02090604020004020304" pitchFamily="18" charset="77"/>
          </a:endParaRPr>
        </a:p>
      </xdr:txBody>
    </xdr:sp>
    <xdr:clientData/>
  </xdr:twoCellAnchor>
  <xdr:twoCellAnchor>
    <xdr:from>
      <xdr:col>4</xdr:col>
      <xdr:colOff>12700</xdr:colOff>
      <xdr:row>28</xdr:row>
      <xdr:rowOff>152400</xdr:rowOff>
    </xdr:from>
    <xdr:to>
      <xdr:col>11</xdr:col>
      <xdr:colOff>749300</xdr:colOff>
      <xdr:row>39</xdr:row>
      <xdr:rowOff>190500</xdr:rowOff>
    </xdr:to>
    <xdr:graphicFrame macro="">
      <xdr:nvGraphicFramePr>
        <xdr:cNvPr id="55" name="Chart 54">
          <a:extLst>
            <a:ext uri="{FF2B5EF4-FFF2-40B4-BE49-F238E27FC236}">
              <a16:creationId xmlns:a16="http://schemas.microsoft.com/office/drawing/2014/main" id="{0D533A5D-20E6-984C-89B4-8D1527E0B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10762</xdr:colOff>
      <xdr:row>4</xdr:row>
      <xdr:rowOff>193727</xdr:rowOff>
    </xdr:from>
    <xdr:to>
      <xdr:col>3</xdr:col>
      <xdr:colOff>21526</xdr:colOff>
      <xdr:row>15</xdr:row>
      <xdr:rowOff>129151</xdr:rowOff>
    </xdr:to>
    <mc:AlternateContent xmlns:mc="http://schemas.openxmlformats.org/markup-compatibility/2006">
      <mc:Choice xmlns:a14="http://schemas.microsoft.com/office/drawing/2010/main" Requires="a14">
        <xdr:graphicFrame macro="">
          <xdr:nvGraphicFramePr>
            <xdr:cNvPr id="56" name="Counsellor  1">
              <a:extLst>
                <a:ext uri="{FF2B5EF4-FFF2-40B4-BE49-F238E27FC236}">
                  <a16:creationId xmlns:a16="http://schemas.microsoft.com/office/drawing/2014/main" id="{BE9F809E-E2F2-0441-8BF5-3BDA28740267}"/>
                </a:ext>
              </a:extLst>
            </xdr:cNvPr>
            <xdr:cNvGraphicFramePr/>
          </xdr:nvGraphicFramePr>
          <xdr:xfrm>
            <a:off x="0" y="0"/>
            <a:ext cx="0" cy="0"/>
          </xdr:xfrm>
          <a:graphic>
            <a:graphicData uri="http://schemas.microsoft.com/office/drawing/2010/slicer">
              <sle:slicer xmlns:sle="http://schemas.microsoft.com/office/drawing/2010/slicer" name="Counsellor  1"/>
            </a:graphicData>
          </a:graphic>
        </xdr:graphicFrame>
      </mc:Choice>
      <mc:Fallback>
        <xdr:sp macro="" textlink="">
          <xdr:nvSpPr>
            <xdr:cNvPr id="0" name=""/>
            <xdr:cNvSpPr>
              <a:spLocks noTextEdit="1"/>
            </xdr:cNvSpPr>
          </xdr:nvSpPr>
          <xdr:spPr>
            <a:xfrm>
              <a:off x="10762" y="1006527"/>
              <a:ext cx="2487264" cy="21706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784712</xdr:colOff>
      <xdr:row>5</xdr:row>
      <xdr:rowOff>154552</xdr:rowOff>
    </xdr:from>
    <xdr:to>
      <xdr:col>19</xdr:col>
      <xdr:colOff>412858</xdr:colOff>
      <xdr:row>13</xdr:row>
      <xdr:rowOff>13627</xdr:rowOff>
    </xdr:to>
    <xdr:grpSp>
      <xdr:nvGrpSpPr>
        <xdr:cNvPr id="57" name="Group 56">
          <a:extLst>
            <a:ext uri="{FF2B5EF4-FFF2-40B4-BE49-F238E27FC236}">
              <a16:creationId xmlns:a16="http://schemas.microsoft.com/office/drawing/2014/main" id="{2273679D-4FC0-FC4C-93B6-588CAE1D47A1}"/>
            </a:ext>
          </a:extLst>
        </xdr:cNvPr>
        <xdr:cNvGrpSpPr/>
      </xdr:nvGrpSpPr>
      <xdr:grpSpPr>
        <a:xfrm>
          <a:off x="13167212" y="1170552"/>
          <a:ext cx="2930146" cy="1484675"/>
          <a:chOff x="2976115" y="1324386"/>
          <a:chExt cx="2635250" cy="1239762"/>
        </a:xfrm>
      </xdr:grpSpPr>
      <xdr:sp macro="" textlink="">
        <xdr:nvSpPr>
          <xdr:cNvPr id="58" name="Rounded Rectangle 57">
            <a:extLst>
              <a:ext uri="{FF2B5EF4-FFF2-40B4-BE49-F238E27FC236}">
                <a16:creationId xmlns:a16="http://schemas.microsoft.com/office/drawing/2014/main" id="{74537002-D419-DEFA-6B0C-67002CD32570}"/>
              </a:ext>
            </a:extLst>
          </xdr:cNvPr>
          <xdr:cNvSpPr/>
        </xdr:nvSpPr>
        <xdr:spPr>
          <a:xfrm>
            <a:off x="2976115" y="1324386"/>
            <a:ext cx="2635250" cy="123976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800">
                <a:solidFill>
                  <a:schemeClr val="tx1"/>
                </a:solidFill>
                <a:latin typeface="American Typewriter" panose="02090604020004020304" pitchFamily="18" charset="77"/>
              </a:rPr>
              <a:t>%</a:t>
            </a:r>
            <a:r>
              <a:rPr lang="en-GB" sz="2800" baseline="0">
                <a:solidFill>
                  <a:schemeClr val="tx1"/>
                </a:solidFill>
                <a:latin typeface="American Typewriter" panose="02090604020004020304" pitchFamily="18" charset="77"/>
              </a:rPr>
              <a:t> Completed</a:t>
            </a:r>
            <a:endParaRPr lang="en-GB" sz="2800">
              <a:solidFill>
                <a:schemeClr val="tx1"/>
              </a:solidFill>
              <a:latin typeface="American Typewriter" panose="02090604020004020304" pitchFamily="18" charset="77"/>
            </a:endParaRPr>
          </a:p>
        </xdr:txBody>
      </xdr:sp>
      <xdr:sp macro="" textlink="'Pivot Tables'!AK8">
        <xdr:nvSpPr>
          <xdr:cNvPr id="59" name="TextBox 58">
            <a:extLst>
              <a:ext uri="{FF2B5EF4-FFF2-40B4-BE49-F238E27FC236}">
                <a16:creationId xmlns:a16="http://schemas.microsoft.com/office/drawing/2014/main" id="{F6D67D38-A082-5608-CF36-52F081083FCE}"/>
              </a:ext>
            </a:extLst>
          </xdr:cNvPr>
          <xdr:cNvSpPr txBox="1"/>
        </xdr:nvSpPr>
        <xdr:spPr>
          <a:xfrm>
            <a:off x="3401049" y="1750371"/>
            <a:ext cx="1972321" cy="773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0441C0-C9AD-2F41-A131-0202440FC6F3}" type="TxLink">
              <a:rPr lang="en-US" sz="4000" b="0" i="0" u="none" strike="noStrike">
                <a:solidFill>
                  <a:schemeClr val="bg1">
                    <a:lumMod val="65000"/>
                  </a:schemeClr>
                </a:solidFill>
                <a:latin typeface="Aptos Narrow"/>
                <a:ea typeface="Ayuthaya" pitchFamily="2" charset="-34"/>
                <a:cs typeface="Ayuthaya" pitchFamily="2" charset="-34"/>
              </a:rPr>
              <a:t>99.00%</a:t>
            </a:fld>
            <a:endParaRPr lang="en-GB" sz="19900">
              <a:solidFill>
                <a:schemeClr val="bg1">
                  <a:lumMod val="65000"/>
                </a:schemeClr>
              </a:solidFill>
              <a:latin typeface="Ayuthaya" pitchFamily="2" charset="-34"/>
              <a:ea typeface="Ayuthaya" pitchFamily="2" charset="-34"/>
              <a:cs typeface="Ayuthaya" pitchFamily="2" charset="-34"/>
            </a:endParaRPr>
          </a:p>
        </xdr:txBody>
      </xdr:sp>
    </xdr:grpSp>
    <xdr:clientData/>
  </xdr:twoCellAnchor>
  <xdr:twoCellAnchor>
    <xdr:from>
      <xdr:col>9</xdr:col>
      <xdr:colOff>44169</xdr:colOff>
      <xdr:row>9</xdr:row>
      <xdr:rowOff>61324</xdr:rowOff>
    </xdr:from>
    <xdr:to>
      <xdr:col>10</xdr:col>
      <xdr:colOff>205233</xdr:colOff>
      <xdr:row>13</xdr:row>
      <xdr:rowOff>176008</xdr:rowOff>
    </xdr:to>
    <xdr:sp macro="" textlink="'Pivot Tables'!Z82">
      <xdr:nvSpPr>
        <xdr:cNvPr id="60" name="TextBox 59">
          <a:extLst>
            <a:ext uri="{FF2B5EF4-FFF2-40B4-BE49-F238E27FC236}">
              <a16:creationId xmlns:a16="http://schemas.microsoft.com/office/drawing/2014/main" id="{CBB81CBF-C216-5444-B638-B71D9FFB6171}"/>
            </a:ext>
          </a:extLst>
        </xdr:cNvPr>
        <xdr:cNvSpPr txBox="1"/>
      </xdr:nvSpPr>
      <xdr:spPr>
        <a:xfrm>
          <a:off x="7494080" y="1898288"/>
          <a:ext cx="988832" cy="931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13DE23-A562-4E46-9765-D65722F5A8E0}" type="TxLink">
            <a:rPr lang="en-US" sz="4000" b="0" i="0" u="none" strike="noStrike">
              <a:solidFill>
                <a:schemeClr val="bg1">
                  <a:lumMod val="65000"/>
                </a:schemeClr>
              </a:solidFill>
              <a:latin typeface="Aptos Narrow"/>
              <a:ea typeface="Ayuthaya" pitchFamily="2" charset="-34"/>
              <a:cs typeface="Ayuthaya" pitchFamily="2" charset="-34"/>
            </a:rPr>
            <a:t>1</a:t>
          </a:fld>
          <a:endParaRPr lang="en-GB" sz="9600">
            <a:solidFill>
              <a:schemeClr val="bg1">
                <a:lumMod val="65000"/>
              </a:schemeClr>
            </a:solidFill>
            <a:latin typeface="Ayuthaya" pitchFamily="2" charset="-34"/>
            <a:ea typeface="Ayuthaya" pitchFamily="2" charset="-34"/>
            <a:cs typeface="Ayuthaya" pitchFamily="2" charset="-34"/>
          </a:endParaRPr>
        </a:p>
      </xdr:txBody>
    </xdr:sp>
    <xdr:clientData/>
  </xdr:twoCellAnchor>
  <xdr:twoCellAnchor>
    <xdr:from>
      <xdr:col>13</xdr:col>
      <xdr:colOff>49159</xdr:colOff>
      <xdr:row>9</xdr:row>
      <xdr:rowOff>20955</xdr:rowOff>
    </xdr:from>
    <xdr:to>
      <xdr:col>14</xdr:col>
      <xdr:colOff>210223</xdr:colOff>
      <xdr:row>13</xdr:row>
      <xdr:rowOff>135639</xdr:rowOff>
    </xdr:to>
    <xdr:sp macro="" textlink="'Pivot Tables'!Z83">
      <xdr:nvSpPr>
        <xdr:cNvPr id="61" name="TextBox 60">
          <a:extLst>
            <a:ext uri="{FF2B5EF4-FFF2-40B4-BE49-F238E27FC236}">
              <a16:creationId xmlns:a16="http://schemas.microsoft.com/office/drawing/2014/main" id="{5A47394A-CF01-1745-8630-D30B8267B683}"/>
            </a:ext>
          </a:extLst>
        </xdr:cNvPr>
        <xdr:cNvSpPr txBox="1"/>
      </xdr:nvSpPr>
      <xdr:spPr>
        <a:xfrm>
          <a:off x="10810141" y="1857919"/>
          <a:ext cx="988832" cy="931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0756C9-CB15-1541-8494-B345BDFA93B5}" type="TxLink">
            <a:rPr lang="en-US" sz="4000" b="0" i="0" u="none" strike="noStrike">
              <a:solidFill>
                <a:schemeClr val="bg1">
                  <a:lumMod val="65000"/>
                </a:schemeClr>
              </a:solidFill>
              <a:latin typeface="Aptos Narrow"/>
              <a:ea typeface="Ayuthaya" pitchFamily="2" charset="-34"/>
              <a:cs typeface="Ayuthaya" pitchFamily="2" charset="-34"/>
            </a:rPr>
            <a:t>4</a:t>
          </a:fld>
          <a:endParaRPr lang="en-GB" sz="4000">
            <a:solidFill>
              <a:schemeClr val="bg1">
                <a:lumMod val="65000"/>
              </a:schemeClr>
            </a:solidFill>
            <a:latin typeface="Ayuthaya" pitchFamily="2" charset="-34"/>
            <a:ea typeface="Ayuthaya" pitchFamily="2" charset="-34"/>
            <a:cs typeface="Ayuthaya" pitchFamily="2" charset="-34"/>
          </a:endParaRPr>
        </a:p>
      </xdr:txBody>
    </xdr:sp>
    <xdr:clientData/>
  </xdr:twoCellAnchor>
  <xdr:twoCellAnchor editAs="oneCell">
    <xdr:from>
      <xdr:col>3</xdr:col>
      <xdr:colOff>691696</xdr:colOff>
      <xdr:row>16</xdr:row>
      <xdr:rowOff>176622</xdr:rowOff>
    </xdr:from>
    <xdr:to>
      <xdr:col>13</xdr:col>
      <xdr:colOff>805090</xdr:colOff>
      <xdr:row>25</xdr:row>
      <xdr:rowOff>162451</xdr:rowOff>
    </xdr:to>
    <xdr:pic>
      <xdr:nvPicPr>
        <xdr:cNvPr id="62" name="Picture 61">
          <a:extLst>
            <a:ext uri="{FF2B5EF4-FFF2-40B4-BE49-F238E27FC236}">
              <a16:creationId xmlns:a16="http://schemas.microsoft.com/office/drawing/2014/main" id="{F2D07873-63BB-470E-C612-DA2A7DB4F77C}"/>
            </a:ext>
          </a:extLst>
        </xdr:cNvPr>
        <xdr:cNvPicPr>
          <a:picLocks noChangeAspect="1"/>
        </xdr:cNvPicPr>
      </xdr:nvPicPr>
      <xdr:blipFill>
        <a:blip xmlns:r="http://schemas.openxmlformats.org/officeDocument/2006/relationships" r:embed="rId5"/>
        <a:stretch>
          <a:fillRect/>
        </a:stretch>
      </xdr:blipFill>
      <xdr:spPr>
        <a:xfrm>
          <a:off x="3175000" y="3442336"/>
          <a:ext cx="8391072" cy="182279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tham Ajakaiye" refreshedDate="45929.634343750004" createdVersion="8" refreshedVersion="8" minRefreshableVersion="3" recordCount="210" xr:uid="{C89CD6C6-9ED9-6747-BD1D-99AB4F3D8FF8}">
  <cacheSource type="worksheet">
    <worksheetSource name="Table32"/>
  </cacheSource>
  <cacheFields count="28">
    <cacheField name="Client ID" numFmtId="49">
      <sharedItems count="210">
        <s v="001"/>
        <s v="002"/>
        <s v="003"/>
        <s v="004"/>
        <s v="005"/>
        <s v="006"/>
        <s v="007"/>
        <s v="008"/>
        <s v="009"/>
        <s v="010"/>
        <s v="011"/>
        <s v="012"/>
        <s v="013"/>
        <s v="014"/>
        <s v="015"/>
        <s v="016"/>
        <s v="017"/>
        <s v="018"/>
        <s v="019"/>
        <s v="020"/>
        <s v="021"/>
        <s v="022"/>
        <s v="023"/>
        <s v="024"/>
        <s v="025"/>
        <s v="026"/>
        <s v="027"/>
        <s v="028"/>
        <s v="029"/>
        <s v="030"/>
        <s v="031"/>
        <s v="032"/>
        <s v="033"/>
        <s v="034"/>
        <s v="035"/>
        <s v="036"/>
        <s v="037"/>
        <s v="038"/>
        <s v="039"/>
        <s v="040"/>
        <s v="041"/>
        <s v="042"/>
        <s v="043"/>
        <s v="044"/>
        <s v="045"/>
        <s v="046"/>
        <s v="047"/>
        <s v="048"/>
        <s v="049"/>
        <s v="050"/>
        <s v="051"/>
        <s v="052"/>
        <s v="053"/>
        <s v="054"/>
        <s v="055"/>
        <s v="056"/>
        <s v="057"/>
        <s v="058"/>
        <s v="059"/>
        <s v="060"/>
        <s v="061"/>
        <s v="062"/>
        <s v="063"/>
        <s v="064"/>
        <s v="065"/>
        <s v="066"/>
        <s v="067"/>
        <s v="068"/>
        <s v="069"/>
        <s v="070"/>
        <s v="071"/>
        <s v="072"/>
        <s v="073"/>
        <s v="074"/>
        <s v="075"/>
        <s v="076"/>
        <s v="077"/>
        <s v="078"/>
        <s v="079"/>
        <s v="080"/>
        <s v="081"/>
        <s v="082"/>
        <s v="083"/>
        <s v="084"/>
        <s v="085"/>
        <s v="086"/>
        <s v="087"/>
        <s v="088"/>
        <s v="089"/>
        <s v="090"/>
        <s v="091"/>
        <s v="092"/>
        <s v="093"/>
        <s v="094"/>
        <s v="095"/>
        <s v="096"/>
        <s v="097"/>
        <s v="098"/>
        <s v="099"/>
        <s v="100"/>
        <s v="101"/>
        <s v="102"/>
        <s v="103"/>
        <s v="104"/>
        <s v="105"/>
        <s v="106"/>
        <s v="107"/>
        <s v="108"/>
        <s v="109"/>
        <s v="110"/>
        <s v="111"/>
        <s v="112"/>
        <s v="113"/>
        <s v="114"/>
        <s v="115"/>
        <s v="116"/>
        <s v="117"/>
        <s v="118"/>
        <s v="119"/>
        <s v="120"/>
        <s v="121"/>
        <s v="122"/>
        <s v="123"/>
        <s v="124"/>
        <s v="125"/>
        <s v="126"/>
        <s v="127"/>
        <s v="128"/>
        <s v="129"/>
        <s v="130"/>
        <s v="131"/>
        <s v="132"/>
        <s v="133"/>
        <s v="134"/>
        <s v="135"/>
        <s v="136"/>
        <s v="137"/>
        <s v="138"/>
        <s v="139"/>
        <s v="140"/>
        <s v="141"/>
        <s v="142"/>
        <s v="143"/>
        <s v="144"/>
        <s v="145"/>
        <s v="146"/>
        <s v="147"/>
        <s v="148"/>
        <s v="149"/>
        <s v="150"/>
        <s v="151"/>
        <s v="152"/>
        <s v="153"/>
        <s v="154"/>
        <s v="155"/>
        <s v="156"/>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haredItems>
    </cacheField>
    <cacheField name="DOB" numFmtId="14">
      <sharedItems containsSemiMixedTypes="0" containsNonDate="0" containsDate="1" containsString="0" minDate="1958-01-06T00:00:00" maxDate="2005-09-16T00:00:00"/>
    </cacheField>
    <cacheField name="Age" numFmtId="0">
      <sharedItems containsSemiMixedTypes="0" containsString="0" containsNumber="1" containsInteger="1" minValue="20" maxValue="67"/>
    </cacheField>
    <cacheField name="Age Group" numFmtId="0">
      <sharedItems count="6">
        <s v="35–44"/>
        <s v="25–34"/>
        <s v="65+"/>
        <s v="18–24"/>
        <s v="55–64"/>
        <s v="45–54"/>
      </sharedItems>
    </cacheField>
    <cacheField name="Gender" numFmtId="0">
      <sharedItems count="3">
        <s v="Female"/>
        <s v="Male"/>
        <s v="N/A"/>
      </sharedItems>
    </cacheField>
    <cacheField name="Nationality" numFmtId="0">
      <sharedItems count="14">
        <s v="Other"/>
        <s v="British"/>
        <s v="Ghanaian"/>
        <s v="Nigerian"/>
        <s v="Indian"/>
        <s v="Thai"/>
        <s v="Polish"/>
        <s v="Kenyan"/>
        <s v="Japanese"/>
        <s v="Jamaican"/>
        <s v="Pakistani"/>
        <s v="Cameroonian"/>
        <s v="Congelese"/>
        <s v="Congolese"/>
      </sharedItems>
    </cacheField>
    <cacheField name="Ethnicity" numFmtId="0">
      <sharedItems count="9">
        <s v="Other"/>
        <s v="Asian"/>
        <s v="White"/>
        <s v="Black / African / Caribbean"/>
        <s v="Black / African / Carribbean" u="1"/>
        <s v="Black / African/ Carribbean" u="1"/>
        <s v="Black / African/ Caribbean" u="1"/>
        <s v="Black / African" u="1"/>
        <s v="Black/African/Caribbean" u="1"/>
      </sharedItems>
    </cacheField>
    <cacheField name="Ethnicity Group" numFmtId="0">
      <sharedItems count="2">
        <s v="BAME"/>
        <s v="White"/>
      </sharedItems>
    </cacheField>
    <cacheField name="Sexuality" numFmtId="0">
      <sharedItems/>
    </cacheField>
    <cacheField name="Referring Organisation" numFmtId="0">
      <sharedItems count="6">
        <s v="London Counselling Hub"/>
        <s v="Other"/>
        <s v="Family/Friend"/>
        <s v="Southside Care"/>
        <s v="Self Referred"/>
        <s v="Hope Outreach"/>
      </sharedItems>
    </cacheField>
    <cacheField name="Date Referred" numFmtId="14">
      <sharedItems containsSemiMixedTypes="0" containsNonDate="0" containsDate="1" containsString="0" minDate="2024-01-01T00:00:00" maxDate="2024-12-31T00:00:00" count="166">
        <d v="2024-01-20T00:00:00"/>
        <d v="2024-07-21T00:00:00"/>
        <d v="2024-07-28T00:00:00"/>
        <d v="2024-05-10T00:00:00"/>
        <d v="2024-06-19T00:00:00"/>
        <d v="2024-11-26T00:00:00"/>
        <d v="2024-12-18T00:00:00"/>
        <d v="2024-07-29T00:00:00"/>
        <d v="2024-07-26T00:00:00"/>
        <d v="2024-04-30T00:00:00"/>
        <d v="2024-03-12T00:00:00"/>
        <d v="2024-07-04T00:00:00"/>
        <d v="2024-10-02T00:00:00"/>
        <d v="2024-09-04T00:00:00"/>
        <d v="2024-05-01T00:00:00"/>
        <d v="2024-05-21T00:00:00"/>
        <d v="2024-12-30T00:00:00"/>
        <d v="2024-10-10T00:00:00"/>
        <d v="2024-01-21T00:00:00"/>
        <d v="2024-12-14T00:00:00"/>
        <d v="2024-03-29T00:00:00"/>
        <d v="2024-02-21T00:00:00"/>
        <d v="2024-10-05T00:00:00"/>
        <d v="2024-10-06T00:00:00"/>
        <d v="2024-02-24T00:00:00"/>
        <d v="2024-12-19T00:00:00"/>
        <d v="2024-02-01T00:00:00"/>
        <d v="2024-02-20T00:00:00"/>
        <d v="2024-02-14T00:00:00"/>
        <d v="2024-10-22T00:00:00"/>
        <d v="2024-08-10T00:00:00"/>
        <d v="2024-12-28T00:00:00"/>
        <d v="2024-04-23T00:00:00"/>
        <d v="2024-01-29T00:00:00"/>
        <d v="2024-09-08T00:00:00"/>
        <d v="2024-06-25T00:00:00"/>
        <d v="2024-01-26T00:00:00"/>
        <d v="2024-05-15T00:00:00"/>
        <d v="2024-04-10T00:00:00"/>
        <d v="2024-12-20T00:00:00"/>
        <d v="2024-03-18T00:00:00"/>
        <d v="2024-10-31T00:00:00"/>
        <d v="2024-08-18T00:00:00"/>
        <d v="2024-07-24T00:00:00"/>
        <d v="2024-10-11T00:00:00"/>
        <d v="2024-06-11T00:00:00"/>
        <d v="2024-04-18T00:00:00"/>
        <d v="2024-01-13T00:00:00"/>
        <d v="2024-08-20T00:00:00"/>
        <d v="2024-06-05T00:00:00"/>
        <d v="2024-09-24T00:00:00"/>
        <d v="2024-04-11T00:00:00"/>
        <d v="2024-01-11T00:00:00"/>
        <d v="2024-01-27T00:00:00"/>
        <d v="2024-11-02T00:00:00"/>
        <d v="2024-10-30T00:00:00"/>
        <d v="2024-12-27T00:00:00"/>
        <d v="2024-09-12T00:00:00"/>
        <d v="2024-12-15T00:00:00"/>
        <d v="2024-02-29T00:00:00"/>
        <d v="2024-09-15T00:00:00"/>
        <d v="2024-10-29T00:00:00"/>
        <d v="2024-04-17T00:00:00"/>
        <d v="2024-10-19T00:00:00"/>
        <d v="2024-01-10T00:00:00"/>
        <d v="2024-06-14T00:00:00"/>
        <d v="2024-07-09T00:00:00"/>
        <d v="2024-01-19T00:00:00"/>
        <d v="2024-08-08T00:00:00"/>
        <d v="2024-02-06T00:00:00"/>
        <d v="2024-10-16T00:00:00"/>
        <d v="2024-05-25T00:00:00"/>
        <d v="2024-07-16T00:00:00"/>
        <d v="2024-07-19T00:00:00"/>
        <d v="2024-01-25T00:00:00"/>
        <d v="2024-10-13T00:00:00"/>
        <d v="2024-05-26T00:00:00"/>
        <d v="2024-03-06T00:00:00"/>
        <d v="2024-03-22T00:00:00"/>
        <d v="2024-08-06T00:00:00"/>
        <d v="2024-03-27T00:00:00"/>
        <d v="2024-11-03T00:00:00"/>
        <d v="2024-11-20T00:00:00"/>
        <d v="2024-04-16T00:00:00"/>
        <d v="2024-05-06T00:00:00"/>
        <d v="2024-01-08T00:00:00"/>
        <d v="2024-06-18T00:00:00"/>
        <d v="2024-04-15T00:00:00"/>
        <d v="2024-12-03T00:00:00"/>
        <d v="2024-02-11T00:00:00"/>
        <d v="2024-07-15T00:00:00"/>
        <d v="2024-12-29T00:00:00"/>
        <d v="2024-02-02T00:00:00"/>
        <d v="2024-02-18T00:00:00"/>
        <d v="2024-11-08T00:00:00"/>
        <d v="2024-09-16T00:00:00"/>
        <d v="2024-08-16T00:00:00"/>
        <d v="2024-05-03T00:00:00"/>
        <d v="2024-01-15T00:00:00"/>
        <d v="2024-02-23T00:00:00"/>
        <d v="2024-10-23T00:00:00"/>
        <d v="2024-05-20T00:00:00"/>
        <d v="2024-06-15T00:00:00"/>
        <d v="2024-03-23T00:00:00"/>
        <d v="2024-05-22T00:00:00"/>
        <d v="2024-04-03T00:00:00"/>
        <d v="2024-01-23T00:00:00"/>
        <d v="2024-06-21T00:00:00"/>
        <d v="2024-11-27T00:00:00"/>
        <d v="2024-02-27T00:00:00"/>
        <d v="2024-11-07T00:00:00"/>
        <d v="2024-09-20T00:00:00"/>
        <d v="2024-08-26T00:00:00"/>
        <d v="2024-05-05T00:00:00"/>
        <d v="2024-07-13T00:00:00"/>
        <d v="2024-12-26T00:00:00"/>
        <d v="2024-01-31T00:00:00"/>
        <d v="2024-03-09T00:00:00"/>
        <d v="2024-02-04T00:00:00"/>
        <d v="2024-03-13T00:00:00"/>
        <d v="2024-01-12T00:00:00"/>
        <d v="2024-06-16T00:00:00"/>
        <d v="2024-08-15T00:00:00"/>
        <d v="2024-06-27T00:00:00"/>
        <d v="2024-10-20T00:00:00"/>
        <d v="2024-03-28T00:00:00"/>
        <d v="2024-08-01T00:00:00"/>
        <d v="2024-09-07T00:00:00"/>
        <d v="2024-10-18T00:00:00"/>
        <d v="2024-04-05T00:00:00"/>
        <d v="2024-01-01T00:00:00"/>
        <d v="2024-04-19T00:00:00"/>
        <d v="2024-09-14T00:00:00"/>
        <d v="2024-08-19T00:00:00"/>
        <d v="2024-04-28T00:00:00"/>
        <d v="2024-05-04T00:00:00"/>
        <d v="2024-05-27T00:00:00"/>
        <d v="2024-12-09T00:00:00"/>
        <d v="2024-06-01T00:00:00"/>
        <d v="2024-03-08T00:00:00"/>
        <d v="2024-08-28T00:00:00"/>
        <d v="2024-03-17T00:00:00"/>
        <d v="2024-06-02T00:00:00"/>
        <d v="2024-04-13T00:00:00"/>
        <d v="2024-05-12T00:00:00"/>
        <d v="2024-11-23T00:00:00"/>
        <d v="2024-12-10T00:00:00"/>
        <d v="2024-08-09T00:00:00"/>
        <d v="2024-08-22T00:00:00"/>
        <d v="2024-01-09T00:00:00"/>
        <d v="2024-07-11T00:00:00"/>
        <d v="2024-03-14T00:00:00"/>
        <d v="2024-03-21T00:00:00"/>
        <d v="2024-07-17T00:00:00"/>
        <d v="2024-11-09T00:00:00"/>
        <d v="2024-10-17T00:00:00"/>
        <d v="2024-02-15T00:00:00"/>
        <d v="2024-05-24T00:00:00"/>
        <d v="2024-11-13T00:00:00"/>
        <d v="2024-12-02T00:00:00"/>
        <d v="2024-03-05T00:00:00"/>
        <d v="2024-01-28T00:00:00"/>
        <d v="2024-12-23T00:00:00"/>
        <d v="2024-11-15T00:00:00"/>
        <d v="2024-12-08T00:00:00"/>
        <d v="2024-12-16T00:00:00"/>
      </sharedItems>
      <fieldGroup par="22"/>
    </cacheField>
    <cacheField name="Referall Month" numFmtId="165">
      <sharedItems containsNonDate="0"/>
    </cacheField>
    <cacheField name="Date Assessed" numFmtId="14">
      <sharedItems containsNonDate="0" containsDate="1" containsMixedTypes="1" minDate="2024-01-02T00:00:00" maxDate="2025-02-17T00:00:00"/>
    </cacheField>
    <cacheField name="Assessment Date Clean" numFmtId="14">
      <sharedItems containsSemiMixedTypes="0" containsNonDate="0" containsDate="1" containsString="0" minDate="1899-12-31T00:00:00" maxDate="2025-02-17T00:00:00" count="155">
        <d v="2024-02-13T00:00:00"/>
        <d v="2024-08-05T00:00:00"/>
        <d v="2024-08-24T00:00:00"/>
        <d v="2024-06-05T00:00:00"/>
        <d v="2024-06-30T00:00:00"/>
        <d v="2025-01-09T00:00:00"/>
        <d v="2025-01-21T00:00:00"/>
        <d v="2024-08-18T00:00:00"/>
        <d v="2024-08-09T00:00:00"/>
        <d v="2024-05-14T00:00:00"/>
        <d v="2024-04-29T00:00:00"/>
        <d v="2024-07-22T00:00:00"/>
        <d v="2024-10-25T00:00:00"/>
        <d v="2024-10-23T00:00:00"/>
        <d v="2024-06-11T00:00:00"/>
        <d v="2024-06-21T00:00:00"/>
        <d v="1899-12-31T00:00:00"/>
        <d v="2024-03-08T00:00:00"/>
        <d v="2025-01-05T00:00:00"/>
        <d v="2024-04-24T00:00:00"/>
        <d v="2024-03-04T00:00:00"/>
        <d v="2024-11-01T00:00:00"/>
        <d v="2024-10-12T00:00:00"/>
        <d v="2024-12-26T00:00:00"/>
        <d v="2024-02-23T00:00:00"/>
        <d v="2024-03-01T00:00:00"/>
        <d v="2024-03-13T00:00:00"/>
        <d v="2024-10-28T00:00:00"/>
        <d v="2024-09-18T00:00:00"/>
        <d v="2024-06-19T00:00:00"/>
        <d v="2024-03-21T00:00:00"/>
        <d v="2024-05-26T00:00:00"/>
        <d v="2024-01-31T00:00:00"/>
        <d v="2024-10-15T00:00:00"/>
        <d v="2024-07-02T00:00:00"/>
        <d v="2024-03-11T00:00:00"/>
        <d v="2024-06-09T00:00:00"/>
        <d v="2024-04-23T00:00:00"/>
        <d v="2025-01-01T00:00:00"/>
        <d v="2024-09-17T00:00:00"/>
        <d v="2024-07-26T00:00:00"/>
        <d v="2024-05-12T00:00:00"/>
        <d v="2024-01-23T00:00:00"/>
        <d v="2024-09-19T00:00:00"/>
        <d v="2024-07-23T00:00:00"/>
        <d v="2024-09-26T00:00:00"/>
        <d v="2024-05-31T00:00:00"/>
        <d v="2024-04-30T00:00:00"/>
        <d v="2024-02-28T00:00:00"/>
        <d v="2024-03-12T00:00:00"/>
        <d v="2024-12-17T00:00:00"/>
        <d v="2024-12-06T00:00:00"/>
        <d v="2025-02-11T00:00:00"/>
        <d v="2024-10-05T00:00:00"/>
        <d v="2025-01-25T00:00:00"/>
        <d v="2024-02-18T00:00:00"/>
        <d v="2024-03-24T00:00:00"/>
        <d v="2024-10-14T00:00:00"/>
        <d v="2024-11-13T00:00:00"/>
        <d v="2024-06-02T00:00:00"/>
        <d v="2024-11-30T00:00:00"/>
        <d v="2024-02-11T00:00:00"/>
        <d v="2024-06-17T00:00:00"/>
        <d v="2024-02-15T00:00:00"/>
        <d v="2024-08-13T00:00:00"/>
        <d v="2024-02-03T00:00:00"/>
        <d v="2024-08-31T00:00:00"/>
        <d v="2024-08-16T00:00:00"/>
        <d v="2024-11-24T00:00:00"/>
        <d v="2024-07-06T00:00:00"/>
        <d v="2024-08-14T00:00:00"/>
        <d v="2024-08-12T00:00:00"/>
        <d v="2024-12-07T00:00:00"/>
        <d v="2024-12-30T00:00:00"/>
        <d v="2024-05-29T00:00:00"/>
        <d v="2024-03-17T00:00:00"/>
        <d v="2024-06-27T00:00:00"/>
        <d v="2024-12-05T00:00:00"/>
        <d v="2024-03-26T00:00:00"/>
        <d v="2024-08-23T00:00:00"/>
        <d v="2024-04-14T00:00:00"/>
        <d v="2024-12-02T00:00:00"/>
        <d v="2024-07-11T00:00:00"/>
        <d v="2024-07-01T00:00:00"/>
        <d v="2024-05-30T00:00:00"/>
        <d v="2024-07-28T00:00:00"/>
        <d v="2024-04-02T00:00:00"/>
        <d v="2024-02-20T00:00:00"/>
        <d v="2024-06-03T00:00:00"/>
        <d v="2024-04-21T00:00:00"/>
        <d v="2024-11-05T00:00:00"/>
        <d v="2024-12-21T00:00:00"/>
        <d v="2024-02-27T00:00:00"/>
        <d v="2025-02-16T00:00:00"/>
        <d v="2024-02-29T00:00:00"/>
        <d v="2024-03-14T00:00:00"/>
        <d v="2024-01-22T00:00:00"/>
        <d v="2024-12-16T00:00:00"/>
        <d v="2024-10-16T00:00:00"/>
        <d v="2024-09-09T00:00:00"/>
        <d v="2024-05-05T00:00:00"/>
        <d v="2024-03-27T00:00:00"/>
        <d v="2024-04-10T00:00:00"/>
        <d v="2024-06-23T00:00:00"/>
        <d v="2024-05-09T00:00:00"/>
        <d v="2024-01-26T00:00:00"/>
        <d v="2024-05-15T00:00:00"/>
        <d v="2024-07-03T00:00:00"/>
        <d v="2024-12-31T00:00:00"/>
        <d v="2024-06-04T00:00:00"/>
        <d v="2024-11-27T00:00:00"/>
        <d v="2024-10-04T00:00:00"/>
        <d v="2024-09-05T00:00:00"/>
        <d v="2024-05-21T00:00:00"/>
        <d v="2024-05-02T00:00:00"/>
        <d v="2024-08-27T00:00:00"/>
        <d v="2025-01-18T00:00:00"/>
        <d v="2024-03-02T00:00:00"/>
        <d v="2024-04-07T00:00:00"/>
        <d v="2024-03-05T00:00:00"/>
        <d v="2024-03-29T00:00:00"/>
        <d v="2024-06-18T00:00:00"/>
        <d v="2024-08-22T00:00:00"/>
        <d v="2024-08-10T00:00:00"/>
        <d v="2024-03-09T00:00:00"/>
        <d v="2024-12-27T00:00:00"/>
        <d v="2024-05-11T00:00:00"/>
        <d v="2024-10-26T00:00:00"/>
        <d v="2024-05-07T00:00:00"/>
        <d v="2024-01-02T00:00:00"/>
        <d v="2024-05-03T00:00:00"/>
        <d v="2024-08-28T00:00:00"/>
        <d v="2024-05-13T00:00:00"/>
        <d v="2024-12-23T00:00:00"/>
        <d v="2024-06-14T00:00:00"/>
        <d v="2024-09-20T00:00:00"/>
        <d v="2024-06-16T00:00:00"/>
        <d v="2024-06-28T00:00:00"/>
        <d v="2024-04-25T00:00:00"/>
        <d v="2024-12-18T00:00:00"/>
        <d v="2025-01-14T00:00:00"/>
        <d v="2024-10-01T00:00:00"/>
        <d v="2024-01-13T00:00:00"/>
        <d v="2024-03-22T00:00:00"/>
        <d v="2024-08-20T00:00:00"/>
        <d v="2024-05-04T00:00:00"/>
        <d v="2024-01-20T00:00:00"/>
        <d v="2024-12-09T00:00:00"/>
        <d v="2024-04-01T00:00:00"/>
        <d v="2024-01-29T00:00:00"/>
        <d v="2024-02-08T00:00:00"/>
        <d v="2025-01-16T00:00:00"/>
        <d v="2024-12-08T00:00:00"/>
        <d v="2025-01-08T00:00:00"/>
        <d v="2025-01-27T00:00:00"/>
      </sharedItems>
      <fieldGroup par="25"/>
    </cacheField>
    <cacheField name="Days before assessment" numFmtId="41">
      <sharedItems containsMixedTypes="1" containsNumber="1" containsInteger="1" minValue="1" maxValue="50"/>
    </cacheField>
    <cacheField name="Date Allocated" numFmtId="167">
      <sharedItems containsNonDate="0" containsDate="1" containsMixedTypes="1" minDate="2024-01-26T00:00:00" maxDate="2025-03-24T00:00:00"/>
    </cacheField>
    <cacheField name="Date Allocated Clean" numFmtId="14">
      <sharedItems containsSemiMixedTypes="0" containsNonDate="0" containsDate="1" containsString="0" minDate="1899-12-31T00:00:00" maxDate="2025-03-24T00:00:00" count="153">
        <d v="2024-03-11T00:00:00"/>
        <d v="2024-09-08T00:00:00"/>
        <d v="2024-09-28T00:00:00"/>
        <d v="2024-07-02T00:00:00"/>
        <d v="2024-07-12T00:00:00"/>
        <d v="2025-01-23T00:00:00"/>
        <d v="2025-03-15T00:00:00"/>
        <d v="2024-10-05T00:00:00"/>
        <d v="2024-08-29T00:00:00"/>
        <d v="2024-06-07T00:00:00"/>
        <d v="2024-08-03T00:00:00"/>
        <d v="2024-11-28T00:00:00"/>
        <d v="2024-12-02T00:00:00"/>
        <d v="2024-07-30T00:00:00"/>
        <d v="2024-08-04T00:00:00"/>
        <d v="1899-12-31T00:00:00"/>
        <d v="2024-03-28T00:00:00"/>
        <d v="2025-02-19T00:00:00"/>
        <d v="2024-06-14T00:00:00"/>
        <d v="2024-12-25T00:00:00"/>
        <d v="2024-12-06T00:00:00"/>
        <d v="2024-07-28T00:00:00"/>
        <d v="2025-02-20T00:00:00"/>
        <d v="2024-03-07T00:00:00"/>
        <d v="2024-03-21T00:00:00"/>
        <d v="2024-05-01T00:00:00"/>
        <d v="2024-11-12T00:00:00"/>
        <d v="2024-11-03T00:00:00"/>
        <d v="2024-06-23T00:00:00"/>
        <d v="2024-04-23T00:00:00"/>
        <d v="2024-05-28T00:00:00"/>
        <d v="2024-03-14T00:00:00"/>
        <d v="2024-11-01T00:00:00"/>
        <d v="2024-07-21T00:00:00"/>
        <d v="2024-04-01T00:00:00"/>
        <d v="2024-07-06T00:00:00"/>
        <d v="2024-06-11T00:00:00"/>
        <d v="2025-01-28T00:00:00"/>
        <d v="2024-11-13T00:00:00"/>
        <d v="2024-08-15T00:00:00"/>
        <d v="2024-10-29T00:00:00"/>
        <d v="2024-07-15T00:00:00"/>
        <d v="2024-05-24T00:00:00"/>
        <d v="2024-02-06T00:00:00"/>
        <d v="2024-10-12T00:00:00"/>
        <d v="2024-08-06T00:00:00"/>
        <d v="2024-10-09T00:00:00"/>
        <d v="2024-07-03T00:00:00"/>
        <d v="2024-06-27T00:00:00"/>
        <d v="2024-03-09T00:00:00"/>
        <d v="2024-04-04T00:00:00"/>
        <d v="2025-02-09T00:00:00"/>
        <d v="2025-01-31T00:00:00"/>
        <d v="2025-02-21T00:00:00"/>
        <d v="2024-10-15T00:00:00"/>
        <d v="2024-03-20T00:00:00"/>
        <d v="2024-05-20T00:00:00"/>
        <d v="2024-11-22T00:00:00"/>
        <d v="2024-11-23T00:00:00"/>
        <d v="2024-07-09T00:00:00"/>
        <d v="2024-12-28T00:00:00"/>
        <d v="2024-03-05T00:00:00"/>
        <d v="2024-07-22T00:00:00"/>
        <d v="2024-02-21T00:00:00"/>
        <d v="2024-09-19T00:00:00"/>
        <d v="2024-03-02T00:00:00"/>
        <d v="2024-09-20T00:00:00"/>
        <d v="2024-08-22T00:00:00"/>
        <d v="2024-03-23T00:00:00"/>
        <d v="2024-12-21T00:00:00"/>
        <d v="2024-09-18T00:00:00"/>
        <d v="2024-10-06T00:00:00"/>
        <d v="2024-03-15T00:00:00"/>
        <d v="2025-01-19T00:00:00"/>
        <d v="2024-05-09T00:00:00"/>
        <d v="2024-12-29T00:00:00"/>
        <d v="2024-05-21T00:00:00"/>
        <d v="2024-12-19T00:00:00"/>
        <d v="2024-06-04T00:00:00"/>
        <d v="2024-09-25T00:00:00"/>
        <d v="2025-02-02T00:00:00"/>
        <d v="2025-01-01T00:00:00"/>
        <d v="2024-08-01T00:00:00"/>
        <d v="2024-07-17T00:00:00"/>
        <d v="2024-06-16T00:00:00"/>
        <d v="2024-09-21T00:00:00"/>
        <d v="2024-07-19T00:00:00"/>
        <d v="2024-06-15T00:00:00"/>
        <d v="2024-11-07T00:00:00"/>
        <d v="2025-02-14T00:00:00"/>
        <d v="2025-03-11T00:00:00"/>
        <d v="2024-01-30T00:00:00"/>
        <d v="2025-01-25T00:00:00"/>
        <d v="2025-01-17T00:00:00"/>
        <d v="2024-12-13T00:00:00"/>
        <d v="2024-10-31T00:00:00"/>
        <d v="2024-05-11T00:00:00"/>
        <d v="2024-04-19T00:00:00"/>
        <d v="2025-01-02T00:00:00"/>
        <d v="2024-06-25T00:00:00"/>
        <d v="2024-03-17T00:00:00"/>
        <d v="2024-05-23T00:00:00"/>
        <d v="2024-07-07T00:00:00"/>
        <d v="2024-11-10T00:00:00"/>
        <d v="2024-11-25T00:00:00"/>
        <d v="2024-10-07T00:00:00"/>
        <d v="2024-07-04T00:00:00"/>
        <d v="2024-06-29T00:00:00"/>
        <d v="2024-08-19T00:00:00"/>
        <d v="2025-02-08T00:00:00"/>
        <d v="2024-05-13T00:00:00"/>
        <d v="2024-03-18T00:00:00"/>
        <d v="2024-03-08T00:00:00"/>
        <d v="2024-09-24T00:00:00"/>
        <d v="2024-08-26T00:00:00"/>
        <d v="2024-07-08T00:00:00"/>
        <d v="2024-12-04T00:00:00"/>
        <d v="2024-04-10T00:00:00"/>
        <d v="2024-09-16T00:00:00"/>
        <d v="2024-12-07T00:00:00"/>
        <d v="2024-02-24T00:00:00"/>
        <d v="2024-12-08T00:00:00"/>
        <d v="2024-10-18T00:00:00"/>
        <d v="2024-05-16T00:00:00"/>
        <d v="2024-05-18T00:00:00"/>
        <d v="2025-01-20T00:00:00"/>
        <d v="2024-04-14T00:00:00"/>
        <d v="2024-10-08T00:00:00"/>
        <d v="2024-04-28T00:00:00"/>
        <d v="2024-08-07T00:00:00"/>
        <d v="2024-12-05T00:00:00"/>
        <d v="2025-01-10T00:00:00"/>
        <d v="2025-03-06T00:00:00"/>
        <d v="2024-12-24T00:00:00"/>
        <d v="2024-02-17T00:00:00"/>
        <d v="2024-04-08T00:00:00"/>
        <d v="2024-09-01T00:00:00"/>
        <d v="2024-08-18T00:00:00"/>
        <d v="2024-04-20T00:00:00"/>
        <d v="2024-10-16T00:00:00"/>
        <d v="2025-01-18T00:00:00"/>
        <d v="2024-06-21T00:00:00"/>
        <d v="2025-01-05T00:00:00"/>
        <d v="2024-01-26T00:00:00"/>
        <d v="2025-01-07T00:00:00"/>
        <d v="2024-05-25T00:00:00"/>
        <d v="2024-02-04T00:00:00"/>
        <d v="2024-02-15T00:00:00"/>
        <d v="2024-11-21T00:00:00"/>
        <d v="2025-03-04T00:00:00"/>
        <d v="2024-12-23T00:00:00"/>
        <d v="2025-02-18T00:00:00"/>
        <d v="2025-03-23T00:00:00"/>
      </sharedItems>
      <fieldGroup par="27"/>
    </cacheField>
    <cacheField name="Days before allocation" numFmtId="1">
      <sharedItems containsMixedTypes="1" containsNumber="1" containsInteger="1" minValue="1" maxValue="59"/>
    </cacheField>
    <cacheField name="Date Sessions Completed" numFmtId="14">
      <sharedItems containsNonDate="0" containsDate="1" containsMixedTypes="1" minDate="2024-06-02T00:00:00" maxDate="2025-09-05T00:00:00"/>
    </cacheField>
    <cacheField name="Status" numFmtId="0">
      <sharedItems count="6">
        <s v="Completed"/>
        <s v="Allocated (active)"/>
        <s v="Referred (waiting)"/>
        <s v="Withdrawn"/>
        <s v="Not Suitable"/>
        <s v="Assessed (awaiting allocation)"/>
      </sharedItems>
    </cacheField>
    <cacheField name="Counsellor " numFmtId="0">
      <sharedItems count="8">
        <s v="Ms Patel"/>
        <s v="Ms Brown"/>
        <s v="Mr Johnson"/>
        <s v="Mr Smith"/>
        <s v="Ms Hughes"/>
        <s v="Unallocated"/>
        <s v="N/A" u="1"/>
        <s v="MrJohson" u="1"/>
      </sharedItems>
    </cacheField>
    <cacheField name="Days (Date Referred)" numFmtId="0" databaseField="0">
      <fieldGroup base="10">
        <rangePr groupBy="days" startDate="2024-01-01T00:00:00" endDate="2024-12-3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24"/>
        </groupItems>
      </fieldGroup>
    </cacheField>
    <cacheField name="Months (Date Referred)" numFmtId="0" databaseField="0">
      <fieldGroup base="10">
        <rangePr groupBy="months" startDate="2024-01-01T00:00:00" endDate="2024-12-31T00:00:00"/>
        <groupItems count="14">
          <s v="&lt;01/01/2024"/>
          <s v="Jan"/>
          <s v="Feb"/>
          <s v="Mar"/>
          <s v="Apr"/>
          <s v="May"/>
          <s v="Jun"/>
          <s v="Jul"/>
          <s v="Aug"/>
          <s v="Sep"/>
          <s v="Oct"/>
          <s v="Nov"/>
          <s v="Dec"/>
          <s v="&gt;31/12/2024"/>
        </groupItems>
      </fieldGroup>
    </cacheField>
    <cacheField name="Months (Assessment Date Clean)" numFmtId="0" databaseField="0">
      <fieldGroup base="13">
        <rangePr groupBy="months" startDate="1899-12-31T00:00:00" endDate="2025-02-17T00:00:00"/>
        <groupItems count="14">
          <s v="&lt;01/01/1900"/>
          <s v="Jan"/>
          <s v="Feb"/>
          <s v="Mar"/>
          <s v="Apr"/>
          <s v="May"/>
          <s v="Jun"/>
          <s v="Jul"/>
          <s v="Aug"/>
          <s v="Sep"/>
          <s v="Oct"/>
          <s v="Nov"/>
          <s v="Dec"/>
          <s v="&gt;17/02/2025"/>
        </groupItems>
      </fieldGroup>
    </cacheField>
    <cacheField name="Quarters (Assessment Date Clean)" numFmtId="0" databaseField="0">
      <fieldGroup base="13">
        <rangePr groupBy="quarters" startDate="1899-12-31T00:00:00" endDate="2025-02-17T00:00:00"/>
        <groupItems count="6">
          <s v="&lt;01/01/1900"/>
          <s v="Qtr1"/>
          <s v="Qtr2"/>
          <s v="Qtr3"/>
          <s v="Qtr4"/>
          <s v="&gt;17/02/2025"/>
        </groupItems>
      </fieldGroup>
    </cacheField>
    <cacheField name="Years (Assessment Date Clean)" numFmtId="0" databaseField="0">
      <fieldGroup base="13">
        <rangePr groupBy="years" startDate="1899-12-31T00:00:00" endDate="2025-02-17T00:00:00"/>
        <groupItems count="128">
          <s v="&lt;01/01/1900"/>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2023"/>
          <s v="2024"/>
          <s v="2025"/>
          <s v="&gt;17/02/2025"/>
        </groupItems>
      </fieldGroup>
    </cacheField>
    <cacheField name="Months (Date Allocated Clean)" numFmtId="0" databaseField="0">
      <fieldGroup base="16">
        <rangePr groupBy="months" startDate="1899-12-31T00:00:00" endDate="2025-03-24T00:00:00"/>
        <groupItems count="14">
          <s v="&lt;01/01/1900"/>
          <s v="Jan"/>
          <s v="Feb"/>
          <s v="Mar"/>
          <s v="Apr"/>
          <s v="May"/>
          <s v="Jun"/>
          <s v="Jul"/>
          <s v="Aug"/>
          <s v="Sep"/>
          <s v="Oct"/>
          <s v="Nov"/>
          <s v="Dec"/>
          <s v="&gt;24/03/2025"/>
        </groupItems>
      </fieldGroup>
    </cacheField>
    <cacheField name="Years (Date Allocated Clean)" numFmtId="0" databaseField="0">
      <fieldGroup base="16">
        <rangePr groupBy="years" startDate="1899-12-31T00:00:00" endDate="2025-03-24T00:00:00"/>
        <groupItems count="128">
          <s v="&lt;01/01/1900"/>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2023"/>
          <s v="2024"/>
          <s v="2025"/>
          <s v="&gt;24/03/2025"/>
        </groupItems>
      </fieldGroup>
    </cacheField>
  </cacheFields>
  <extLst>
    <ext xmlns:x14="http://schemas.microsoft.com/office/spreadsheetml/2009/9/main" uri="{725AE2AE-9491-48be-B2B4-4EB974FC3084}">
      <x14:pivotCacheDefinition pivotCacheId="1148651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0">
  <r>
    <x v="0"/>
    <d v="1985-06-15T00:00:00"/>
    <n v="40"/>
    <x v="0"/>
    <x v="0"/>
    <x v="0"/>
    <x v="0"/>
    <x v="0"/>
    <s v="Homosexual"/>
    <x v="0"/>
    <x v="0"/>
    <s v="January 2024"/>
    <d v="2024-02-13T00:00:00"/>
    <x v="0"/>
    <n v="24"/>
    <d v="2024-03-11T00:00:00"/>
    <x v="0"/>
    <n v="27"/>
    <d v="2024-08-24T00:00:00"/>
    <x v="0"/>
    <x v="0"/>
  </r>
  <r>
    <x v="1"/>
    <d v="1991-10-05T00:00:00"/>
    <n v="33"/>
    <x v="1"/>
    <x v="0"/>
    <x v="1"/>
    <x v="1"/>
    <x v="0"/>
    <s v="Heterosexual"/>
    <x v="0"/>
    <x v="1"/>
    <s v="July 2024"/>
    <d v="2024-08-05T00:00:00"/>
    <x v="1"/>
    <n v="15"/>
    <d v="2024-09-08T00:00:00"/>
    <x v="1"/>
    <n v="34"/>
    <d v="2025-02-21T00:00:00"/>
    <x v="0"/>
    <x v="1"/>
  </r>
  <r>
    <x v="2"/>
    <d v="1959-06-24T00:00:00"/>
    <n v="66"/>
    <x v="2"/>
    <x v="0"/>
    <x v="1"/>
    <x v="2"/>
    <x v="1"/>
    <s v="Heterosexual"/>
    <x v="1"/>
    <x v="2"/>
    <s v="July 2024"/>
    <d v="2024-08-24T00:00:00"/>
    <x v="2"/>
    <n v="27"/>
    <d v="2024-09-28T00:00:00"/>
    <x v="2"/>
    <n v="35"/>
    <d v="2025-03-15T00:00:00"/>
    <x v="0"/>
    <x v="2"/>
  </r>
  <r>
    <x v="3"/>
    <d v="2001-05-19T00:00:00"/>
    <n v="24"/>
    <x v="3"/>
    <x v="0"/>
    <x v="2"/>
    <x v="3"/>
    <x v="0"/>
    <s v="Heterosexual"/>
    <x v="2"/>
    <x v="3"/>
    <s v="May 2024"/>
    <d v="2024-06-05T00:00:00"/>
    <x v="3"/>
    <n v="26"/>
    <d v="2024-07-02T00:00:00"/>
    <x v="3"/>
    <n v="27"/>
    <d v="2024-11-05T00:00:00"/>
    <x v="0"/>
    <x v="2"/>
  </r>
  <r>
    <x v="4"/>
    <d v="1991-05-22T00:00:00"/>
    <n v="34"/>
    <x v="1"/>
    <x v="0"/>
    <x v="1"/>
    <x v="2"/>
    <x v="1"/>
    <s v="Heterosexual"/>
    <x v="0"/>
    <x v="4"/>
    <s v="June 2024"/>
    <d v="2024-06-30T00:00:00"/>
    <x v="4"/>
    <n v="11"/>
    <d v="2024-07-12T00:00:00"/>
    <x v="4"/>
    <n v="12"/>
    <d v="2024-11-17T00:00:00"/>
    <x v="0"/>
    <x v="1"/>
  </r>
  <r>
    <x v="5"/>
    <d v="1967-02-08T00:00:00"/>
    <n v="58"/>
    <x v="4"/>
    <x v="0"/>
    <x v="2"/>
    <x v="3"/>
    <x v="0"/>
    <s v="Heterosexual"/>
    <x v="3"/>
    <x v="5"/>
    <s v="November 2024"/>
    <d v="2025-01-09T00:00:00"/>
    <x v="5"/>
    <n v="44"/>
    <d v="2025-01-23T00:00:00"/>
    <x v="5"/>
    <n v="14"/>
    <d v="2025-06-09T00:00:00"/>
    <x v="0"/>
    <x v="3"/>
  </r>
  <r>
    <x v="6"/>
    <d v="1960-09-05T00:00:00"/>
    <n v="65"/>
    <x v="2"/>
    <x v="0"/>
    <x v="3"/>
    <x v="3"/>
    <x v="0"/>
    <s v="Heterosexual"/>
    <x v="0"/>
    <x v="6"/>
    <s v="December 2024"/>
    <d v="2025-01-21T00:00:00"/>
    <x v="6"/>
    <n v="34"/>
    <d v="2025-03-15T00:00:00"/>
    <x v="6"/>
    <n v="53"/>
    <s v="N/A"/>
    <x v="1"/>
    <x v="0"/>
  </r>
  <r>
    <x v="7"/>
    <d v="1983-07-18T00:00:00"/>
    <n v="42"/>
    <x v="0"/>
    <x v="0"/>
    <x v="1"/>
    <x v="2"/>
    <x v="1"/>
    <s v="Heterosexual"/>
    <x v="3"/>
    <x v="7"/>
    <s v="July 2024"/>
    <d v="2024-08-18T00:00:00"/>
    <x v="7"/>
    <n v="20"/>
    <d v="2024-10-05T00:00:00"/>
    <x v="7"/>
    <n v="48"/>
    <s v="N/A"/>
    <x v="1"/>
    <x v="2"/>
  </r>
  <r>
    <x v="8"/>
    <d v="1984-04-04T00:00:00"/>
    <n v="41"/>
    <x v="0"/>
    <x v="0"/>
    <x v="3"/>
    <x v="3"/>
    <x v="0"/>
    <s v="Heterosexual"/>
    <x v="2"/>
    <x v="8"/>
    <s v="July 2024"/>
    <d v="2024-08-09T00:00:00"/>
    <x v="8"/>
    <n v="14"/>
    <d v="2024-08-29T00:00:00"/>
    <x v="8"/>
    <n v="20"/>
    <d v="2025-02-25T00:00:00"/>
    <x v="0"/>
    <x v="4"/>
  </r>
  <r>
    <x v="9"/>
    <d v="1992-10-10T00:00:00"/>
    <n v="32"/>
    <x v="1"/>
    <x v="0"/>
    <x v="1"/>
    <x v="3"/>
    <x v="0"/>
    <s v="Heterosexual"/>
    <x v="3"/>
    <x v="9"/>
    <s v="April 2024"/>
    <d v="2024-05-14T00:00:00"/>
    <x v="9"/>
    <n v="14"/>
    <d v="2024-07-02T00:00:00"/>
    <x v="3"/>
    <n v="49"/>
    <d v="2024-11-29T00:00:00"/>
    <x v="0"/>
    <x v="3"/>
  </r>
  <r>
    <x v="10"/>
    <d v="1988-09-22T00:00:00"/>
    <n v="37"/>
    <x v="0"/>
    <x v="0"/>
    <x v="4"/>
    <x v="1"/>
    <x v="0"/>
    <s v="Heterosexual"/>
    <x v="3"/>
    <x v="10"/>
    <s v="March 2024"/>
    <d v="2024-04-29T00:00:00"/>
    <x v="10"/>
    <n v="48"/>
    <d v="2024-06-07T00:00:00"/>
    <x v="9"/>
    <n v="39"/>
    <d v="2024-11-28T00:00:00"/>
    <x v="0"/>
    <x v="2"/>
  </r>
  <r>
    <x v="11"/>
    <d v="1984-12-25T00:00:00"/>
    <n v="40"/>
    <x v="0"/>
    <x v="0"/>
    <x v="4"/>
    <x v="1"/>
    <x v="0"/>
    <s v="Heterosexual"/>
    <x v="0"/>
    <x v="11"/>
    <s v="July 2024"/>
    <d v="2024-07-22T00:00:00"/>
    <x v="11"/>
    <n v="18"/>
    <d v="2024-08-03T00:00:00"/>
    <x v="10"/>
    <n v="12"/>
    <d v="2025-01-12T00:00:00"/>
    <x v="0"/>
    <x v="4"/>
  </r>
  <r>
    <x v="12"/>
    <d v="1990-09-06T00:00:00"/>
    <n v="35"/>
    <x v="0"/>
    <x v="0"/>
    <x v="1"/>
    <x v="2"/>
    <x v="1"/>
    <s v="Heterosexual"/>
    <x v="3"/>
    <x v="12"/>
    <s v="October 2024"/>
    <d v="2024-10-25T00:00:00"/>
    <x v="12"/>
    <n v="23"/>
    <d v="2024-11-28T00:00:00"/>
    <x v="11"/>
    <n v="34"/>
    <s v="N/A"/>
    <x v="1"/>
    <x v="2"/>
  </r>
  <r>
    <x v="13"/>
    <d v="1975-08-17T00:00:00"/>
    <n v="50"/>
    <x v="5"/>
    <x v="0"/>
    <x v="2"/>
    <x v="3"/>
    <x v="0"/>
    <s v="Heterosexual"/>
    <x v="0"/>
    <x v="13"/>
    <s v="September 2024"/>
    <d v="2024-10-23T00:00:00"/>
    <x v="13"/>
    <n v="49"/>
    <d v="2024-12-02T00:00:00"/>
    <x v="12"/>
    <n v="40"/>
    <s v="N/A"/>
    <x v="1"/>
    <x v="4"/>
  </r>
  <r>
    <x v="14"/>
    <d v="1986-03-14T00:00:00"/>
    <n v="39"/>
    <x v="0"/>
    <x v="0"/>
    <x v="1"/>
    <x v="2"/>
    <x v="1"/>
    <s v="Homosexual"/>
    <x v="3"/>
    <x v="14"/>
    <s v="May 2024"/>
    <d v="2024-06-11T00:00:00"/>
    <x v="14"/>
    <n v="41"/>
    <d v="2024-07-30T00:00:00"/>
    <x v="13"/>
    <n v="49"/>
    <d v="2024-12-02T00:00:00"/>
    <x v="0"/>
    <x v="2"/>
  </r>
  <r>
    <x v="15"/>
    <d v="1981-10-17T00:00:00"/>
    <n v="43"/>
    <x v="0"/>
    <x v="1"/>
    <x v="2"/>
    <x v="3"/>
    <x v="0"/>
    <s v="Heterosexual"/>
    <x v="3"/>
    <x v="15"/>
    <s v="May 2024"/>
    <d v="2024-06-21T00:00:00"/>
    <x v="15"/>
    <n v="31"/>
    <d v="2024-08-04T00:00:00"/>
    <x v="14"/>
    <n v="44"/>
    <d v="2024-12-31T00:00:00"/>
    <x v="0"/>
    <x v="2"/>
  </r>
  <r>
    <x v="16"/>
    <d v="1975-02-03T00:00:00"/>
    <n v="50"/>
    <x v="5"/>
    <x v="1"/>
    <x v="3"/>
    <x v="3"/>
    <x v="0"/>
    <s v="Heterosexual"/>
    <x v="0"/>
    <x v="16"/>
    <s v="December 2024"/>
    <s v="N/A"/>
    <x v="16"/>
    <s v="N/A"/>
    <s v="N/A"/>
    <x v="15"/>
    <s v="N/A"/>
    <s v="N/A"/>
    <x v="2"/>
    <x v="1"/>
  </r>
  <r>
    <x v="17"/>
    <d v="1997-07-05T00:00:00"/>
    <n v="28"/>
    <x v="1"/>
    <x v="0"/>
    <x v="1"/>
    <x v="1"/>
    <x v="0"/>
    <s v="Homosexual"/>
    <x v="4"/>
    <x v="17"/>
    <s v="October 2024"/>
    <s v="N/A"/>
    <x v="16"/>
    <s v="N/A"/>
    <s v="N/A"/>
    <x v="15"/>
    <s v="N/A"/>
    <s v="N/A"/>
    <x v="2"/>
    <x v="3"/>
  </r>
  <r>
    <x v="18"/>
    <d v="1964-01-05T00:00:00"/>
    <n v="61"/>
    <x v="4"/>
    <x v="0"/>
    <x v="5"/>
    <x v="0"/>
    <x v="0"/>
    <s v="Homosexual"/>
    <x v="0"/>
    <x v="18"/>
    <s v="January 2024"/>
    <d v="2024-03-08T00:00:00"/>
    <x v="17"/>
    <n v="47"/>
    <d v="2024-03-28T00:00:00"/>
    <x v="16"/>
    <n v="20"/>
    <d v="2024-09-17T00:00:00"/>
    <x v="0"/>
    <x v="0"/>
  </r>
  <r>
    <x v="19"/>
    <d v="2004-04-17T00:00:00"/>
    <n v="21"/>
    <x v="3"/>
    <x v="1"/>
    <x v="1"/>
    <x v="2"/>
    <x v="1"/>
    <s v="Heterosexual"/>
    <x v="2"/>
    <x v="19"/>
    <s v="December 2024"/>
    <d v="2025-01-05T00:00:00"/>
    <x v="18"/>
    <n v="22"/>
    <d v="2025-02-19T00:00:00"/>
    <x v="17"/>
    <n v="45"/>
    <d v="2025-06-30T00:00:00"/>
    <x v="0"/>
    <x v="3"/>
  </r>
  <r>
    <x v="20"/>
    <d v="1979-07-28T00:00:00"/>
    <n v="46"/>
    <x v="5"/>
    <x v="1"/>
    <x v="3"/>
    <x v="3"/>
    <x v="0"/>
    <s v="Heterosexual"/>
    <x v="4"/>
    <x v="20"/>
    <s v="March 2024"/>
    <d v="2024-04-24T00:00:00"/>
    <x v="19"/>
    <n v="26"/>
    <d v="2024-06-14T00:00:00"/>
    <x v="18"/>
    <n v="51"/>
    <d v="2024-11-17T00:00:00"/>
    <x v="0"/>
    <x v="4"/>
  </r>
  <r>
    <x v="21"/>
    <d v="1967-04-13T00:00:00"/>
    <n v="58"/>
    <x v="4"/>
    <x v="0"/>
    <x v="4"/>
    <x v="1"/>
    <x v="0"/>
    <s v="Heterosexual"/>
    <x v="3"/>
    <x v="21"/>
    <s v="February 2024"/>
    <d v="2024-03-04T00:00:00"/>
    <x v="20"/>
    <n v="12"/>
    <d v="2024-03-11T00:00:00"/>
    <x v="0"/>
    <n v="7"/>
    <d v="2024-08-27T00:00:00"/>
    <x v="0"/>
    <x v="0"/>
  </r>
  <r>
    <x v="22"/>
    <d v="1978-11-19T00:00:00"/>
    <n v="46"/>
    <x v="5"/>
    <x v="0"/>
    <x v="3"/>
    <x v="3"/>
    <x v="0"/>
    <s v="Homosexual"/>
    <x v="3"/>
    <x v="22"/>
    <s v="October 2024"/>
    <d v="2024-11-01T00:00:00"/>
    <x v="21"/>
    <n v="27"/>
    <d v="2024-12-25T00:00:00"/>
    <x v="19"/>
    <n v="54"/>
    <d v="2025-06-18T00:00:00"/>
    <x v="0"/>
    <x v="3"/>
  </r>
  <r>
    <x v="23"/>
    <d v="1971-10-09T00:00:00"/>
    <n v="53"/>
    <x v="5"/>
    <x v="0"/>
    <x v="3"/>
    <x v="3"/>
    <x v="0"/>
    <s v="Heterosexual"/>
    <x v="4"/>
    <x v="23"/>
    <s v="October 2024"/>
    <d v="2024-10-12T00:00:00"/>
    <x v="22"/>
    <n v="6"/>
    <d v="2024-12-06T00:00:00"/>
    <x v="20"/>
    <n v="55"/>
    <d v="2025-05-02T00:00:00"/>
    <x v="0"/>
    <x v="3"/>
  </r>
  <r>
    <x v="24"/>
    <d v="1996-05-12T00:00:00"/>
    <n v="29"/>
    <x v="1"/>
    <x v="0"/>
    <x v="1"/>
    <x v="2"/>
    <x v="1"/>
    <s v="Heterosexual"/>
    <x v="0"/>
    <x v="24"/>
    <s v="February 2024"/>
    <s v="N/A"/>
    <x v="16"/>
    <s v="N/A"/>
    <s v="N/A"/>
    <x v="15"/>
    <s v="N/A"/>
    <s v="N/A"/>
    <x v="2"/>
    <x v="5"/>
  </r>
  <r>
    <x v="25"/>
    <d v="1984-07-03T00:00:00"/>
    <n v="41"/>
    <x v="0"/>
    <x v="2"/>
    <x v="2"/>
    <x v="3"/>
    <x v="0"/>
    <s v="Heterosexual"/>
    <x v="4"/>
    <x v="3"/>
    <s v="May 2024"/>
    <d v="2024-06-11T00:00:00"/>
    <x v="14"/>
    <n v="32"/>
    <d v="2024-07-28T00:00:00"/>
    <x v="21"/>
    <n v="47"/>
    <d v="2025-01-11T00:00:00"/>
    <x v="0"/>
    <x v="3"/>
  </r>
  <r>
    <x v="26"/>
    <d v="1995-03-14T00:00:00"/>
    <n v="30"/>
    <x v="1"/>
    <x v="1"/>
    <x v="4"/>
    <x v="1"/>
    <x v="0"/>
    <s v="Homosexual"/>
    <x v="0"/>
    <x v="25"/>
    <s v="December 2024"/>
    <d v="2024-12-26T00:00:00"/>
    <x v="23"/>
    <n v="7"/>
    <d v="2025-02-20T00:00:00"/>
    <x v="22"/>
    <n v="56"/>
    <d v="2025-07-10T00:00:00"/>
    <x v="0"/>
    <x v="1"/>
  </r>
  <r>
    <x v="27"/>
    <d v="1986-01-28T00:00:00"/>
    <n v="39"/>
    <x v="0"/>
    <x v="0"/>
    <x v="6"/>
    <x v="0"/>
    <x v="0"/>
    <s v="Heterosexual"/>
    <x v="4"/>
    <x v="26"/>
    <s v="February 2024"/>
    <d v="2024-02-23T00:00:00"/>
    <x v="24"/>
    <n v="22"/>
    <d v="2024-03-07T00:00:00"/>
    <x v="23"/>
    <n v="13"/>
    <d v="2024-08-30T00:00:00"/>
    <x v="0"/>
    <x v="0"/>
  </r>
  <r>
    <x v="28"/>
    <d v="1973-01-13T00:00:00"/>
    <n v="52"/>
    <x v="5"/>
    <x v="0"/>
    <x v="2"/>
    <x v="3"/>
    <x v="0"/>
    <s v="Heterosexual"/>
    <x v="0"/>
    <x v="27"/>
    <s v="February 2024"/>
    <d v="2024-03-01T00:00:00"/>
    <x v="25"/>
    <n v="10"/>
    <d v="2024-03-21T00:00:00"/>
    <x v="24"/>
    <n v="20"/>
    <d v="2024-08-26T00:00:00"/>
    <x v="0"/>
    <x v="0"/>
  </r>
  <r>
    <x v="29"/>
    <d v="1994-02-11T00:00:00"/>
    <n v="31"/>
    <x v="1"/>
    <x v="0"/>
    <x v="2"/>
    <x v="3"/>
    <x v="0"/>
    <s v="Homosexual"/>
    <x v="2"/>
    <x v="28"/>
    <s v="February 2024"/>
    <d v="2024-03-13T00:00:00"/>
    <x v="26"/>
    <n v="28"/>
    <d v="2024-05-01T00:00:00"/>
    <x v="25"/>
    <n v="49"/>
    <d v="2024-10-12T00:00:00"/>
    <x v="0"/>
    <x v="1"/>
  </r>
  <r>
    <x v="30"/>
    <d v="2002-06-12T00:00:00"/>
    <n v="23"/>
    <x v="3"/>
    <x v="1"/>
    <x v="1"/>
    <x v="2"/>
    <x v="1"/>
    <s v="Heterosexual"/>
    <x v="0"/>
    <x v="29"/>
    <s v="October 2024"/>
    <d v="2024-10-28T00:00:00"/>
    <x v="27"/>
    <n v="6"/>
    <d v="2024-11-12T00:00:00"/>
    <x v="26"/>
    <n v="15"/>
    <d v="2025-03-14T00:00:00"/>
    <x v="0"/>
    <x v="3"/>
  </r>
  <r>
    <x v="31"/>
    <d v="1976-10-12T00:00:00"/>
    <n v="48"/>
    <x v="5"/>
    <x v="0"/>
    <x v="3"/>
    <x v="3"/>
    <x v="0"/>
    <s v="Heterosexual"/>
    <x v="3"/>
    <x v="30"/>
    <s v="August 2024"/>
    <d v="2024-09-18T00:00:00"/>
    <x v="28"/>
    <n v="39"/>
    <d v="2024-11-03T00:00:00"/>
    <x v="27"/>
    <n v="46"/>
    <d v="2025-04-29T00:00:00"/>
    <x v="0"/>
    <x v="2"/>
  </r>
  <r>
    <x v="32"/>
    <d v="1962-01-19T00:00:00"/>
    <n v="63"/>
    <x v="4"/>
    <x v="0"/>
    <x v="2"/>
    <x v="3"/>
    <x v="0"/>
    <s v="Heterosexual"/>
    <x v="0"/>
    <x v="15"/>
    <s v="May 2024"/>
    <d v="2024-06-19T00:00:00"/>
    <x v="29"/>
    <n v="29"/>
    <d v="2024-06-23T00:00:00"/>
    <x v="28"/>
    <n v="4"/>
    <d v="2024-11-29T00:00:00"/>
    <x v="0"/>
    <x v="4"/>
  </r>
  <r>
    <x v="33"/>
    <d v="1989-12-09T00:00:00"/>
    <n v="35"/>
    <x v="0"/>
    <x v="1"/>
    <x v="3"/>
    <x v="3"/>
    <x v="0"/>
    <s v="Heterosexual"/>
    <x v="3"/>
    <x v="31"/>
    <s v="December 2024"/>
    <s v="N/A"/>
    <x v="16"/>
    <s v="N/A"/>
    <s v="N/A"/>
    <x v="15"/>
    <s v="N/A"/>
    <s v="N/A"/>
    <x v="0"/>
    <x v="3"/>
  </r>
  <r>
    <x v="34"/>
    <d v="1988-03-07T00:00:00"/>
    <n v="37"/>
    <x v="0"/>
    <x v="0"/>
    <x v="1"/>
    <x v="1"/>
    <x v="0"/>
    <s v="Heterosexual"/>
    <x v="0"/>
    <x v="24"/>
    <s v="February 2024"/>
    <d v="2024-03-21T00:00:00"/>
    <x v="30"/>
    <n v="26"/>
    <d v="2024-04-23T00:00:00"/>
    <x v="29"/>
    <n v="33"/>
    <d v="2024-10-18T00:00:00"/>
    <x v="0"/>
    <x v="3"/>
  </r>
  <r>
    <x v="35"/>
    <d v="1986-11-08T00:00:00"/>
    <n v="38"/>
    <x v="0"/>
    <x v="0"/>
    <x v="7"/>
    <x v="3"/>
    <x v="0"/>
    <s v="Heterosexual"/>
    <x v="0"/>
    <x v="32"/>
    <s v="April 2024"/>
    <d v="2024-05-26T00:00:00"/>
    <x v="31"/>
    <n v="33"/>
    <d v="2024-05-28T00:00:00"/>
    <x v="30"/>
    <n v="2"/>
    <d v="2024-10-04T00:00:00"/>
    <x v="0"/>
    <x v="0"/>
  </r>
  <r>
    <x v="36"/>
    <d v="1996-11-09T00:00:00"/>
    <n v="28"/>
    <x v="1"/>
    <x v="0"/>
    <x v="1"/>
    <x v="1"/>
    <x v="0"/>
    <s v="Heterosexual"/>
    <x v="3"/>
    <x v="33"/>
    <s v="January 2024"/>
    <d v="2024-01-31T00:00:00"/>
    <x v="32"/>
    <n v="2"/>
    <d v="2024-03-14T00:00:00"/>
    <x v="31"/>
    <n v="43"/>
    <d v="2024-08-04T00:00:00"/>
    <x v="0"/>
    <x v="2"/>
  </r>
  <r>
    <x v="37"/>
    <d v="1965-04-21T00:00:00"/>
    <n v="60"/>
    <x v="4"/>
    <x v="0"/>
    <x v="7"/>
    <x v="3"/>
    <x v="0"/>
    <s v="Homosexual"/>
    <x v="4"/>
    <x v="34"/>
    <s v="September 2024"/>
    <d v="2024-10-15T00:00:00"/>
    <x v="33"/>
    <n v="37"/>
    <d v="2024-11-01T00:00:00"/>
    <x v="32"/>
    <n v="17"/>
    <d v="2025-03-21T00:00:00"/>
    <x v="0"/>
    <x v="4"/>
  </r>
  <r>
    <x v="38"/>
    <d v="2002-02-19T00:00:00"/>
    <n v="23"/>
    <x v="3"/>
    <x v="0"/>
    <x v="3"/>
    <x v="3"/>
    <x v="0"/>
    <s v="Heterosexual"/>
    <x v="0"/>
    <x v="35"/>
    <s v="June 2024"/>
    <d v="2024-07-02T00:00:00"/>
    <x v="34"/>
    <n v="7"/>
    <d v="2024-07-21T00:00:00"/>
    <x v="33"/>
    <n v="19"/>
    <d v="2025-01-08T00:00:00"/>
    <x v="0"/>
    <x v="2"/>
  </r>
  <r>
    <x v="39"/>
    <d v="1973-12-20T00:00:00"/>
    <n v="51"/>
    <x v="5"/>
    <x v="0"/>
    <x v="3"/>
    <x v="3"/>
    <x v="0"/>
    <s v="Heterosexual"/>
    <x v="3"/>
    <x v="36"/>
    <s v="January 2024"/>
    <s v="N/A"/>
    <x v="16"/>
    <s v="N/A"/>
    <s v="N/A"/>
    <x v="15"/>
    <s v="N/A"/>
    <s v="N/A"/>
    <x v="0"/>
    <x v="2"/>
  </r>
  <r>
    <x v="40"/>
    <d v="1958-01-06T00:00:00"/>
    <n v="67"/>
    <x v="2"/>
    <x v="0"/>
    <x v="2"/>
    <x v="3"/>
    <x v="0"/>
    <s v="Homosexual"/>
    <x v="2"/>
    <x v="27"/>
    <s v="February 2024"/>
    <d v="2024-03-11T00:00:00"/>
    <x v="35"/>
    <n v="20"/>
    <d v="2024-04-01T00:00:00"/>
    <x v="34"/>
    <n v="21"/>
    <d v="2024-08-02T00:00:00"/>
    <x v="0"/>
    <x v="4"/>
  </r>
  <r>
    <x v="41"/>
    <d v="1974-10-27T00:00:00"/>
    <n v="50"/>
    <x v="5"/>
    <x v="0"/>
    <x v="3"/>
    <x v="3"/>
    <x v="0"/>
    <s v="Heterosexual"/>
    <x v="3"/>
    <x v="37"/>
    <s v="May 2024"/>
    <d v="2024-06-09T00:00:00"/>
    <x v="36"/>
    <n v="25"/>
    <d v="2024-07-06T00:00:00"/>
    <x v="35"/>
    <n v="27"/>
    <s v="N/A"/>
    <x v="0"/>
    <x v="1"/>
  </r>
  <r>
    <x v="42"/>
    <d v="1965-12-17T00:00:00"/>
    <n v="59"/>
    <x v="4"/>
    <x v="0"/>
    <x v="1"/>
    <x v="3"/>
    <x v="0"/>
    <s v="Heterosexual"/>
    <x v="4"/>
    <x v="38"/>
    <s v="April 2024"/>
    <d v="2024-04-23T00:00:00"/>
    <x v="37"/>
    <n v="13"/>
    <d v="2024-06-11T00:00:00"/>
    <x v="36"/>
    <n v="49"/>
    <d v="2024-10-11T00:00:00"/>
    <x v="0"/>
    <x v="1"/>
  </r>
  <r>
    <x v="43"/>
    <d v="1989-08-24T00:00:00"/>
    <n v="36"/>
    <x v="0"/>
    <x v="0"/>
    <x v="2"/>
    <x v="3"/>
    <x v="0"/>
    <s v="Heterosexual"/>
    <x v="0"/>
    <x v="39"/>
    <s v="December 2024"/>
    <d v="2025-01-01T00:00:00"/>
    <x v="38"/>
    <n v="12"/>
    <d v="2025-01-28T00:00:00"/>
    <x v="37"/>
    <n v="27"/>
    <d v="2025-07-06T00:00:00"/>
    <x v="0"/>
    <x v="1"/>
  </r>
  <r>
    <x v="44"/>
    <d v="2005-09-15T00:00:00"/>
    <n v="20"/>
    <x v="3"/>
    <x v="1"/>
    <x v="1"/>
    <x v="2"/>
    <x v="1"/>
    <s v="Heterosexual"/>
    <x v="0"/>
    <x v="40"/>
    <s v="March 2024"/>
    <s v="N/A"/>
    <x v="16"/>
    <s v="N/A"/>
    <s v="N/A"/>
    <x v="15"/>
    <s v="N/A"/>
    <s v="N/A"/>
    <x v="2"/>
    <x v="0"/>
  </r>
  <r>
    <x v="45"/>
    <d v="1992-09-09T00:00:00"/>
    <n v="33"/>
    <x v="1"/>
    <x v="0"/>
    <x v="3"/>
    <x v="3"/>
    <x v="0"/>
    <s v="Heterosexual"/>
    <x v="3"/>
    <x v="41"/>
    <s v="October 2024"/>
    <s v="N/A"/>
    <x v="16"/>
    <s v="N/A"/>
    <s v="N/A"/>
    <x v="15"/>
    <s v="N/A"/>
    <s v="N/A"/>
    <x v="2"/>
    <x v="3"/>
  </r>
  <r>
    <x v="46"/>
    <d v="1994-11-24T00:00:00"/>
    <n v="30"/>
    <x v="1"/>
    <x v="0"/>
    <x v="0"/>
    <x v="0"/>
    <x v="0"/>
    <s v="Heterosexual"/>
    <x v="0"/>
    <x v="42"/>
    <s v="August 2024"/>
    <d v="2024-09-17T00:00:00"/>
    <x v="39"/>
    <n v="30"/>
    <d v="2024-11-13T00:00:00"/>
    <x v="38"/>
    <n v="57"/>
    <d v="2025-04-30T00:00:00"/>
    <x v="0"/>
    <x v="3"/>
  </r>
  <r>
    <x v="47"/>
    <d v="1960-09-17T00:00:00"/>
    <n v="65"/>
    <x v="2"/>
    <x v="1"/>
    <x v="2"/>
    <x v="3"/>
    <x v="0"/>
    <s v="Homosexual"/>
    <x v="4"/>
    <x v="43"/>
    <s v="July 2024"/>
    <d v="2024-07-26T00:00:00"/>
    <x v="40"/>
    <n v="2"/>
    <d v="2024-08-15T00:00:00"/>
    <x v="39"/>
    <n v="20"/>
    <d v="2025-01-03T00:00:00"/>
    <x v="0"/>
    <x v="2"/>
  </r>
  <r>
    <x v="48"/>
    <d v="1975-11-23T00:00:00"/>
    <n v="49"/>
    <x v="5"/>
    <x v="0"/>
    <x v="2"/>
    <x v="3"/>
    <x v="0"/>
    <s v="Heterosexual"/>
    <x v="2"/>
    <x v="44"/>
    <s v="October 2024"/>
    <d v="2024-10-25T00:00:00"/>
    <x v="12"/>
    <n v="14"/>
    <d v="2024-10-29T00:00:00"/>
    <x v="40"/>
    <n v="4"/>
    <d v="2025-04-26T00:00:00"/>
    <x v="0"/>
    <x v="0"/>
  </r>
  <r>
    <x v="49"/>
    <d v="2005-07-25T00:00:00"/>
    <n v="20"/>
    <x v="3"/>
    <x v="1"/>
    <x v="4"/>
    <x v="1"/>
    <x v="0"/>
    <s v="Heterosexual"/>
    <x v="3"/>
    <x v="45"/>
    <s v="June 2024"/>
    <d v="2024-06-19T00:00:00"/>
    <x v="29"/>
    <n v="8"/>
    <d v="2024-07-15T00:00:00"/>
    <x v="41"/>
    <n v="26"/>
    <d v="2024-11-21T00:00:00"/>
    <x v="0"/>
    <x v="2"/>
  </r>
  <r>
    <x v="50"/>
    <d v="1994-08-11T00:00:00"/>
    <n v="31"/>
    <x v="1"/>
    <x v="1"/>
    <x v="3"/>
    <x v="3"/>
    <x v="0"/>
    <s v="Heterosexual"/>
    <x v="3"/>
    <x v="46"/>
    <s v="April 2024"/>
    <d v="2024-05-12T00:00:00"/>
    <x v="41"/>
    <n v="24"/>
    <d v="2024-05-24T00:00:00"/>
    <x v="42"/>
    <n v="12"/>
    <d v="2024-10-12T00:00:00"/>
    <x v="0"/>
    <x v="3"/>
  </r>
  <r>
    <x v="51"/>
    <d v="1969-06-20T00:00:00"/>
    <n v="56"/>
    <x v="4"/>
    <x v="1"/>
    <x v="1"/>
    <x v="3"/>
    <x v="0"/>
    <s v="Heterosexual"/>
    <x v="4"/>
    <x v="47"/>
    <s v="January 2024"/>
    <d v="2024-01-23T00:00:00"/>
    <x v="42"/>
    <n v="10"/>
    <d v="2024-02-06T00:00:00"/>
    <x v="43"/>
    <n v="14"/>
    <d v="2024-07-10T00:00:00"/>
    <x v="0"/>
    <x v="0"/>
  </r>
  <r>
    <x v="52"/>
    <d v="1993-02-22T00:00:00"/>
    <n v="32"/>
    <x v="1"/>
    <x v="1"/>
    <x v="1"/>
    <x v="2"/>
    <x v="1"/>
    <s v="Heterosexual"/>
    <x v="4"/>
    <x v="48"/>
    <s v="August 2024"/>
    <d v="2024-09-19T00:00:00"/>
    <x v="43"/>
    <n v="30"/>
    <d v="2024-10-12T00:00:00"/>
    <x v="44"/>
    <n v="23"/>
    <d v="2025-02-14T00:00:00"/>
    <x v="0"/>
    <x v="1"/>
  </r>
  <r>
    <x v="53"/>
    <d v="1960-10-11T00:00:00"/>
    <n v="64"/>
    <x v="4"/>
    <x v="1"/>
    <x v="8"/>
    <x v="0"/>
    <x v="0"/>
    <s v="Heterosexual"/>
    <x v="4"/>
    <x v="49"/>
    <s v="June 2024"/>
    <d v="2024-07-23T00:00:00"/>
    <x v="44"/>
    <n v="48"/>
    <d v="2024-08-06T00:00:00"/>
    <x v="45"/>
    <n v="14"/>
    <d v="2025-01-28T00:00:00"/>
    <x v="0"/>
    <x v="1"/>
  </r>
  <r>
    <x v="54"/>
    <d v="1990-04-18T00:00:00"/>
    <n v="35"/>
    <x v="0"/>
    <x v="1"/>
    <x v="1"/>
    <x v="1"/>
    <x v="0"/>
    <s v="Heterosexual"/>
    <x v="2"/>
    <x v="50"/>
    <s v="September 2024"/>
    <d v="2024-09-26T00:00:00"/>
    <x v="45"/>
    <n v="2"/>
    <d v="2024-10-09T00:00:00"/>
    <x v="46"/>
    <n v="13"/>
    <d v="2025-02-07T00:00:00"/>
    <x v="0"/>
    <x v="1"/>
  </r>
  <r>
    <x v="55"/>
    <d v="2004-05-20T00:00:00"/>
    <n v="21"/>
    <x v="3"/>
    <x v="1"/>
    <x v="1"/>
    <x v="2"/>
    <x v="1"/>
    <s v="Heterosexual"/>
    <x v="0"/>
    <x v="51"/>
    <s v="April 2024"/>
    <d v="2024-05-31T00:00:00"/>
    <x v="46"/>
    <n v="50"/>
    <d v="2024-07-03T00:00:00"/>
    <x v="47"/>
    <n v="33"/>
    <d v="2024-12-19T00:00:00"/>
    <x v="0"/>
    <x v="1"/>
  </r>
  <r>
    <x v="56"/>
    <d v="1994-12-04T00:00:00"/>
    <n v="30"/>
    <x v="1"/>
    <x v="1"/>
    <x v="4"/>
    <x v="1"/>
    <x v="0"/>
    <s v="Homosexual"/>
    <x v="4"/>
    <x v="32"/>
    <s v="April 2024"/>
    <d v="2024-04-30T00:00:00"/>
    <x v="47"/>
    <n v="7"/>
    <d v="2024-06-27T00:00:00"/>
    <x v="48"/>
    <n v="58"/>
    <d v="2024-11-22T00:00:00"/>
    <x v="0"/>
    <x v="1"/>
  </r>
  <r>
    <x v="57"/>
    <d v="1988-04-16T00:00:00"/>
    <n v="37"/>
    <x v="0"/>
    <x v="0"/>
    <x v="3"/>
    <x v="3"/>
    <x v="0"/>
    <s v="Heterosexual"/>
    <x v="2"/>
    <x v="52"/>
    <s v="January 2024"/>
    <d v="2024-02-28T00:00:00"/>
    <x v="48"/>
    <n v="48"/>
    <d v="2024-03-09T00:00:00"/>
    <x v="49"/>
    <n v="10"/>
    <d v="2024-08-13T00:00:00"/>
    <x v="0"/>
    <x v="4"/>
  </r>
  <r>
    <x v="58"/>
    <d v="1991-08-19T00:00:00"/>
    <n v="34"/>
    <x v="1"/>
    <x v="0"/>
    <x v="4"/>
    <x v="1"/>
    <x v="0"/>
    <s v="Heterosexual"/>
    <x v="4"/>
    <x v="53"/>
    <s v="January 2024"/>
    <d v="2024-03-12T00:00:00"/>
    <x v="49"/>
    <n v="45"/>
    <d v="2024-04-04T00:00:00"/>
    <x v="50"/>
    <n v="23"/>
    <d v="2024-08-22T00:00:00"/>
    <x v="0"/>
    <x v="2"/>
  </r>
  <r>
    <x v="59"/>
    <d v="1981-09-12T00:00:00"/>
    <n v="44"/>
    <x v="0"/>
    <x v="0"/>
    <x v="1"/>
    <x v="2"/>
    <x v="1"/>
    <s v="Heterosexual"/>
    <x v="2"/>
    <x v="54"/>
    <s v="November 2024"/>
    <d v="2024-12-17T00:00:00"/>
    <x v="50"/>
    <n v="45"/>
    <d v="2025-02-09T00:00:00"/>
    <x v="51"/>
    <n v="54"/>
    <d v="2025-08-08T00:00:00"/>
    <x v="0"/>
    <x v="4"/>
  </r>
  <r>
    <x v="60"/>
    <d v="1978-11-17T00:00:00"/>
    <n v="46"/>
    <x v="5"/>
    <x v="0"/>
    <x v="1"/>
    <x v="2"/>
    <x v="1"/>
    <s v="Heterosexual"/>
    <x v="0"/>
    <x v="55"/>
    <s v="October 2024"/>
    <d v="2024-12-06T00:00:00"/>
    <x v="51"/>
    <n v="37"/>
    <d v="2025-01-31T00:00:00"/>
    <x v="52"/>
    <n v="56"/>
    <d v="2025-07-18T00:00:00"/>
    <x v="0"/>
    <x v="4"/>
  </r>
  <r>
    <x v="61"/>
    <d v="1971-10-07T00:00:00"/>
    <n v="53"/>
    <x v="5"/>
    <x v="0"/>
    <x v="2"/>
    <x v="3"/>
    <x v="0"/>
    <s v="Heterosexual"/>
    <x v="0"/>
    <x v="56"/>
    <s v="December 2024"/>
    <d v="2025-02-11T00:00:00"/>
    <x v="52"/>
    <n v="46"/>
    <d v="2025-02-21T00:00:00"/>
    <x v="53"/>
    <n v="10"/>
    <d v="2025-06-28T00:00:00"/>
    <x v="0"/>
    <x v="2"/>
  </r>
  <r>
    <x v="62"/>
    <d v="1982-02-07T00:00:00"/>
    <n v="43"/>
    <x v="0"/>
    <x v="0"/>
    <x v="3"/>
    <x v="3"/>
    <x v="0"/>
    <s v="Heterosexual"/>
    <x v="3"/>
    <x v="57"/>
    <s v="September 2024"/>
    <d v="2024-10-05T00:00:00"/>
    <x v="53"/>
    <n v="23"/>
    <d v="2024-10-15T00:00:00"/>
    <x v="54"/>
    <n v="10"/>
    <d v="2025-03-21T00:00:00"/>
    <x v="0"/>
    <x v="1"/>
  </r>
  <r>
    <x v="63"/>
    <d v="1966-11-24T00:00:00"/>
    <n v="58"/>
    <x v="4"/>
    <x v="0"/>
    <x v="2"/>
    <x v="3"/>
    <x v="0"/>
    <s v="Heterosexual"/>
    <x v="4"/>
    <x v="58"/>
    <s v="December 2024"/>
    <d v="2025-01-25T00:00:00"/>
    <x v="54"/>
    <n v="41"/>
    <d v="2025-02-09T00:00:00"/>
    <x v="51"/>
    <n v="15"/>
    <d v="2025-06-17T00:00:00"/>
    <x v="0"/>
    <x v="3"/>
  </r>
  <r>
    <x v="64"/>
    <d v="1974-07-09T00:00:00"/>
    <n v="51"/>
    <x v="5"/>
    <x v="0"/>
    <x v="2"/>
    <x v="3"/>
    <x v="0"/>
    <s v="Heterosexual"/>
    <x v="2"/>
    <x v="47"/>
    <s v="January 2024"/>
    <d v="2024-02-18T00:00:00"/>
    <x v="55"/>
    <n v="36"/>
    <d v="2024-03-20T00:00:00"/>
    <x v="55"/>
    <n v="31"/>
    <d v="2024-09-10T00:00:00"/>
    <x v="0"/>
    <x v="4"/>
  </r>
  <r>
    <x v="65"/>
    <d v="1984-04-09T00:00:00"/>
    <n v="41"/>
    <x v="0"/>
    <x v="0"/>
    <x v="1"/>
    <x v="2"/>
    <x v="1"/>
    <s v="Heterosexual"/>
    <x v="5"/>
    <x v="59"/>
    <s v="February 2024"/>
    <d v="2024-03-24T00:00:00"/>
    <x v="56"/>
    <n v="24"/>
    <d v="2024-05-20T00:00:00"/>
    <x v="56"/>
    <n v="57"/>
    <d v="2024-11-11T00:00:00"/>
    <x v="0"/>
    <x v="0"/>
  </r>
  <r>
    <x v="66"/>
    <d v="1970-10-11T00:00:00"/>
    <n v="54"/>
    <x v="5"/>
    <x v="0"/>
    <x v="3"/>
    <x v="3"/>
    <x v="0"/>
    <s v="Homosexual"/>
    <x v="4"/>
    <x v="60"/>
    <s v="September 2024"/>
    <d v="2024-10-14T00:00:00"/>
    <x v="57"/>
    <n v="29"/>
    <d v="2024-11-22T00:00:00"/>
    <x v="57"/>
    <n v="39"/>
    <d v="2025-05-05T00:00:00"/>
    <x v="0"/>
    <x v="4"/>
  </r>
  <r>
    <x v="67"/>
    <d v="1989-08-16T00:00:00"/>
    <n v="36"/>
    <x v="0"/>
    <x v="0"/>
    <x v="2"/>
    <x v="3"/>
    <x v="0"/>
    <s v="Heterosexual"/>
    <x v="4"/>
    <x v="61"/>
    <s v="October 2024"/>
    <d v="2024-11-13T00:00:00"/>
    <x v="58"/>
    <n v="15"/>
    <d v="2024-11-23T00:00:00"/>
    <x v="58"/>
    <n v="10"/>
    <d v="2025-04-06T00:00:00"/>
    <x v="0"/>
    <x v="0"/>
  </r>
  <r>
    <x v="68"/>
    <d v="1959-03-16T00:00:00"/>
    <n v="66"/>
    <x v="2"/>
    <x v="0"/>
    <x v="0"/>
    <x v="0"/>
    <x v="0"/>
    <s v="Heterosexual"/>
    <x v="0"/>
    <x v="62"/>
    <s v="April 2024"/>
    <d v="2024-06-02T00:00:00"/>
    <x v="59"/>
    <n v="46"/>
    <d v="2024-07-09T00:00:00"/>
    <x v="59"/>
    <n v="37"/>
    <d v="2024-12-26T00:00:00"/>
    <x v="0"/>
    <x v="1"/>
  </r>
  <r>
    <x v="69"/>
    <d v="1960-11-07T00:00:00"/>
    <n v="64"/>
    <x v="4"/>
    <x v="0"/>
    <x v="9"/>
    <x v="3"/>
    <x v="0"/>
    <s v="Heterosexual"/>
    <x v="3"/>
    <x v="63"/>
    <s v="October 2024"/>
    <d v="2024-11-30T00:00:00"/>
    <x v="60"/>
    <n v="42"/>
    <d v="2024-12-28T00:00:00"/>
    <x v="60"/>
    <n v="28"/>
    <d v="2025-06-25T00:00:00"/>
    <x v="0"/>
    <x v="1"/>
  </r>
  <r>
    <x v="70"/>
    <d v="1997-05-27T00:00:00"/>
    <n v="28"/>
    <x v="1"/>
    <x v="1"/>
    <x v="3"/>
    <x v="3"/>
    <x v="0"/>
    <s v="Heterosexual"/>
    <x v="0"/>
    <x v="64"/>
    <s v="January 2024"/>
    <d v="2024-02-11T00:00:00"/>
    <x v="61"/>
    <n v="32"/>
    <d v="2024-03-05T00:00:00"/>
    <x v="61"/>
    <n v="23"/>
    <d v="2024-07-04T00:00:00"/>
    <x v="0"/>
    <x v="0"/>
  </r>
  <r>
    <x v="71"/>
    <d v="1964-03-27T00:00:00"/>
    <n v="61"/>
    <x v="4"/>
    <x v="1"/>
    <x v="2"/>
    <x v="3"/>
    <x v="0"/>
    <s v="Heterosexual"/>
    <x v="2"/>
    <x v="65"/>
    <s v="June 2024"/>
    <d v="2024-06-17T00:00:00"/>
    <x v="62"/>
    <n v="3"/>
    <d v="2024-07-22T00:00:00"/>
    <x v="62"/>
    <n v="35"/>
    <d v="2024-12-20T00:00:00"/>
    <x v="0"/>
    <x v="0"/>
  </r>
  <r>
    <x v="72"/>
    <d v="2005-07-26T00:00:00"/>
    <n v="20"/>
    <x v="3"/>
    <x v="0"/>
    <x v="1"/>
    <x v="3"/>
    <x v="0"/>
    <s v="Heterosexual"/>
    <x v="3"/>
    <x v="28"/>
    <s v="February 2024"/>
    <d v="2024-02-15T00:00:00"/>
    <x v="63"/>
    <n v="1"/>
    <d v="2024-02-21T00:00:00"/>
    <x v="63"/>
    <n v="6"/>
    <d v="2024-08-16T00:00:00"/>
    <x v="0"/>
    <x v="1"/>
  </r>
  <r>
    <x v="73"/>
    <d v="1987-05-26T00:00:00"/>
    <n v="38"/>
    <x v="0"/>
    <x v="1"/>
    <x v="0"/>
    <x v="0"/>
    <x v="0"/>
    <s v="Heterosexual"/>
    <x v="3"/>
    <x v="66"/>
    <s v="July 2024"/>
    <d v="2024-08-13T00:00:00"/>
    <x v="64"/>
    <n v="35"/>
    <d v="2024-09-19T00:00:00"/>
    <x v="64"/>
    <n v="37"/>
    <d v="2025-01-30T00:00:00"/>
    <x v="0"/>
    <x v="1"/>
  </r>
  <r>
    <x v="74"/>
    <d v="1989-07-04T00:00:00"/>
    <n v="36"/>
    <x v="0"/>
    <x v="0"/>
    <x v="3"/>
    <x v="3"/>
    <x v="0"/>
    <s v="Heterosexual"/>
    <x v="4"/>
    <x v="67"/>
    <s v="January 2024"/>
    <d v="2024-02-03T00:00:00"/>
    <x v="65"/>
    <n v="15"/>
    <d v="2024-03-02T00:00:00"/>
    <x v="65"/>
    <n v="28"/>
    <d v="2024-07-28T00:00:00"/>
    <x v="0"/>
    <x v="0"/>
  </r>
  <r>
    <x v="75"/>
    <d v="1994-06-06T00:00:00"/>
    <n v="31"/>
    <x v="1"/>
    <x v="1"/>
    <x v="1"/>
    <x v="2"/>
    <x v="1"/>
    <s v="Heterosexual"/>
    <x v="2"/>
    <x v="68"/>
    <s v="August 2024"/>
    <d v="2024-08-31T00:00:00"/>
    <x v="66"/>
    <n v="23"/>
    <d v="2024-09-20T00:00:00"/>
    <x v="66"/>
    <n v="20"/>
    <s v="N/A"/>
    <x v="3"/>
    <x v="5"/>
  </r>
  <r>
    <x v="76"/>
    <d v="1998-11-23T00:00:00"/>
    <n v="26"/>
    <x v="1"/>
    <x v="0"/>
    <x v="1"/>
    <x v="3"/>
    <x v="0"/>
    <s v="Heterosexual"/>
    <x v="3"/>
    <x v="68"/>
    <s v="August 2024"/>
    <d v="2024-08-16T00:00:00"/>
    <x v="67"/>
    <n v="8"/>
    <d v="2024-08-22T00:00:00"/>
    <x v="67"/>
    <n v="6"/>
    <d v="2025-02-05T00:00:00"/>
    <x v="0"/>
    <x v="0"/>
  </r>
  <r>
    <x v="77"/>
    <d v="1977-07-10T00:00:00"/>
    <n v="48"/>
    <x v="5"/>
    <x v="1"/>
    <x v="3"/>
    <x v="3"/>
    <x v="0"/>
    <s v="Heterosexual"/>
    <x v="3"/>
    <x v="69"/>
    <s v="February 2024"/>
    <d v="2024-03-11T00:00:00"/>
    <x v="35"/>
    <n v="34"/>
    <d v="2024-03-23T00:00:00"/>
    <x v="68"/>
    <n v="12"/>
    <s v="N/A"/>
    <x v="4"/>
    <x v="5"/>
  </r>
  <r>
    <x v="78"/>
    <d v="1996-02-17T00:00:00"/>
    <n v="29"/>
    <x v="1"/>
    <x v="1"/>
    <x v="2"/>
    <x v="3"/>
    <x v="0"/>
    <s v="Heterosexual"/>
    <x v="2"/>
    <x v="70"/>
    <s v="October 2024"/>
    <d v="2024-11-24T00:00:00"/>
    <x v="68"/>
    <n v="39"/>
    <d v="2024-12-21T00:00:00"/>
    <x v="69"/>
    <n v="27"/>
    <d v="2025-06-14T00:00:00"/>
    <x v="0"/>
    <x v="1"/>
  </r>
  <r>
    <x v="79"/>
    <d v="1969-01-24T00:00:00"/>
    <n v="56"/>
    <x v="4"/>
    <x v="0"/>
    <x v="3"/>
    <x v="3"/>
    <x v="0"/>
    <s v="Heterosexual"/>
    <x v="0"/>
    <x v="71"/>
    <s v="May 2024"/>
    <d v="2024-07-06T00:00:00"/>
    <x v="69"/>
    <n v="42"/>
    <d v="2024-08-03T00:00:00"/>
    <x v="10"/>
    <n v="28"/>
    <s v="N/A"/>
    <x v="3"/>
    <x v="5"/>
  </r>
  <r>
    <x v="80"/>
    <d v="1979-09-04T00:00:00"/>
    <n v="46"/>
    <x v="5"/>
    <x v="0"/>
    <x v="1"/>
    <x v="3"/>
    <x v="0"/>
    <s v="Heterosexual"/>
    <x v="4"/>
    <x v="72"/>
    <s v="July 2024"/>
    <d v="2024-08-14T00:00:00"/>
    <x v="70"/>
    <n v="29"/>
    <d v="2024-09-18T00:00:00"/>
    <x v="70"/>
    <n v="35"/>
    <d v="2025-02-28T00:00:00"/>
    <x v="0"/>
    <x v="2"/>
  </r>
  <r>
    <x v="81"/>
    <d v="2005-05-14T00:00:00"/>
    <n v="20"/>
    <x v="3"/>
    <x v="0"/>
    <x v="1"/>
    <x v="3"/>
    <x v="0"/>
    <s v="Homosexual"/>
    <x v="3"/>
    <x v="73"/>
    <s v="July 2024"/>
    <d v="2024-08-12T00:00:00"/>
    <x v="71"/>
    <n v="24"/>
    <d v="2024-10-06T00:00:00"/>
    <x v="71"/>
    <n v="55"/>
    <d v="2025-03-27T00:00:00"/>
    <x v="0"/>
    <x v="1"/>
  </r>
  <r>
    <x v="82"/>
    <d v="1967-08-25T00:00:00"/>
    <n v="58"/>
    <x v="4"/>
    <x v="0"/>
    <x v="3"/>
    <x v="3"/>
    <x v="0"/>
    <s v="Heterosexual"/>
    <x v="0"/>
    <x v="74"/>
    <s v="January 2024"/>
    <d v="2024-02-15T00:00:00"/>
    <x v="63"/>
    <n v="21"/>
    <d v="2024-03-15T00:00:00"/>
    <x v="72"/>
    <n v="29"/>
    <d v="2024-09-08T00:00:00"/>
    <x v="0"/>
    <x v="3"/>
  </r>
  <r>
    <x v="83"/>
    <d v="1999-12-01T00:00:00"/>
    <n v="25"/>
    <x v="1"/>
    <x v="0"/>
    <x v="1"/>
    <x v="2"/>
    <x v="1"/>
    <s v="Heterosexual"/>
    <x v="4"/>
    <x v="54"/>
    <s v="November 2024"/>
    <d v="2024-12-07T00:00:00"/>
    <x v="72"/>
    <n v="35"/>
    <d v="2025-01-19T00:00:00"/>
    <x v="73"/>
    <n v="43"/>
    <d v="2025-06-05T00:00:00"/>
    <x v="0"/>
    <x v="4"/>
  </r>
  <r>
    <x v="84"/>
    <d v="1981-03-17T00:00:00"/>
    <n v="44"/>
    <x v="0"/>
    <x v="0"/>
    <x v="1"/>
    <x v="3"/>
    <x v="0"/>
    <s v="Homosexual"/>
    <x v="3"/>
    <x v="75"/>
    <s v="October 2024"/>
    <d v="2024-10-25T00:00:00"/>
    <x v="12"/>
    <n v="12"/>
    <d v="2024-12-21T00:00:00"/>
    <x v="69"/>
    <n v="57"/>
    <d v="2025-05-18T00:00:00"/>
    <x v="0"/>
    <x v="1"/>
  </r>
  <r>
    <x v="85"/>
    <d v="1991-01-08T00:00:00"/>
    <n v="34"/>
    <x v="1"/>
    <x v="1"/>
    <x v="3"/>
    <x v="3"/>
    <x v="0"/>
    <s v="Heterosexual"/>
    <x v="4"/>
    <x v="31"/>
    <s v="December 2024"/>
    <d v="2024-12-30T00:00:00"/>
    <x v="73"/>
    <n v="2"/>
    <s v="N/A"/>
    <x v="15"/>
    <s v="N/A"/>
    <s v="N/A"/>
    <x v="3"/>
    <x v="5"/>
  </r>
  <r>
    <x v="86"/>
    <d v="1959-05-25T00:00:00"/>
    <n v="66"/>
    <x v="2"/>
    <x v="1"/>
    <x v="3"/>
    <x v="3"/>
    <x v="0"/>
    <s v="Heterosexual"/>
    <x v="4"/>
    <x v="76"/>
    <s v="May 2024"/>
    <d v="2024-05-29T00:00:00"/>
    <x v="74"/>
    <n v="3"/>
    <s v="N/A"/>
    <x v="15"/>
    <s v="N/A"/>
    <s v="N/A"/>
    <x v="3"/>
    <x v="5"/>
  </r>
  <r>
    <x v="87"/>
    <d v="1985-02-10T00:00:00"/>
    <n v="40"/>
    <x v="0"/>
    <x v="1"/>
    <x v="1"/>
    <x v="2"/>
    <x v="1"/>
    <s v="Heterosexual"/>
    <x v="0"/>
    <x v="77"/>
    <s v="March 2024"/>
    <d v="2024-03-17T00:00:00"/>
    <x v="75"/>
    <n v="11"/>
    <d v="2024-05-09T00:00:00"/>
    <x v="74"/>
    <n v="53"/>
    <d v="2024-09-17T00:00:00"/>
    <x v="0"/>
    <x v="4"/>
  </r>
  <r>
    <x v="88"/>
    <d v="1998-04-10T00:00:00"/>
    <n v="27"/>
    <x v="1"/>
    <x v="0"/>
    <x v="1"/>
    <x v="2"/>
    <x v="1"/>
    <s v="Heterosexual"/>
    <x v="0"/>
    <x v="71"/>
    <s v="May 2024"/>
    <d v="2024-06-27T00:00:00"/>
    <x v="76"/>
    <n v="33"/>
    <d v="2024-07-09T00:00:00"/>
    <x v="59"/>
    <n v="12"/>
    <d v="2024-11-24T00:00:00"/>
    <x v="0"/>
    <x v="1"/>
  </r>
  <r>
    <x v="89"/>
    <d v="1996-03-05T00:00:00"/>
    <n v="29"/>
    <x v="1"/>
    <x v="0"/>
    <x v="3"/>
    <x v="3"/>
    <x v="0"/>
    <s v="Heterosexual"/>
    <x v="4"/>
    <x v="55"/>
    <s v="October 2024"/>
    <d v="2024-12-05T00:00:00"/>
    <x v="77"/>
    <n v="36"/>
    <d v="2024-12-29T00:00:00"/>
    <x v="75"/>
    <n v="24"/>
    <d v="2025-04-28T00:00:00"/>
    <x v="0"/>
    <x v="2"/>
  </r>
  <r>
    <x v="90"/>
    <d v="1982-05-04T00:00:00"/>
    <n v="43"/>
    <x v="0"/>
    <x v="0"/>
    <x v="9"/>
    <x v="3"/>
    <x v="0"/>
    <s v="Heterosexual"/>
    <x v="2"/>
    <x v="78"/>
    <s v="March 2024"/>
    <d v="2024-03-26T00:00:00"/>
    <x v="78"/>
    <n v="4"/>
    <d v="2024-05-21T00:00:00"/>
    <x v="76"/>
    <n v="56"/>
    <d v="2024-10-24T00:00:00"/>
    <x v="0"/>
    <x v="1"/>
  </r>
  <r>
    <x v="91"/>
    <d v="1966-02-06T00:00:00"/>
    <n v="59"/>
    <x v="4"/>
    <x v="0"/>
    <x v="1"/>
    <x v="2"/>
    <x v="1"/>
    <s v="Heterosexual"/>
    <x v="2"/>
    <x v="42"/>
    <s v="August 2024"/>
    <d v="2024-08-23T00:00:00"/>
    <x v="79"/>
    <n v="5"/>
    <d v="2024-09-20T00:00:00"/>
    <x v="66"/>
    <n v="28"/>
    <d v="2025-02-19T00:00:00"/>
    <x v="0"/>
    <x v="1"/>
  </r>
  <r>
    <x v="92"/>
    <d v="1997-07-15T00:00:00"/>
    <n v="28"/>
    <x v="1"/>
    <x v="1"/>
    <x v="1"/>
    <x v="2"/>
    <x v="1"/>
    <s v="Homosexual"/>
    <x v="0"/>
    <x v="79"/>
    <s v="August 2024"/>
    <d v="2024-08-09T00:00:00"/>
    <x v="8"/>
    <n v="3"/>
    <s v="N/A"/>
    <x v="15"/>
    <s v="N/A"/>
    <s v="N/A"/>
    <x v="4"/>
    <x v="5"/>
  </r>
  <r>
    <x v="93"/>
    <d v="1973-07-22T00:00:00"/>
    <n v="52"/>
    <x v="5"/>
    <x v="0"/>
    <x v="1"/>
    <x v="2"/>
    <x v="1"/>
    <s v="Heterosexual"/>
    <x v="3"/>
    <x v="54"/>
    <s v="November 2024"/>
    <d v="2024-12-05T00:00:00"/>
    <x v="77"/>
    <n v="33"/>
    <d v="2024-12-19T00:00:00"/>
    <x v="77"/>
    <n v="14"/>
    <d v="2025-04-19T00:00:00"/>
    <x v="0"/>
    <x v="0"/>
  </r>
  <r>
    <x v="94"/>
    <d v="2003-03-13T00:00:00"/>
    <n v="22"/>
    <x v="3"/>
    <x v="1"/>
    <x v="9"/>
    <x v="3"/>
    <x v="0"/>
    <s v="Heterosexual"/>
    <x v="3"/>
    <x v="80"/>
    <s v="March 2024"/>
    <d v="2024-04-14T00:00:00"/>
    <x v="80"/>
    <n v="18"/>
    <d v="2024-06-04T00:00:00"/>
    <x v="78"/>
    <n v="51"/>
    <d v="2024-11-10T00:00:00"/>
    <x v="0"/>
    <x v="4"/>
  </r>
  <r>
    <x v="95"/>
    <d v="1994-12-04T00:00:00"/>
    <n v="30"/>
    <x v="1"/>
    <x v="0"/>
    <x v="3"/>
    <x v="3"/>
    <x v="0"/>
    <s v="Homosexual"/>
    <x v="2"/>
    <x v="11"/>
    <s v="July 2024"/>
    <d v="2024-08-13T00:00:00"/>
    <x v="64"/>
    <n v="40"/>
    <d v="2024-09-25T00:00:00"/>
    <x v="79"/>
    <n v="43"/>
    <d v="2025-02-19T00:00:00"/>
    <x v="0"/>
    <x v="4"/>
  </r>
  <r>
    <x v="96"/>
    <d v="2003-12-19T00:00:00"/>
    <n v="21"/>
    <x v="3"/>
    <x v="1"/>
    <x v="1"/>
    <x v="1"/>
    <x v="0"/>
    <s v="Heterosexual"/>
    <x v="3"/>
    <x v="81"/>
    <s v="November 2024"/>
    <d v="2024-12-06T00:00:00"/>
    <x v="51"/>
    <n v="33"/>
    <d v="2025-02-02T00:00:00"/>
    <x v="80"/>
    <n v="58"/>
    <d v="2025-06-08T00:00:00"/>
    <x v="0"/>
    <x v="3"/>
  </r>
  <r>
    <x v="97"/>
    <d v="1971-05-18T00:00:00"/>
    <n v="54"/>
    <x v="5"/>
    <x v="1"/>
    <x v="4"/>
    <x v="1"/>
    <x v="0"/>
    <s v="Heterosexual"/>
    <x v="2"/>
    <x v="82"/>
    <s v="November 2024"/>
    <d v="2024-12-02T00:00:00"/>
    <x v="81"/>
    <n v="12"/>
    <d v="2025-01-01T00:00:00"/>
    <x v="81"/>
    <n v="30"/>
    <s v="N/A"/>
    <x v="3"/>
    <x v="2"/>
  </r>
  <r>
    <x v="98"/>
    <d v="1985-04-18T00:00:00"/>
    <n v="40"/>
    <x v="0"/>
    <x v="1"/>
    <x v="4"/>
    <x v="1"/>
    <x v="0"/>
    <s v="Heterosexual"/>
    <x v="0"/>
    <x v="35"/>
    <s v="June 2024"/>
    <d v="2024-07-11T00:00:00"/>
    <x v="82"/>
    <n v="16"/>
    <d v="2024-08-01T00:00:00"/>
    <x v="82"/>
    <n v="21"/>
    <s v="N/A"/>
    <x v="3"/>
    <x v="2"/>
  </r>
  <r>
    <x v="99"/>
    <d v="1975-04-04T00:00:00"/>
    <n v="50"/>
    <x v="5"/>
    <x v="0"/>
    <x v="2"/>
    <x v="3"/>
    <x v="0"/>
    <s v="Heterosexual"/>
    <x v="0"/>
    <x v="45"/>
    <s v="June 2024"/>
    <d v="2024-07-01T00:00:00"/>
    <x v="83"/>
    <n v="20"/>
    <d v="2024-07-17T00:00:00"/>
    <x v="83"/>
    <n v="16"/>
    <d v="2024-11-16T00:00:00"/>
    <x v="0"/>
    <x v="0"/>
  </r>
  <r>
    <x v="100"/>
    <d v="1970-06-17T00:00:00"/>
    <n v="55"/>
    <x v="4"/>
    <x v="0"/>
    <x v="1"/>
    <x v="2"/>
    <x v="1"/>
    <s v="Heterosexual"/>
    <x v="3"/>
    <x v="83"/>
    <s v="April 2024"/>
    <d v="2024-05-30T00:00:00"/>
    <x v="84"/>
    <n v="44"/>
    <d v="2024-06-16T00:00:00"/>
    <x v="84"/>
    <n v="17"/>
    <d v="2024-11-01T00:00:00"/>
    <x v="0"/>
    <x v="4"/>
  </r>
  <r>
    <x v="101"/>
    <d v="1972-08-21T00:00:00"/>
    <n v="53"/>
    <x v="5"/>
    <x v="0"/>
    <x v="0"/>
    <x v="0"/>
    <x v="0"/>
    <s v="Heterosexual"/>
    <x v="0"/>
    <x v="35"/>
    <s v="June 2024"/>
    <d v="2024-07-28T00:00:00"/>
    <x v="85"/>
    <n v="33"/>
    <d v="2024-09-21T00:00:00"/>
    <x v="85"/>
    <n v="55"/>
    <d v="2025-01-25T00:00:00"/>
    <x v="0"/>
    <x v="3"/>
  </r>
  <r>
    <x v="102"/>
    <d v="1977-07-05T00:00:00"/>
    <n v="48"/>
    <x v="5"/>
    <x v="0"/>
    <x v="1"/>
    <x v="2"/>
    <x v="1"/>
    <s v="Heterosexual"/>
    <x v="0"/>
    <x v="21"/>
    <s v="February 2024"/>
    <d v="2024-04-02T00:00:00"/>
    <x v="86"/>
    <n v="41"/>
    <d v="2024-05-09T00:00:00"/>
    <x v="74"/>
    <n v="37"/>
    <d v="2024-10-11T00:00:00"/>
    <x v="0"/>
    <x v="3"/>
  </r>
  <r>
    <x v="103"/>
    <d v="1961-08-28T00:00:00"/>
    <n v="64"/>
    <x v="4"/>
    <x v="0"/>
    <x v="3"/>
    <x v="3"/>
    <x v="0"/>
    <s v="Homosexual"/>
    <x v="4"/>
    <x v="84"/>
    <s v="May 2024"/>
    <d v="2024-06-05T00:00:00"/>
    <x v="3"/>
    <n v="30"/>
    <d v="2024-07-19T00:00:00"/>
    <x v="86"/>
    <n v="44"/>
    <d v="2024-12-11T00:00:00"/>
    <x v="0"/>
    <x v="1"/>
  </r>
  <r>
    <x v="104"/>
    <d v="1970-12-09T00:00:00"/>
    <n v="54"/>
    <x v="5"/>
    <x v="0"/>
    <x v="1"/>
    <x v="2"/>
    <x v="1"/>
    <s v="Heterosexual"/>
    <x v="4"/>
    <x v="85"/>
    <s v="January 2024"/>
    <d v="2024-02-20T00:00:00"/>
    <x v="87"/>
    <n v="43"/>
    <s v="N/A"/>
    <x v="15"/>
    <s v="N/A"/>
    <s v="N/A"/>
    <x v="5"/>
    <x v="5"/>
  </r>
  <r>
    <x v="105"/>
    <d v="1959-05-20T00:00:00"/>
    <n v="66"/>
    <x v="2"/>
    <x v="1"/>
    <x v="3"/>
    <x v="3"/>
    <x v="0"/>
    <s v="Homosexual"/>
    <x v="3"/>
    <x v="86"/>
    <s v="June 2024"/>
    <d v="2024-06-19T00:00:00"/>
    <x v="29"/>
    <n v="1"/>
    <s v="N/A"/>
    <x v="15"/>
    <s v="N/A"/>
    <s v="N/A"/>
    <x v="5"/>
    <x v="5"/>
  </r>
  <r>
    <x v="106"/>
    <d v="1990-03-18T00:00:00"/>
    <n v="35"/>
    <x v="0"/>
    <x v="1"/>
    <x v="1"/>
    <x v="2"/>
    <x v="1"/>
    <s v="Heterosexual"/>
    <x v="0"/>
    <x v="62"/>
    <s v="April 2024"/>
    <d v="2024-06-03T00:00:00"/>
    <x v="88"/>
    <n v="47"/>
    <d v="2024-06-23T00:00:00"/>
    <x v="28"/>
    <n v="20"/>
    <d v="2024-11-22T00:00:00"/>
    <x v="0"/>
    <x v="4"/>
  </r>
  <r>
    <x v="107"/>
    <d v="1989-08-18T00:00:00"/>
    <n v="36"/>
    <x v="0"/>
    <x v="0"/>
    <x v="3"/>
    <x v="3"/>
    <x v="0"/>
    <s v="Heterosexual"/>
    <x v="0"/>
    <x v="87"/>
    <s v="April 2024"/>
    <d v="2024-04-21T00:00:00"/>
    <x v="89"/>
    <n v="6"/>
    <d v="2024-06-15T00:00:00"/>
    <x v="87"/>
    <n v="55"/>
    <d v="2024-11-12T00:00:00"/>
    <x v="0"/>
    <x v="3"/>
  </r>
  <r>
    <x v="108"/>
    <d v="1979-02-20T00:00:00"/>
    <n v="46"/>
    <x v="5"/>
    <x v="0"/>
    <x v="3"/>
    <x v="3"/>
    <x v="0"/>
    <s v="Heterosexual"/>
    <x v="3"/>
    <x v="70"/>
    <s v="October 2024"/>
    <d v="2024-11-05T00:00:00"/>
    <x v="90"/>
    <n v="20"/>
    <d v="2024-11-07T00:00:00"/>
    <x v="88"/>
    <n v="2"/>
    <d v="2025-03-31T00:00:00"/>
    <x v="0"/>
    <x v="0"/>
  </r>
  <r>
    <x v="109"/>
    <d v="1994-08-02T00:00:00"/>
    <n v="31"/>
    <x v="1"/>
    <x v="1"/>
    <x v="3"/>
    <x v="3"/>
    <x v="0"/>
    <s v="Heterosexual"/>
    <x v="0"/>
    <x v="88"/>
    <s v="December 2024"/>
    <d v="2024-12-21T00:00:00"/>
    <x v="91"/>
    <n v="18"/>
    <d v="2025-02-14T00:00:00"/>
    <x v="89"/>
    <n v="55"/>
    <d v="2025-07-05T00:00:00"/>
    <x v="0"/>
    <x v="1"/>
  </r>
  <r>
    <x v="110"/>
    <d v="1992-03-09T00:00:00"/>
    <n v="33"/>
    <x v="1"/>
    <x v="0"/>
    <x v="4"/>
    <x v="1"/>
    <x v="0"/>
    <s v="Prefer not to say"/>
    <x v="2"/>
    <x v="79"/>
    <s v="August 2024"/>
    <d v="2024-08-31T00:00:00"/>
    <x v="66"/>
    <n v="25"/>
    <s v="N/A"/>
    <x v="15"/>
    <s v="N/A"/>
    <s v="N/A"/>
    <x v="5"/>
    <x v="5"/>
  </r>
  <r>
    <x v="111"/>
    <d v="1982-08-06T00:00:00"/>
    <n v="43"/>
    <x v="0"/>
    <x v="0"/>
    <x v="3"/>
    <x v="3"/>
    <x v="0"/>
    <s v="Heterosexual"/>
    <x v="0"/>
    <x v="89"/>
    <s v="February 2024"/>
    <d v="2024-02-27T00:00:00"/>
    <x v="92"/>
    <n v="16"/>
    <s v="N/A"/>
    <x v="15"/>
    <s v="N/A"/>
    <s v="N/A"/>
    <x v="5"/>
    <x v="5"/>
  </r>
  <r>
    <x v="112"/>
    <d v="1988-06-09T00:00:00"/>
    <n v="37"/>
    <x v="0"/>
    <x v="0"/>
    <x v="4"/>
    <x v="1"/>
    <x v="0"/>
    <s v="Heterosexual"/>
    <x v="5"/>
    <x v="90"/>
    <s v="July 2024"/>
    <d v="2024-07-28T00:00:00"/>
    <x v="85"/>
    <n v="13"/>
    <s v="N/A"/>
    <x v="15"/>
    <s v="N/A"/>
    <s v="N/A"/>
    <x v="5"/>
    <x v="5"/>
  </r>
  <r>
    <x v="113"/>
    <d v="1992-06-05T00:00:00"/>
    <n v="33"/>
    <x v="1"/>
    <x v="0"/>
    <x v="3"/>
    <x v="3"/>
    <x v="0"/>
    <s v="Heterosexual"/>
    <x v="0"/>
    <x v="91"/>
    <s v="December 2024"/>
    <d v="2025-02-16T00:00:00"/>
    <x v="93"/>
    <n v="49"/>
    <d v="2025-03-11T00:00:00"/>
    <x v="90"/>
    <n v="23"/>
    <d v="2025-09-04T00:00:00"/>
    <x v="0"/>
    <x v="4"/>
  </r>
  <r>
    <x v="114"/>
    <d v="1984-04-17T00:00:00"/>
    <n v="41"/>
    <x v="0"/>
    <x v="1"/>
    <x v="0"/>
    <x v="0"/>
    <x v="0"/>
    <s v="Homosexual"/>
    <x v="4"/>
    <x v="92"/>
    <s v="February 2024"/>
    <d v="2024-02-29T00:00:00"/>
    <x v="94"/>
    <n v="27"/>
    <d v="2024-03-02T00:00:00"/>
    <x v="65"/>
    <n v="2"/>
    <d v="2024-08-14T00:00:00"/>
    <x v="0"/>
    <x v="3"/>
  </r>
  <r>
    <x v="115"/>
    <d v="1989-12-28T00:00:00"/>
    <n v="35"/>
    <x v="0"/>
    <x v="1"/>
    <x v="3"/>
    <x v="3"/>
    <x v="0"/>
    <s v="Heterosexual"/>
    <x v="5"/>
    <x v="93"/>
    <s v="February 2024"/>
    <d v="2024-03-14T00:00:00"/>
    <x v="95"/>
    <n v="25"/>
    <d v="2024-04-04T00:00:00"/>
    <x v="50"/>
    <n v="21"/>
    <d v="2024-09-29T00:00:00"/>
    <x v="0"/>
    <x v="1"/>
  </r>
  <r>
    <x v="116"/>
    <d v="1971-09-27T00:00:00"/>
    <n v="54"/>
    <x v="5"/>
    <x v="1"/>
    <x v="1"/>
    <x v="2"/>
    <x v="1"/>
    <s v="Heterosexual"/>
    <x v="2"/>
    <x v="18"/>
    <s v="January 2024"/>
    <d v="2024-01-22T00:00:00"/>
    <x v="96"/>
    <n v="1"/>
    <d v="2024-01-30T00:00:00"/>
    <x v="91"/>
    <n v="8"/>
    <d v="2024-06-02T00:00:00"/>
    <x v="0"/>
    <x v="4"/>
  </r>
  <r>
    <x v="117"/>
    <d v="1991-09-19T00:00:00"/>
    <n v="34"/>
    <x v="1"/>
    <x v="0"/>
    <x v="3"/>
    <x v="3"/>
    <x v="0"/>
    <s v="Heterosexual"/>
    <x v="3"/>
    <x v="94"/>
    <s v="November 2024"/>
    <d v="2024-12-16T00:00:00"/>
    <x v="97"/>
    <n v="38"/>
    <d v="2025-01-25T00:00:00"/>
    <x v="92"/>
    <n v="40"/>
    <d v="2025-06-01T00:00:00"/>
    <x v="0"/>
    <x v="2"/>
  </r>
  <r>
    <x v="118"/>
    <d v="1975-06-16T00:00:00"/>
    <n v="50"/>
    <x v="5"/>
    <x v="0"/>
    <x v="3"/>
    <x v="3"/>
    <x v="0"/>
    <s v="Homosexual"/>
    <x v="5"/>
    <x v="5"/>
    <s v="November 2024"/>
    <d v="2024-12-16T00:00:00"/>
    <x v="97"/>
    <n v="20"/>
    <d v="2025-01-17T00:00:00"/>
    <x v="93"/>
    <n v="32"/>
    <d v="2025-07-12T00:00:00"/>
    <x v="0"/>
    <x v="1"/>
  </r>
  <r>
    <x v="119"/>
    <d v="1960-01-06T00:00:00"/>
    <n v="65"/>
    <x v="2"/>
    <x v="0"/>
    <x v="0"/>
    <x v="0"/>
    <x v="0"/>
    <s v="Heterosexual"/>
    <x v="4"/>
    <x v="95"/>
    <s v="September 2024"/>
    <d v="2024-10-16T00:00:00"/>
    <x v="98"/>
    <n v="30"/>
    <d v="2024-12-13T00:00:00"/>
    <x v="94"/>
    <n v="58"/>
    <d v="2025-06-02T00:00:00"/>
    <x v="0"/>
    <x v="0"/>
  </r>
  <r>
    <x v="120"/>
    <d v="1991-10-19T00:00:00"/>
    <n v="33"/>
    <x v="1"/>
    <x v="0"/>
    <x v="0"/>
    <x v="0"/>
    <x v="0"/>
    <s v="Heterosexual"/>
    <x v="0"/>
    <x v="96"/>
    <s v="August 2024"/>
    <d v="2024-09-09T00:00:00"/>
    <x v="99"/>
    <n v="24"/>
    <d v="2024-10-31T00:00:00"/>
    <x v="95"/>
    <n v="52"/>
    <d v="2025-03-28T00:00:00"/>
    <x v="0"/>
    <x v="4"/>
  </r>
  <r>
    <x v="121"/>
    <d v="1966-12-10T00:00:00"/>
    <n v="58"/>
    <x v="4"/>
    <x v="0"/>
    <x v="1"/>
    <x v="1"/>
    <x v="0"/>
    <s v="Heterosexual"/>
    <x v="0"/>
    <x v="97"/>
    <s v="May 2024"/>
    <d v="2024-05-05T00:00:00"/>
    <x v="100"/>
    <n v="2"/>
    <d v="2024-05-11T00:00:00"/>
    <x v="96"/>
    <n v="6"/>
    <d v="2024-10-09T00:00:00"/>
    <x v="0"/>
    <x v="2"/>
  </r>
  <r>
    <x v="122"/>
    <d v="1992-01-09T00:00:00"/>
    <n v="33"/>
    <x v="1"/>
    <x v="1"/>
    <x v="3"/>
    <x v="3"/>
    <x v="0"/>
    <s v="Heterosexual"/>
    <x v="0"/>
    <x v="28"/>
    <s v="February 2024"/>
    <d v="2024-03-27T00:00:00"/>
    <x v="101"/>
    <n v="42"/>
    <d v="2024-04-19T00:00:00"/>
    <x v="97"/>
    <n v="23"/>
    <d v="2024-09-01T00:00:00"/>
    <x v="0"/>
    <x v="2"/>
  </r>
  <r>
    <x v="123"/>
    <d v="1965-11-19T00:00:00"/>
    <n v="59"/>
    <x v="4"/>
    <x v="1"/>
    <x v="2"/>
    <x v="3"/>
    <x v="0"/>
    <s v="Heterosexual"/>
    <x v="4"/>
    <x v="98"/>
    <s v="January 2024"/>
    <d v="2024-01-31T00:00:00"/>
    <x v="32"/>
    <n v="16"/>
    <d v="2024-03-02T00:00:00"/>
    <x v="65"/>
    <n v="31"/>
    <d v="2024-07-25T00:00:00"/>
    <x v="0"/>
    <x v="0"/>
  </r>
  <r>
    <x v="124"/>
    <d v="1987-03-05T00:00:00"/>
    <n v="38"/>
    <x v="0"/>
    <x v="0"/>
    <x v="3"/>
    <x v="3"/>
    <x v="0"/>
    <s v="Heterosexual"/>
    <x v="0"/>
    <x v="99"/>
    <s v="February 2024"/>
    <d v="2024-04-10T00:00:00"/>
    <x v="102"/>
    <n v="47"/>
    <d v="2024-05-28T00:00:00"/>
    <x v="30"/>
    <n v="48"/>
    <d v="2024-10-27T00:00:00"/>
    <x v="0"/>
    <x v="3"/>
  </r>
  <r>
    <x v="125"/>
    <d v="1992-10-02T00:00:00"/>
    <n v="32"/>
    <x v="1"/>
    <x v="0"/>
    <x v="3"/>
    <x v="3"/>
    <x v="0"/>
    <s v="Heterosexual"/>
    <x v="0"/>
    <x v="100"/>
    <s v="October 2024"/>
    <d v="2024-12-07T00:00:00"/>
    <x v="72"/>
    <n v="45"/>
    <d v="2025-01-02T00:00:00"/>
    <x v="98"/>
    <n v="26"/>
    <d v="2025-06-22T00:00:00"/>
    <x v="0"/>
    <x v="2"/>
  </r>
  <r>
    <x v="126"/>
    <d v="1996-03-12T00:00:00"/>
    <n v="29"/>
    <x v="1"/>
    <x v="0"/>
    <x v="1"/>
    <x v="2"/>
    <x v="1"/>
    <s v="Heterosexual"/>
    <x v="0"/>
    <x v="101"/>
    <s v="May 2024"/>
    <d v="2024-06-23T00:00:00"/>
    <x v="103"/>
    <n v="34"/>
    <d v="2024-06-25T00:00:00"/>
    <x v="99"/>
    <n v="2"/>
    <d v="2024-11-15T00:00:00"/>
    <x v="0"/>
    <x v="1"/>
  </r>
  <r>
    <x v="127"/>
    <d v="1972-04-05T00:00:00"/>
    <n v="53"/>
    <x v="5"/>
    <x v="0"/>
    <x v="3"/>
    <x v="3"/>
    <x v="0"/>
    <s v="Heterosexual"/>
    <x v="3"/>
    <x v="102"/>
    <s v="June 2024"/>
    <s v="N/A"/>
    <x v="16"/>
    <s v="N/A"/>
    <s v="N/A"/>
    <x v="15"/>
    <s v="N/A"/>
    <s v="N/A"/>
    <x v="2"/>
    <x v="5"/>
  </r>
  <r>
    <x v="128"/>
    <d v="1984-10-13T00:00:00"/>
    <n v="40"/>
    <x v="0"/>
    <x v="0"/>
    <x v="1"/>
    <x v="2"/>
    <x v="1"/>
    <s v="Heterosexual"/>
    <x v="0"/>
    <x v="103"/>
    <s v="March 2024"/>
    <d v="2024-05-09T00:00:00"/>
    <x v="104"/>
    <n v="47"/>
    <d v="2024-06-15T00:00:00"/>
    <x v="87"/>
    <n v="37"/>
    <d v="2024-11-27T00:00:00"/>
    <x v="0"/>
    <x v="3"/>
  </r>
  <r>
    <x v="129"/>
    <d v="1969-08-20T00:00:00"/>
    <n v="56"/>
    <x v="4"/>
    <x v="0"/>
    <x v="3"/>
    <x v="3"/>
    <x v="0"/>
    <s v="Homosexual"/>
    <x v="4"/>
    <x v="104"/>
    <s v="May 2024"/>
    <s v="N/A"/>
    <x v="16"/>
    <s v="N/A"/>
    <s v="N/A"/>
    <x v="15"/>
    <s v="N/A"/>
    <s v="N/A"/>
    <x v="2"/>
    <x v="5"/>
  </r>
  <r>
    <x v="130"/>
    <d v="1970-08-03T00:00:00"/>
    <n v="55"/>
    <x v="4"/>
    <x v="0"/>
    <x v="1"/>
    <x v="2"/>
    <x v="1"/>
    <s v="Heterosexual"/>
    <x v="0"/>
    <x v="105"/>
    <s v="April 2024"/>
    <d v="2024-05-05T00:00:00"/>
    <x v="100"/>
    <n v="32"/>
    <d v="2024-05-09T00:00:00"/>
    <x v="74"/>
    <n v="4"/>
    <d v="2024-09-15T00:00:00"/>
    <x v="0"/>
    <x v="2"/>
  </r>
  <r>
    <x v="131"/>
    <d v="1975-12-23T00:00:00"/>
    <n v="49"/>
    <x v="5"/>
    <x v="0"/>
    <x v="3"/>
    <x v="3"/>
    <x v="0"/>
    <s v="Heterosexual"/>
    <x v="0"/>
    <x v="106"/>
    <s v="January 2024"/>
    <d v="2024-01-26T00:00:00"/>
    <x v="105"/>
    <n v="3"/>
    <d v="2024-03-17T00:00:00"/>
    <x v="100"/>
    <n v="51"/>
    <d v="2024-09-12T00:00:00"/>
    <x v="0"/>
    <x v="1"/>
  </r>
  <r>
    <x v="132"/>
    <d v="2003-10-18T00:00:00"/>
    <n v="21"/>
    <x v="3"/>
    <x v="0"/>
    <x v="2"/>
    <x v="3"/>
    <x v="0"/>
    <s v="Heterosexual"/>
    <x v="0"/>
    <x v="83"/>
    <s v="April 2024"/>
    <d v="2024-05-15T00:00:00"/>
    <x v="106"/>
    <n v="29"/>
    <d v="2024-05-23T00:00:00"/>
    <x v="101"/>
    <n v="8"/>
    <d v="2024-11-18T00:00:00"/>
    <x v="0"/>
    <x v="2"/>
  </r>
  <r>
    <x v="133"/>
    <d v="1959-09-14T00:00:00"/>
    <n v="66"/>
    <x v="2"/>
    <x v="0"/>
    <x v="3"/>
    <x v="3"/>
    <x v="0"/>
    <s v="Heterosexual"/>
    <x v="4"/>
    <x v="107"/>
    <s v="June 2024"/>
    <d v="2024-07-03T00:00:00"/>
    <x v="107"/>
    <n v="12"/>
    <d v="2024-07-07T00:00:00"/>
    <x v="102"/>
    <n v="4"/>
    <d v="2024-11-20T00:00:00"/>
    <x v="0"/>
    <x v="3"/>
  </r>
  <r>
    <x v="134"/>
    <d v="1997-10-10T00:00:00"/>
    <n v="27"/>
    <x v="1"/>
    <x v="0"/>
    <x v="1"/>
    <x v="2"/>
    <x v="1"/>
    <s v="Heterosexual"/>
    <x v="3"/>
    <x v="108"/>
    <s v="November 2024"/>
    <d v="2024-12-31T00:00:00"/>
    <x v="108"/>
    <n v="34"/>
    <s v="N/A"/>
    <x v="15"/>
    <s v="N/A"/>
    <s v="N/A"/>
    <x v="4"/>
    <x v="5"/>
  </r>
  <r>
    <x v="135"/>
    <d v="1971-03-28T00:00:00"/>
    <n v="54"/>
    <x v="5"/>
    <x v="0"/>
    <x v="1"/>
    <x v="2"/>
    <x v="1"/>
    <s v="Heterosexual"/>
    <x v="0"/>
    <x v="109"/>
    <s v="February 2024"/>
    <d v="2024-03-04T00:00:00"/>
    <x v="20"/>
    <n v="6"/>
    <s v="N/A"/>
    <x v="15"/>
    <s v="N/A"/>
    <s v="N/A"/>
    <x v="4"/>
    <x v="5"/>
  </r>
  <r>
    <x v="136"/>
    <d v="1977-10-14T00:00:00"/>
    <n v="47"/>
    <x v="5"/>
    <x v="1"/>
    <x v="5"/>
    <x v="0"/>
    <x v="0"/>
    <s v="Heterosexual"/>
    <x v="2"/>
    <x v="32"/>
    <s v="April 2024"/>
    <d v="2024-06-04T00:00:00"/>
    <x v="109"/>
    <n v="42"/>
    <d v="2024-07-22T00:00:00"/>
    <x v="62"/>
    <n v="48"/>
    <d v="2025-01-11T00:00:00"/>
    <x v="0"/>
    <x v="2"/>
  </r>
  <r>
    <x v="137"/>
    <d v="1995-10-24T00:00:00"/>
    <n v="29"/>
    <x v="1"/>
    <x v="1"/>
    <x v="3"/>
    <x v="3"/>
    <x v="0"/>
    <s v="Heterosexual"/>
    <x v="3"/>
    <x v="110"/>
    <s v="November 2024"/>
    <d v="2024-11-27T00:00:00"/>
    <x v="110"/>
    <n v="20"/>
    <d v="2025-01-01T00:00:00"/>
    <x v="81"/>
    <n v="35"/>
    <d v="2025-06-08T00:00:00"/>
    <x v="0"/>
    <x v="0"/>
  </r>
  <r>
    <x v="138"/>
    <d v="1981-07-18T00:00:00"/>
    <n v="44"/>
    <x v="0"/>
    <x v="1"/>
    <x v="1"/>
    <x v="2"/>
    <x v="1"/>
    <s v="Heterosexual"/>
    <x v="2"/>
    <x v="111"/>
    <s v="September 2024"/>
    <d v="2024-10-04T00:00:00"/>
    <x v="111"/>
    <n v="14"/>
    <d v="2024-11-10T00:00:00"/>
    <x v="103"/>
    <n v="37"/>
    <d v="2025-04-28T00:00:00"/>
    <x v="0"/>
    <x v="1"/>
  </r>
  <r>
    <x v="139"/>
    <d v="1969-11-23T00:00:00"/>
    <n v="55"/>
    <x v="4"/>
    <x v="0"/>
    <x v="3"/>
    <x v="3"/>
    <x v="0"/>
    <s v="Heterosexual"/>
    <x v="3"/>
    <x v="23"/>
    <s v="October 2024"/>
    <d v="2024-11-24T00:00:00"/>
    <x v="68"/>
    <n v="49"/>
    <d v="2024-11-25T00:00:00"/>
    <x v="104"/>
    <n v="1"/>
    <d v="2025-05-09T00:00:00"/>
    <x v="0"/>
    <x v="0"/>
  </r>
  <r>
    <x v="140"/>
    <d v="2002-11-15T00:00:00"/>
    <n v="22"/>
    <x v="3"/>
    <x v="0"/>
    <x v="1"/>
    <x v="2"/>
    <x v="1"/>
    <s v="Heterosexual"/>
    <x v="4"/>
    <x v="112"/>
    <s v="August 2024"/>
    <d v="2024-09-05T00:00:00"/>
    <x v="112"/>
    <n v="10"/>
    <d v="2024-10-07T00:00:00"/>
    <x v="105"/>
    <n v="32"/>
    <d v="2025-03-27T00:00:00"/>
    <x v="0"/>
    <x v="4"/>
  </r>
  <r>
    <x v="141"/>
    <d v="1972-04-11T00:00:00"/>
    <n v="53"/>
    <x v="5"/>
    <x v="0"/>
    <x v="1"/>
    <x v="2"/>
    <x v="1"/>
    <s v="Heterosexual"/>
    <x v="4"/>
    <x v="113"/>
    <s v="May 2024"/>
    <d v="2024-05-21T00:00:00"/>
    <x v="113"/>
    <n v="16"/>
    <d v="2024-07-04T00:00:00"/>
    <x v="106"/>
    <n v="44"/>
    <d v="2024-12-09T00:00:00"/>
    <x v="0"/>
    <x v="1"/>
  </r>
  <r>
    <x v="142"/>
    <d v="1964-04-05T00:00:00"/>
    <n v="61"/>
    <x v="4"/>
    <x v="1"/>
    <x v="3"/>
    <x v="3"/>
    <x v="0"/>
    <s v="Heterosexual"/>
    <x v="3"/>
    <x v="32"/>
    <s v="April 2024"/>
    <d v="2024-05-02T00:00:00"/>
    <x v="114"/>
    <n v="9"/>
    <d v="2024-06-29T00:00:00"/>
    <x v="107"/>
    <n v="58"/>
    <d v="2024-11-13T00:00:00"/>
    <x v="0"/>
    <x v="2"/>
  </r>
  <r>
    <x v="143"/>
    <d v="1995-12-11T00:00:00"/>
    <n v="29"/>
    <x v="1"/>
    <x v="0"/>
    <x v="1"/>
    <x v="2"/>
    <x v="1"/>
    <s v="Heterosexual"/>
    <x v="4"/>
    <x v="7"/>
    <s v="July 2024"/>
    <d v="2024-08-12T00:00:00"/>
    <x v="71"/>
    <n v="14"/>
    <d v="2024-08-19T00:00:00"/>
    <x v="108"/>
    <n v="7"/>
    <d v="2025-01-16T00:00:00"/>
    <x v="0"/>
    <x v="2"/>
  </r>
  <r>
    <x v="144"/>
    <d v="1972-12-23T00:00:00"/>
    <n v="52"/>
    <x v="5"/>
    <x v="1"/>
    <x v="3"/>
    <x v="3"/>
    <x v="0"/>
    <s v="Heterosexual"/>
    <x v="4"/>
    <x v="114"/>
    <s v="July 2024"/>
    <d v="2024-08-27T00:00:00"/>
    <x v="115"/>
    <n v="45"/>
    <d v="2024-09-21T00:00:00"/>
    <x v="85"/>
    <n v="25"/>
    <d v="2025-02-07T00:00:00"/>
    <x v="0"/>
    <x v="2"/>
  </r>
  <r>
    <x v="145"/>
    <d v="1975-10-26T00:00:00"/>
    <n v="49"/>
    <x v="5"/>
    <x v="2"/>
    <x v="2"/>
    <x v="3"/>
    <x v="0"/>
    <s v="Heterosexual"/>
    <x v="4"/>
    <x v="115"/>
    <s v="December 2024"/>
    <d v="2025-01-18T00:00:00"/>
    <x v="116"/>
    <n v="23"/>
    <d v="2025-02-08T00:00:00"/>
    <x v="109"/>
    <n v="21"/>
    <d v="2025-07-22T00:00:00"/>
    <x v="0"/>
    <x v="3"/>
  </r>
  <r>
    <x v="146"/>
    <d v="1971-07-13T00:00:00"/>
    <n v="54"/>
    <x v="5"/>
    <x v="0"/>
    <x v="1"/>
    <x v="2"/>
    <x v="1"/>
    <s v="Heterosexual"/>
    <x v="3"/>
    <x v="116"/>
    <s v="January 2024"/>
    <d v="2024-03-02T00:00:00"/>
    <x v="117"/>
    <n v="31"/>
    <d v="2024-03-28T00:00:00"/>
    <x v="16"/>
    <n v="26"/>
    <d v="2024-09-19T00:00:00"/>
    <x v="0"/>
    <x v="4"/>
  </r>
  <r>
    <x v="147"/>
    <d v="1970-06-02T00:00:00"/>
    <n v="55"/>
    <x v="4"/>
    <x v="0"/>
    <x v="3"/>
    <x v="3"/>
    <x v="0"/>
    <s v="Heterosexual"/>
    <x v="3"/>
    <x v="117"/>
    <s v="March 2024"/>
    <d v="2024-04-07T00:00:00"/>
    <x v="118"/>
    <n v="29"/>
    <d v="2024-06-04T00:00:00"/>
    <x v="78"/>
    <n v="58"/>
    <d v="2024-12-01T00:00:00"/>
    <x v="0"/>
    <x v="3"/>
  </r>
  <r>
    <x v="148"/>
    <d v="2003-04-25T00:00:00"/>
    <n v="22"/>
    <x v="3"/>
    <x v="0"/>
    <x v="4"/>
    <x v="1"/>
    <x v="0"/>
    <s v="Homosexual"/>
    <x v="4"/>
    <x v="118"/>
    <s v="February 2024"/>
    <d v="2024-03-05T00:00:00"/>
    <x v="119"/>
    <n v="30"/>
    <d v="2024-03-15T00:00:00"/>
    <x v="72"/>
    <n v="10"/>
    <d v="2024-07-13T00:00:00"/>
    <x v="0"/>
    <x v="3"/>
  </r>
  <r>
    <x v="149"/>
    <d v="1959-09-06T00:00:00"/>
    <n v="66"/>
    <x v="2"/>
    <x v="0"/>
    <x v="1"/>
    <x v="2"/>
    <x v="1"/>
    <s v="Homosexual"/>
    <x v="5"/>
    <x v="119"/>
    <s v="March 2024"/>
    <d v="2024-03-29T00:00:00"/>
    <x v="120"/>
    <n v="16"/>
    <d v="2024-05-13T00:00:00"/>
    <x v="110"/>
    <n v="45"/>
    <d v="2024-10-14T00:00:00"/>
    <x v="0"/>
    <x v="1"/>
  </r>
  <r>
    <x v="150"/>
    <d v="1994-01-06T00:00:00"/>
    <n v="31"/>
    <x v="1"/>
    <x v="0"/>
    <x v="2"/>
    <x v="3"/>
    <x v="0"/>
    <s v="Heterosexual"/>
    <x v="3"/>
    <x v="36"/>
    <s v="January 2024"/>
    <d v="2024-02-03T00:00:00"/>
    <x v="65"/>
    <n v="8"/>
    <d v="2024-03-18T00:00:00"/>
    <x v="111"/>
    <n v="44"/>
    <d v="2024-07-22T00:00:00"/>
    <x v="0"/>
    <x v="3"/>
  </r>
  <r>
    <x v="151"/>
    <d v="1965-07-15T00:00:00"/>
    <n v="60"/>
    <x v="4"/>
    <x v="0"/>
    <x v="2"/>
    <x v="3"/>
    <x v="0"/>
    <s v="Heterosexual"/>
    <x v="0"/>
    <x v="120"/>
    <s v="January 2024"/>
    <d v="2024-03-01T00:00:00"/>
    <x v="25"/>
    <n v="49"/>
    <d v="2024-03-08T00:00:00"/>
    <x v="112"/>
    <n v="7"/>
    <d v="2024-08-03T00:00:00"/>
    <x v="0"/>
    <x v="2"/>
  </r>
  <r>
    <x v="152"/>
    <d v="1980-04-26T00:00:00"/>
    <n v="45"/>
    <x v="5"/>
    <x v="0"/>
    <x v="9"/>
    <x v="3"/>
    <x v="0"/>
    <s v="Prefer not to say"/>
    <x v="4"/>
    <x v="121"/>
    <s v="June 2024"/>
    <d v="2024-06-18T00:00:00"/>
    <x v="121"/>
    <n v="2"/>
    <d v="2024-07-03T00:00:00"/>
    <x v="47"/>
    <n v="15"/>
    <d v="2024-11-19T00:00:00"/>
    <x v="0"/>
    <x v="2"/>
  </r>
  <r>
    <x v="153"/>
    <d v="1969-02-27T00:00:00"/>
    <n v="56"/>
    <x v="4"/>
    <x v="1"/>
    <x v="1"/>
    <x v="2"/>
    <x v="1"/>
    <s v="Heterosexual"/>
    <x v="3"/>
    <x v="122"/>
    <s v="August 2024"/>
    <d v="2024-08-22T00:00:00"/>
    <x v="122"/>
    <n v="7"/>
    <d v="2024-09-24T00:00:00"/>
    <x v="113"/>
    <n v="33"/>
    <d v="2025-03-08T00:00:00"/>
    <x v="0"/>
    <x v="3"/>
  </r>
  <r>
    <x v="154"/>
    <d v="1998-09-17T00:00:00"/>
    <n v="27"/>
    <x v="1"/>
    <x v="0"/>
    <x v="3"/>
    <x v="3"/>
    <x v="0"/>
    <s v="Heterosexual"/>
    <x v="4"/>
    <x v="123"/>
    <s v="June 2024"/>
    <d v="2024-08-10T00:00:00"/>
    <x v="123"/>
    <n v="44"/>
    <d v="2024-08-26T00:00:00"/>
    <x v="114"/>
    <n v="16"/>
    <d v="2025-02-21T00:00:00"/>
    <x v="0"/>
    <x v="3"/>
  </r>
  <r>
    <x v="155"/>
    <d v="1970-05-10T00:00:00"/>
    <n v="55"/>
    <x v="4"/>
    <x v="0"/>
    <x v="1"/>
    <x v="2"/>
    <x v="1"/>
    <s v="Heterosexual"/>
    <x v="4"/>
    <x v="45"/>
    <s v="June 2024"/>
    <d v="2024-06-21T00:00:00"/>
    <x v="15"/>
    <n v="10"/>
    <d v="2024-07-08T00:00:00"/>
    <x v="115"/>
    <n v="17"/>
    <d v="2024-11-05T00:00:00"/>
    <x v="0"/>
    <x v="1"/>
  </r>
  <r>
    <x v="156"/>
    <d v="1987-12-16T00:00:00"/>
    <n v="37"/>
    <x v="0"/>
    <x v="1"/>
    <x v="3"/>
    <x v="3"/>
    <x v="0"/>
    <s v="Heterosexual"/>
    <x v="0"/>
    <x v="124"/>
    <s v="October 2024"/>
    <d v="2024-11-27T00:00:00"/>
    <x v="110"/>
    <n v="38"/>
    <d v="2024-12-04T00:00:00"/>
    <x v="116"/>
    <n v="7"/>
    <d v="2025-05-24T00:00:00"/>
    <x v="0"/>
    <x v="1"/>
  </r>
  <r>
    <x v="157"/>
    <d v="1988-02-15T00:00:00"/>
    <n v="37"/>
    <x v="0"/>
    <x v="2"/>
    <x v="3"/>
    <x v="3"/>
    <x v="0"/>
    <s v="Homosexual"/>
    <x v="4"/>
    <x v="106"/>
    <s v="January 2024"/>
    <d v="2024-03-09T00:00:00"/>
    <x v="124"/>
    <n v="46"/>
    <d v="2024-04-10T00:00:00"/>
    <x v="117"/>
    <n v="32"/>
    <d v="2024-08-15T00:00:00"/>
    <x v="0"/>
    <x v="2"/>
  </r>
  <r>
    <x v="158"/>
    <d v="2004-12-15T00:00:00"/>
    <n v="20"/>
    <x v="3"/>
    <x v="0"/>
    <x v="1"/>
    <x v="2"/>
    <x v="1"/>
    <s v="Heterosexual"/>
    <x v="4"/>
    <x v="5"/>
    <s v="November 2024"/>
    <d v="2024-12-27T00:00:00"/>
    <x v="125"/>
    <n v="31"/>
    <d v="2025-01-17T00:00:00"/>
    <x v="93"/>
    <n v="21"/>
    <d v="2025-06-24T00:00:00"/>
    <x v="0"/>
    <x v="4"/>
  </r>
  <r>
    <x v="159"/>
    <d v="2004-02-11T00:00:00"/>
    <n v="21"/>
    <x v="3"/>
    <x v="0"/>
    <x v="3"/>
    <x v="3"/>
    <x v="0"/>
    <s v="Prefer not to say"/>
    <x v="3"/>
    <x v="125"/>
    <s v="March 2024"/>
    <d v="2024-05-11T00:00:00"/>
    <x v="126"/>
    <n v="44"/>
    <d v="2024-06-15T00:00:00"/>
    <x v="87"/>
    <n v="35"/>
    <d v="2024-11-17T00:00:00"/>
    <x v="0"/>
    <x v="3"/>
  </r>
  <r>
    <x v="160"/>
    <d v="1987-11-20T00:00:00"/>
    <n v="37"/>
    <x v="0"/>
    <x v="0"/>
    <x v="1"/>
    <x v="3"/>
    <x v="0"/>
    <s v="Heterosexual"/>
    <x v="0"/>
    <x v="126"/>
    <s v="August 2024"/>
    <d v="2024-08-05T00:00:00"/>
    <x v="1"/>
    <n v="4"/>
    <d v="2024-09-16T00:00:00"/>
    <x v="118"/>
    <n v="42"/>
    <d v="2025-02-25T00:00:00"/>
    <x v="0"/>
    <x v="2"/>
  </r>
  <r>
    <x v="161"/>
    <d v="1989-04-04T00:00:00"/>
    <n v="36"/>
    <x v="0"/>
    <x v="1"/>
    <x v="3"/>
    <x v="3"/>
    <x v="0"/>
    <s v="Heterosexual"/>
    <x v="4"/>
    <x v="127"/>
    <s v="September 2024"/>
    <d v="2024-10-26T00:00:00"/>
    <x v="127"/>
    <n v="49"/>
    <d v="2024-12-07T00:00:00"/>
    <x v="119"/>
    <n v="42"/>
    <d v="2025-04-09T00:00:00"/>
    <x v="0"/>
    <x v="0"/>
  </r>
  <r>
    <x v="162"/>
    <d v="2004-02-20T00:00:00"/>
    <n v="21"/>
    <x v="3"/>
    <x v="0"/>
    <x v="1"/>
    <x v="2"/>
    <x v="1"/>
    <s v="Heterosexual"/>
    <x v="2"/>
    <x v="128"/>
    <s v="October 2024"/>
    <d v="2024-10-28T00:00:00"/>
    <x v="27"/>
    <n v="10"/>
    <d v="2024-11-28T00:00:00"/>
    <x v="11"/>
    <n v="31"/>
    <d v="2025-04-21T00:00:00"/>
    <x v="0"/>
    <x v="3"/>
  </r>
  <r>
    <x v="163"/>
    <d v="1985-02-27T00:00:00"/>
    <n v="40"/>
    <x v="0"/>
    <x v="0"/>
    <x v="4"/>
    <x v="1"/>
    <x v="0"/>
    <s v="Homosexual"/>
    <x v="5"/>
    <x v="129"/>
    <s v="April 2024"/>
    <d v="2024-05-07T00:00:00"/>
    <x v="128"/>
    <n v="32"/>
    <d v="2024-06-16T00:00:00"/>
    <x v="84"/>
    <n v="40"/>
    <d v="2024-11-05T00:00:00"/>
    <x v="0"/>
    <x v="4"/>
  </r>
  <r>
    <x v="164"/>
    <d v="2000-08-22T00:00:00"/>
    <n v="25"/>
    <x v="1"/>
    <x v="1"/>
    <x v="1"/>
    <x v="2"/>
    <x v="1"/>
    <s v="Heterosexual"/>
    <x v="3"/>
    <x v="130"/>
    <s v="January 2024"/>
    <d v="2024-01-02T00:00:00"/>
    <x v="129"/>
    <n v="1"/>
    <d v="2024-02-24T00:00:00"/>
    <x v="120"/>
    <n v="53"/>
    <d v="2024-08-03T00:00:00"/>
    <x v="0"/>
    <x v="4"/>
  </r>
  <r>
    <x v="165"/>
    <d v="1996-10-24T00:00:00"/>
    <n v="28"/>
    <x v="1"/>
    <x v="0"/>
    <x v="2"/>
    <x v="3"/>
    <x v="0"/>
    <s v="Homosexual"/>
    <x v="3"/>
    <x v="131"/>
    <s v="April 2024"/>
    <d v="2024-05-03T00:00:00"/>
    <x v="130"/>
    <n v="14"/>
    <d v="2024-06-27T00:00:00"/>
    <x v="48"/>
    <n v="55"/>
    <d v="2024-11-22T00:00:00"/>
    <x v="0"/>
    <x v="3"/>
  </r>
  <r>
    <x v="166"/>
    <d v="2001-12-07T00:00:00"/>
    <n v="23"/>
    <x v="3"/>
    <x v="0"/>
    <x v="1"/>
    <x v="2"/>
    <x v="1"/>
    <s v="Heterosexual"/>
    <x v="3"/>
    <x v="132"/>
    <s v="September 2024"/>
    <d v="2024-10-25T00:00:00"/>
    <x v="12"/>
    <n v="41"/>
    <d v="2024-12-08T00:00:00"/>
    <x v="121"/>
    <n v="44"/>
    <d v="2025-04-28T00:00:00"/>
    <x v="0"/>
    <x v="4"/>
  </r>
  <r>
    <x v="167"/>
    <d v="1991-11-25T00:00:00"/>
    <n v="33"/>
    <x v="1"/>
    <x v="0"/>
    <x v="1"/>
    <x v="2"/>
    <x v="1"/>
    <s v="Homosexual"/>
    <x v="4"/>
    <x v="133"/>
    <s v="August 2024"/>
    <d v="2024-08-28T00:00:00"/>
    <x v="131"/>
    <n v="9"/>
    <d v="2024-10-18T00:00:00"/>
    <x v="122"/>
    <n v="51"/>
    <d v="2025-03-22T00:00:00"/>
    <x v="0"/>
    <x v="1"/>
  </r>
  <r>
    <x v="168"/>
    <d v="1983-01-17T00:00:00"/>
    <n v="42"/>
    <x v="0"/>
    <x v="1"/>
    <x v="9"/>
    <x v="3"/>
    <x v="0"/>
    <s v="Heterosexual"/>
    <x v="4"/>
    <x v="134"/>
    <s v="April 2024"/>
    <d v="2024-05-14T00:00:00"/>
    <x v="9"/>
    <n v="16"/>
    <d v="2024-05-16T00:00:00"/>
    <x v="123"/>
    <n v="2"/>
    <d v="2024-11-09T00:00:00"/>
    <x v="0"/>
    <x v="3"/>
  </r>
  <r>
    <x v="169"/>
    <d v="1958-05-06T00:00:00"/>
    <n v="67"/>
    <x v="2"/>
    <x v="1"/>
    <x v="1"/>
    <x v="2"/>
    <x v="1"/>
    <s v="Heterosexual"/>
    <x v="3"/>
    <x v="135"/>
    <s v="May 2024"/>
    <d v="2024-05-13T00:00:00"/>
    <x v="132"/>
    <n v="9"/>
    <d v="2024-05-18T00:00:00"/>
    <x v="124"/>
    <n v="5"/>
    <d v="2024-09-15T00:00:00"/>
    <x v="0"/>
    <x v="2"/>
  </r>
  <r>
    <x v="170"/>
    <d v="1991-03-01T00:00:00"/>
    <n v="34"/>
    <x v="1"/>
    <x v="0"/>
    <x v="3"/>
    <x v="3"/>
    <x v="0"/>
    <s v="Heterosexual"/>
    <x v="4"/>
    <x v="136"/>
    <s v="May 2024"/>
    <d v="2024-06-21T00:00:00"/>
    <x v="15"/>
    <n v="25"/>
    <d v="2024-07-06T00:00:00"/>
    <x v="35"/>
    <n v="15"/>
    <d v="2024-11-12T00:00:00"/>
    <x v="0"/>
    <x v="4"/>
  </r>
  <r>
    <x v="171"/>
    <d v="1966-04-17T00:00:00"/>
    <n v="59"/>
    <x v="4"/>
    <x v="0"/>
    <x v="4"/>
    <x v="1"/>
    <x v="0"/>
    <s v="Heterosexual"/>
    <x v="3"/>
    <x v="137"/>
    <s v="December 2024"/>
    <d v="2024-12-23T00:00:00"/>
    <x v="133"/>
    <n v="14"/>
    <d v="2025-01-20T00:00:00"/>
    <x v="125"/>
    <n v="28"/>
    <d v="2025-05-21T00:00:00"/>
    <x v="0"/>
    <x v="2"/>
  </r>
  <r>
    <x v="172"/>
    <d v="1997-11-27T00:00:00"/>
    <n v="27"/>
    <x v="1"/>
    <x v="0"/>
    <x v="1"/>
    <x v="3"/>
    <x v="0"/>
    <s v="Heterosexual"/>
    <x v="4"/>
    <x v="138"/>
    <s v="June 2024"/>
    <d v="2024-06-14T00:00:00"/>
    <x v="134"/>
    <n v="13"/>
    <d v="2024-07-03T00:00:00"/>
    <x v="47"/>
    <n v="19"/>
    <d v="2024-12-21T00:00:00"/>
    <x v="0"/>
    <x v="3"/>
  </r>
  <r>
    <x v="173"/>
    <d v="1967-10-12T00:00:00"/>
    <n v="57"/>
    <x v="4"/>
    <x v="1"/>
    <x v="1"/>
    <x v="3"/>
    <x v="0"/>
    <s v="Homosexual"/>
    <x v="0"/>
    <x v="139"/>
    <s v="March 2024"/>
    <d v="2024-03-24T00:00:00"/>
    <x v="56"/>
    <n v="16"/>
    <d v="2024-04-14T00:00:00"/>
    <x v="126"/>
    <n v="21"/>
    <d v="2024-09-10T00:00:00"/>
    <x v="0"/>
    <x v="4"/>
  </r>
  <r>
    <x v="174"/>
    <d v="1976-04-26T00:00:00"/>
    <n v="49"/>
    <x v="5"/>
    <x v="1"/>
    <x v="10"/>
    <x v="1"/>
    <x v="0"/>
    <s v="Heterosexual"/>
    <x v="4"/>
    <x v="140"/>
    <s v="August 2024"/>
    <d v="2024-09-20T00:00:00"/>
    <x v="135"/>
    <n v="23"/>
    <d v="2024-10-08T00:00:00"/>
    <x v="127"/>
    <n v="18"/>
    <d v="2025-02-17T00:00:00"/>
    <x v="0"/>
    <x v="0"/>
  </r>
  <r>
    <x v="175"/>
    <d v="1972-02-05T00:00:00"/>
    <n v="53"/>
    <x v="5"/>
    <x v="0"/>
    <x v="10"/>
    <x v="1"/>
    <x v="0"/>
    <s v="Heterosexual"/>
    <x v="0"/>
    <x v="141"/>
    <s v="March 2024"/>
    <d v="2024-04-24T00:00:00"/>
    <x v="19"/>
    <n v="38"/>
    <d v="2024-04-28T00:00:00"/>
    <x v="128"/>
    <n v="4"/>
    <d v="2024-10-02T00:00:00"/>
    <x v="0"/>
    <x v="1"/>
  </r>
  <r>
    <x v="176"/>
    <d v="2005-07-18T00:00:00"/>
    <n v="20"/>
    <x v="3"/>
    <x v="0"/>
    <x v="3"/>
    <x v="3"/>
    <x v="0"/>
    <s v="Homosexual"/>
    <x v="0"/>
    <x v="142"/>
    <s v="June 2024"/>
    <d v="2024-06-16T00:00:00"/>
    <x v="136"/>
    <n v="14"/>
    <d v="2024-08-07T00:00:00"/>
    <x v="129"/>
    <n v="52"/>
    <d v="2024-12-22T00:00:00"/>
    <x v="0"/>
    <x v="3"/>
  </r>
  <r>
    <x v="177"/>
    <d v="1980-05-21T00:00:00"/>
    <n v="45"/>
    <x v="5"/>
    <x v="0"/>
    <x v="3"/>
    <x v="3"/>
    <x v="0"/>
    <s v="Heterosexual"/>
    <x v="3"/>
    <x v="143"/>
    <s v="April 2024"/>
    <d v="2024-05-09T00:00:00"/>
    <x v="104"/>
    <n v="26"/>
    <d v="2024-06-16T00:00:00"/>
    <x v="84"/>
    <n v="38"/>
    <d v="2024-11-11T00:00:00"/>
    <x v="0"/>
    <x v="0"/>
  </r>
  <r>
    <x v="178"/>
    <d v="1962-03-25T00:00:00"/>
    <n v="63"/>
    <x v="4"/>
    <x v="1"/>
    <x v="1"/>
    <x v="2"/>
    <x v="1"/>
    <s v="Heterosexual"/>
    <x v="0"/>
    <x v="144"/>
    <s v="May 2024"/>
    <d v="2024-06-28T00:00:00"/>
    <x v="137"/>
    <n v="47"/>
    <d v="2024-08-26T00:00:00"/>
    <x v="114"/>
    <n v="59"/>
    <d v="2025-01-07T00:00:00"/>
    <x v="0"/>
    <x v="1"/>
  </r>
  <r>
    <x v="179"/>
    <d v="1984-10-19T00:00:00"/>
    <n v="40"/>
    <x v="0"/>
    <x v="0"/>
    <x v="1"/>
    <x v="3"/>
    <x v="0"/>
    <s v="Heterosexual"/>
    <x v="0"/>
    <x v="12"/>
    <s v="October 2024"/>
    <d v="2024-10-28T00:00:00"/>
    <x v="27"/>
    <n v="26"/>
    <d v="2024-12-05T00:00:00"/>
    <x v="130"/>
    <n v="38"/>
    <d v="2025-05-22T00:00:00"/>
    <x v="0"/>
    <x v="1"/>
  </r>
  <r>
    <x v="180"/>
    <d v="1991-03-19T00:00:00"/>
    <n v="34"/>
    <x v="1"/>
    <x v="0"/>
    <x v="1"/>
    <x v="2"/>
    <x v="1"/>
    <s v="Heterosexual"/>
    <x v="0"/>
    <x v="117"/>
    <s v="March 2024"/>
    <d v="2024-04-25T00:00:00"/>
    <x v="138"/>
    <n v="47"/>
    <d v="2024-06-15T00:00:00"/>
    <x v="87"/>
    <n v="51"/>
    <d v="2024-11-20T00:00:00"/>
    <x v="0"/>
    <x v="2"/>
  </r>
  <r>
    <x v="181"/>
    <d v="1971-07-13T00:00:00"/>
    <n v="54"/>
    <x v="5"/>
    <x v="0"/>
    <x v="3"/>
    <x v="3"/>
    <x v="0"/>
    <s v="Homosexual"/>
    <x v="2"/>
    <x v="145"/>
    <s v="November 2024"/>
    <d v="2024-12-18T00:00:00"/>
    <x v="139"/>
    <n v="25"/>
    <d v="2025-01-10T00:00:00"/>
    <x v="131"/>
    <n v="23"/>
    <d v="2025-05-17T00:00:00"/>
    <x v="0"/>
    <x v="0"/>
  </r>
  <r>
    <x v="182"/>
    <d v="1998-03-10T00:00:00"/>
    <n v="27"/>
    <x v="1"/>
    <x v="0"/>
    <x v="4"/>
    <x v="1"/>
    <x v="0"/>
    <s v="Heterosexual"/>
    <x v="3"/>
    <x v="146"/>
    <s v="December 2024"/>
    <d v="2025-01-14T00:00:00"/>
    <x v="140"/>
    <n v="35"/>
    <d v="2025-03-06T00:00:00"/>
    <x v="132"/>
    <n v="51"/>
    <d v="2025-08-31T00:00:00"/>
    <x v="0"/>
    <x v="0"/>
  </r>
  <r>
    <x v="183"/>
    <d v="1985-11-03T00:00:00"/>
    <n v="39"/>
    <x v="0"/>
    <x v="1"/>
    <x v="4"/>
    <x v="1"/>
    <x v="0"/>
    <s v="Homosexual"/>
    <x v="5"/>
    <x v="146"/>
    <s v="December 2024"/>
    <d v="2024-12-16T00:00:00"/>
    <x v="97"/>
    <n v="6"/>
    <d v="2024-12-24T00:00:00"/>
    <x v="133"/>
    <n v="8"/>
    <d v="2025-05-17T00:00:00"/>
    <x v="0"/>
    <x v="4"/>
  </r>
  <r>
    <x v="184"/>
    <d v="1970-09-22T00:00:00"/>
    <n v="55"/>
    <x v="4"/>
    <x v="0"/>
    <x v="2"/>
    <x v="3"/>
    <x v="0"/>
    <s v="Heterosexual"/>
    <x v="4"/>
    <x v="147"/>
    <s v="August 2024"/>
    <d v="2024-09-19T00:00:00"/>
    <x v="43"/>
    <n v="41"/>
    <d v="2024-11-07T00:00:00"/>
    <x v="88"/>
    <n v="49"/>
    <d v="2025-04-17T00:00:00"/>
    <x v="0"/>
    <x v="4"/>
  </r>
  <r>
    <x v="185"/>
    <d v="1998-06-24T00:00:00"/>
    <n v="27"/>
    <x v="1"/>
    <x v="0"/>
    <x v="2"/>
    <x v="3"/>
    <x v="0"/>
    <s v="Heterosexual"/>
    <x v="3"/>
    <x v="148"/>
    <s v="August 2024"/>
    <d v="2024-10-01T00:00:00"/>
    <x v="141"/>
    <n v="40"/>
    <d v="2024-11-23T00:00:00"/>
    <x v="58"/>
    <n v="53"/>
    <d v="2025-04-10T00:00:00"/>
    <x v="0"/>
    <x v="0"/>
  </r>
  <r>
    <x v="186"/>
    <d v="1979-04-23T00:00:00"/>
    <n v="46"/>
    <x v="5"/>
    <x v="0"/>
    <x v="2"/>
    <x v="3"/>
    <x v="0"/>
    <s v="Homosexual"/>
    <x v="3"/>
    <x v="149"/>
    <s v="January 2024"/>
    <d v="2024-01-13T00:00:00"/>
    <x v="142"/>
    <n v="4"/>
    <d v="2024-02-17T00:00:00"/>
    <x v="134"/>
    <n v="35"/>
    <d v="2024-08-15T00:00:00"/>
    <x v="0"/>
    <x v="0"/>
  </r>
  <r>
    <x v="187"/>
    <d v="1970-09-15T00:00:00"/>
    <n v="55"/>
    <x v="4"/>
    <x v="1"/>
    <x v="2"/>
    <x v="3"/>
    <x v="0"/>
    <s v="Heterosexual"/>
    <x v="3"/>
    <x v="89"/>
    <s v="February 2024"/>
    <d v="2024-03-22T00:00:00"/>
    <x v="143"/>
    <n v="40"/>
    <d v="2024-04-08T00:00:00"/>
    <x v="135"/>
    <n v="17"/>
    <d v="2024-08-17T00:00:00"/>
    <x v="0"/>
    <x v="1"/>
  </r>
  <r>
    <x v="188"/>
    <d v="1965-03-20T00:00:00"/>
    <n v="60"/>
    <x v="4"/>
    <x v="0"/>
    <x v="1"/>
    <x v="2"/>
    <x v="1"/>
    <s v="Heterosexual"/>
    <x v="0"/>
    <x v="150"/>
    <s v="July 2024"/>
    <d v="2024-08-20T00:00:00"/>
    <x v="144"/>
    <n v="40"/>
    <d v="2024-09-01T00:00:00"/>
    <x v="136"/>
    <n v="12"/>
    <d v="2025-01-02T00:00:00"/>
    <x v="0"/>
    <x v="2"/>
  </r>
  <r>
    <x v="189"/>
    <d v="1993-02-02T00:00:00"/>
    <n v="32"/>
    <x v="1"/>
    <x v="0"/>
    <x v="3"/>
    <x v="3"/>
    <x v="0"/>
    <s v="Prefer not to say"/>
    <x v="3"/>
    <x v="151"/>
    <s v="March 2024"/>
    <d v="2024-04-25T00:00:00"/>
    <x v="138"/>
    <n v="42"/>
    <d v="2024-05-21T00:00:00"/>
    <x v="76"/>
    <n v="26"/>
    <d v="2024-11-16T00:00:00"/>
    <x v="0"/>
    <x v="2"/>
  </r>
  <r>
    <x v="190"/>
    <d v="1985-09-19T00:00:00"/>
    <n v="40"/>
    <x v="0"/>
    <x v="0"/>
    <x v="1"/>
    <x v="3"/>
    <x v="0"/>
    <s v="Heterosexual"/>
    <x v="4"/>
    <x v="114"/>
    <s v="July 2024"/>
    <d v="2024-07-28T00:00:00"/>
    <x v="85"/>
    <n v="15"/>
    <d v="2024-08-18T00:00:00"/>
    <x v="137"/>
    <n v="21"/>
    <d v="2025-01-20T00:00:00"/>
    <x v="0"/>
    <x v="1"/>
  </r>
  <r>
    <x v="191"/>
    <d v="1997-11-03T00:00:00"/>
    <n v="27"/>
    <x v="1"/>
    <x v="0"/>
    <x v="3"/>
    <x v="3"/>
    <x v="0"/>
    <s v="Heterosexual"/>
    <x v="3"/>
    <x v="120"/>
    <s v="January 2024"/>
    <d v="2024-02-28T00:00:00"/>
    <x v="48"/>
    <n v="47"/>
    <d v="2024-04-20T00:00:00"/>
    <x v="138"/>
    <n v="52"/>
    <d v="2024-10-13T00:00:00"/>
    <x v="0"/>
    <x v="4"/>
  </r>
  <r>
    <x v="192"/>
    <d v="1970-10-18T00:00:00"/>
    <n v="54"/>
    <x v="5"/>
    <x v="1"/>
    <x v="1"/>
    <x v="2"/>
    <x v="1"/>
    <s v="Homosexual"/>
    <x v="0"/>
    <x v="152"/>
    <s v="March 2024"/>
    <d v="2024-05-04T00:00:00"/>
    <x v="145"/>
    <n v="44"/>
    <d v="2024-05-24T00:00:00"/>
    <x v="42"/>
    <n v="20"/>
    <d v="2024-10-30T00:00:00"/>
    <x v="0"/>
    <x v="2"/>
  </r>
  <r>
    <x v="193"/>
    <d v="1969-06-02T00:00:00"/>
    <n v="56"/>
    <x v="4"/>
    <x v="1"/>
    <x v="3"/>
    <x v="3"/>
    <x v="0"/>
    <s v="Homosexual"/>
    <x v="0"/>
    <x v="153"/>
    <s v="July 2024"/>
    <d v="2024-08-28T00:00:00"/>
    <x v="131"/>
    <n v="42"/>
    <d v="2024-10-16T00:00:00"/>
    <x v="139"/>
    <n v="49"/>
    <d v="2025-03-13T00:00:00"/>
    <x v="0"/>
    <x v="2"/>
  </r>
  <r>
    <x v="194"/>
    <d v="1961-09-13T00:00:00"/>
    <n v="64"/>
    <x v="4"/>
    <x v="1"/>
    <x v="3"/>
    <x v="3"/>
    <x v="0"/>
    <s v="Homosexual"/>
    <x v="0"/>
    <x v="154"/>
    <s v="November 2024"/>
    <d v="2024-11-27T00:00:00"/>
    <x v="110"/>
    <n v="18"/>
    <d v="2024-12-13T00:00:00"/>
    <x v="94"/>
    <n v="16"/>
    <d v="2025-05-09T00:00:00"/>
    <x v="0"/>
    <x v="1"/>
  </r>
  <r>
    <x v="195"/>
    <d v="1969-11-23T00:00:00"/>
    <n v="55"/>
    <x v="4"/>
    <x v="0"/>
    <x v="1"/>
    <x v="2"/>
    <x v="1"/>
    <s v="Prefer not to say"/>
    <x v="3"/>
    <x v="155"/>
    <s v="October 2024"/>
    <d v="2024-12-02T00:00:00"/>
    <x v="81"/>
    <n v="46"/>
    <d v="2025-01-18T00:00:00"/>
    <x v="140"/>
    <n v="47"/>
    <d v="2025-05-22T00:00:00"/>
    <x v="0"/>
    <x v="3"/>
  </r>
  <r>
    <x v="196"/>
    <d v="1964-04-18T00:00:00"/>
    <n v="61"/>
    <x v="4"/>
    <x v="1"/>
    <x v="2"/>
    <x v="3"/>
    <x v="0"/>
    <s v="Homosexual"/>
    <x v="0"/>
    <x v="156"/>
    <s v="February 2024"/>
    <d v="2024-03-05T00:00:00"/>
    <x v="119"/>
    <n v="19"/>
    <d v="2024-04-19T00:00:00"/>
    <x v="97"/>
    <n v="45"/>
    <d v="2024-09-10T00:00:00"/>
    <x v="0"/>
    <x v="1"/>
  </r>
  <r>
    <x v="197"/>
    <d v="1989-12-09T00:00:00"/>
    <n v="35"/>
    <x v="0"/>
    <x v="0"/>
    <x v="3"/>
    <x v="3"/>
    <x v="0"/>
    <s v="Heterosexual"/>
    <x v="3"/>
    <x v="157"/>
    <s v="May 2024"/>
    <d v="2024-06-03T00:00:00"/>
    <x v="88"/>
    <n v="10"/>
    <d v="2024-07-03T00:00:00"/>
    <x v="47"/>
    <n v="30"/>
    <d v="2024-12-02T00:00:00"/>
    <x v="0"/>
    <x v="1"/>
  </r>
  <r>
    <x v="198"/>
    <d v="1976-02-05T00:00:00"/>
    <n v="49"/>
    <x v="5"/>
    <x v="0"/>
    <x v="1"/>
    <x v="2"/>
    <x v="1"/>
    <s v="Heterosexual"/>
    <x v="3"/>
    <x v="105"/>
    <s v="April 2024"/>
    <d v="2024-04-24T00:00:00"/>
    <x v="19"/>
    <n v="21"/>
    <d v="2024-06-21T00:00:00"/>
    <x v="141"/>
    <n v="58"/>
    <d v="2024-11-12T00:00:00"/>
    <x v="0"/>
    <x v="1"/>
  </r>
  <r>
    <x v="199"/>
    <d v="1981-04-08T00:00:00"/>
    <n v="44"/>
    <x v="0"/>
    <x v="1"/>
    <x v="2"/>
    <x v="3"/>
    <x v="0"/>
    <s v="Heterosexual"/>
    <x v="2"/>
    <x v="158"/>
    <s v="November 2024"/>
    <d v="2024-12-31T00:00:00"/>
    <x v="108"/>
    <n v="48"/>
    <d v="2025-01-05T00:00:00"/>
    <x v="142"/>
    <n v="5"/>
    <d v="2025-06-09T00:00:00"/>
    <x v="0"/>
    <x v="0"/>
  </r>
  <r>
    <x v="200"/>
    <d v="1978-02-04T00:00:00"/>
    <n v="47"/>
    <x v="5"/>
    <x v="0"/>
    <x v="1"/>
    <x v="3"/>
    <x v="0"/>
    <s v="Heterosexual"/>
    <x v="4"/>
    <x v="64"/>
    <s v="January 2024"/>
    <d v="2024-01-20T00:00:00"/>
    <x v="146"/>
    <n v="10"/>
    <d v="2024-01-26T00:00:00"/>
    <x v="143"/>
    <n v="6"/>
    <d v="2024-07-20T00:00:00"/>
    <x v="0"/>
    <x v="0"/>
  </r>
  <r>
    <x v="201"/>
    <d v="2005-03-04T00:00:00"/>
    <n v="20"/>
    <x v="3"/>
    <x v="1"/>
    <x v="3"/>
    <x v="3"/>
    <x v="0"/>
    <s v="Homosexual"/>
    <x v="3"/>
    <x v="159"/>
    <s v="December 2024"/>
    <d v="2024-12-09T00:00:00"/>
    <x v="147"/>
    <n v="7"/>
    <d v="2025-01-07T00:00:00"/>
    <x v="144"/>
    <n v="29"/>
    <d v="2025-06-21T00:00:00"/>
    <x v="0"/>
    <x v="2"/>
  </r>
  <r>
    <x v="202"/>
    <d v="1977-01-17T00:00:00"/>
    <n v="48"/>
    <x v="5"/>
    <x v="0"/>
    <x v="11"/>
    <x v="3"/>
    <x v="0"/>
    <s v="Heterosexual"/>
    <x v="0"/>
    <x v="160"/>
    <s v="March 2024"/>
    <d v="2024-04-01T00:00:00"/>
    <x v="148"/>
    <n v="27"/>
    <d v="2024-05-25T00:00:00"/>
    <x v="145"/>
    <n v="54"/>
    <d v="2024-10-09T00:00:00"/>
    <x v="0"/>
    <x v="4"/>
  </r>
  <r>
    <x v="203"/>
    <d v="1958-08-22T00:00:00"/>
    <n v="67"/>
    <x v="2"/>
    <x v="1"/>
    <x v="12"/>
    <x v="0"/>
    <x v="0"/>
    <s v="Heterosexual"/>
    <x v="3"/>
    <x v="161"/>
    <s v="January 2024"/>
    <d v="2024-01-29T00:00:00"/>
    <x v="149"/>
    <n v="1"/>
    <d v="2024-02-04T00:00:00"/>
    <x v="146"/>
    <n v="6"/>
    <d v="2024-06-09T00:00:00"/>
    <x v="0"/>
    <x v="3"/>
  </r>
  <r>
    <x v="204"/>
    <d v="1990-05-12T00:00:00"/>
    <n v="35"/>
    <x v="0"/>
    <x v="1"/>
    <x v="13"/>
    <x v="0"/>
    <x v="0"/>
    <s v="Homosexual"/>
    <x v="0"/>
    <x v="106"/>
    <s v="January 2024"/>
    <d v="2024-02-08T00:00:00"/>
    <x v="150"/>
    <n v="16"/>
    <d v="2024-02-15T00:00:00"/>
    <x v="147"/>
    <n v="7"/>
    <d v="2024-08-03T00:00:00"/>
    <x v="0"/>
    <x v="0"/>
  </r>
  <r>
    <x v="205"/>
    <d v="1968-07-04T00:00:00"/>
    <n v="57"/>
    <x v="4"/>
    <x v="0"/>
    <x v="3"/>
    <x v="3"/>
    <x v="0"/>
    <s v="Heterosexual"/>
    <x v="3"/>
    <x v="34"/>
    <s v="September 2024"/>
    <d v="2024-10-04T00:00:00"/>
    <x v="111"/>
    <n v="26"/>
    <d v="2024-11-21T00:00:00"/>
    <x v="148"/>
    <n v="48"/>
    <d v="2025-05-05T00:00:00"/>
    <x v="0"/>
    <x v="1"/>
  </r>
  <r>
    <x v="206"/>
    <d v="1962-07-04T00:00:00"/>
    <n v="63"/>
    <x v="4"/>
    <x v="0"/>
    <x v="4"/>
    <x v="1"/>
    <x v="0"/>
    <s v="Heterosexual"/>
    <x v="3"/>
    <x v="162"/>
    <s v="December 2024"/>
    <d v="2025-01-16T00:00:00"/>
    <x v="151"/>
    <n v="24"/>
    <d v="2025-03-04T00:00:00"/>
    <x v="149"/>
    <n v="47"/>
    <d v="2025-07-17T00:00:00"/>
    <x v="0"/>
    <x v="4"/>
  </r>
  <r>
    <x v="207"/>
    <d v="2001-12-13T00:00:00"/>
    <n v="23"/>
    <x v="3"/>
    <x v="0"/>
    <x v="2"/>
    <x v="3"/>
    <x v="0"/>
    <s v="Homosexual"/>
    <x v="0"/>
    <x v="163"/>
    <s v="November 2024"/>
    <d v="2024-12-08T00:00:00"/>
    <x v="152"/>
    <n v="23"/>
    <d v="2024-12-23T00:00:00"/>
    <x v="150"/>
    <n v="15"/>
    <d v="2025-06-08T00:00:00"/>
    <x v="0"/>
    <x v="0"/>
  </r>
  <r>
    <x v="208"/>
    <d v="1973-06-07T00:00:00"/>
    <n v="52"/>
    <x v="5"/>
    <x v="1"/>
    <x v="3"/>
    <x v="3"/>
    <x v="0"/>
    <s v="Heterosexual"/>
    <x v="3"/>
    <x v="164"/>
    <s v="December 2024"/>
    <d v="2025-01-08T00:00:00"/>
    <x v="153"/>
    <n v="31"/>
    <d v="2025-02-18T00:00:00"/>
    <x v="151"/>
    <n v="41"/>
    <d v="2025-07-20T00:00:00"/>
    <x v="0"/>
    <x v="2"/>
  </r>
  <r>
    <x v="209"/>
    <d v="1972-12-05T00:00:00"/>
    <n v="52"/>
    <x v="5"/>
    <x v="0"/>
    <x v="3"/>
    <x v="3"/>
    <x v="0"/>
    <s v="Heterosexual"/>
    <x v="0"/>
    <x v="165"/>
    <s v="December 2024"/>
    <d v="2025-01-27T00:00:00"/>
    <x v="154"/>
    <n v="42"/>
    <d v="2025-03-23T00:00:00"/>
    <x v="152"/>
    <n v="55"/>
    <d v="2025-08-26T00:00:00"/>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442BD3-C8A8-254A-94A7-48655006FB96}" name="PivotTable11" cacheId="17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rowHeaderCaption="Counsellor">
  <location ref="AB4:AH11" firstHeaderRow="1" firstDataRow="2" firstDataCol="1"/>
  <pivotFields count="28">
    <pivotField dataField="1" compact="0" outline="0" showAll="0">
      <items count="2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t="default"/>
      </items>
    </pivotField>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4" outline="0" showAll="0">
      <items count="167">
        <item x="130"/>
        <item x="85"/>
        <item x="149"/>
        <item x="64"/>
        <item x="52"/>
        <item x="120"/>
        <item x="47"/>
        <item x="98"/>
        <item x="67"/>
        <item x="0"/>
        <item x="18"/>
        <item x="106"/>
        <item x="74"/>
        <item x="36"/>
        <item x="53"/>
        <item x="161"/>
        <item x="33"/>
        <item x="116"/>
        <item x="26"/>
        <item x="92"/>
        <item x="118"/>
        <item x="69"/>
        <item x="89"/>
        <item x="28"/>
        <item x="156"/>
        <item x="93"/>
        <item x="27"/>
        <item x="21"/>
        <item x="99"/>
        <item x="24"/>
        <item x="109"/>
        <item x="59"/>
        <item x="160"/>
        <item x="77"/>
        <item x="139"/>
        <item x="117"/>
        <item x="10"/>
        <item x="119"/>
        <item x="151"/>
        <item x="141"/>
        <item x="40"/>
        <item x="152"/>
        <item x="78"/>
        <item x="103"/>
        <item x="80"/>
        <item x="125"/>
        <item x="20"/>
        <item x="105"/>
        <item x="129"/>
        <item x="38"/>
        <item x="51"/>
        <item x="143"/>
        <item x="87"/>
        <item x="83"/>
        <item x="62"/>
        <item x="46"/>
        <item x="131"/>
        <item x="32"/>
        <item x="134"/>
        <item x="9"/>
        <item x="14"/>
        <item x="97"/>
        <item x="135"/>
        <item x="113"/>
        <item x="84"/>
        <item x="3"/>
        <item x="144"/>
        <item x="37"/>
        <item x="101"/>
        <item x="15"/>
        <item x="104"/>
        <item x="157"/>
        <item x="71"/>
        <item x="76"/>
        <item x="136"/>
        <item x="138"/>
        <item x="142"/>
        <item x="49"/>
        <item x="45"/>
        <item x="65"/>
        <item x="102"/>
        <item x="121"/>
        <item x="86"/>
        <item x="4"/>
        <item x="107"/>
        <item x="35"/>
        <item x="123"/>
        <item x="11"/>
        <item x="66"/>
        <item x="150"/>
        <item x="114"/>
        <item x="90"/>
        <item x="72"/>
        <item x="153"/>
        <item x="73"/>
        <item x="1"/>
        <item x="43"/>
        <item x="8"/>
        <item x="2"/>
        <item x="7"/>
        <item x="126"/>
        <item x="79"/>
        <item x="68"/>
        <item x="147"/>
        <item x="30"/>
        <item x="122"/>
        <item x="96"/>
        <item x="42"/>
        <item x="133"/>
        <item x="48"/>
        <item x="148"/>
        <item x="112"/>
        <item x="140"/>
        <item x="13"/>
        <item x="127"/>
        <item x="34"/>
        <item x="57"/>
        <item x="132"/>
        <item x="60"/>
        <item x="95"/>
        <item x="111"/>
        <item x="50"/>
        <item x="12"/>
        <item x="22"/>
        <item x="23"/>
        <item x="17"/>
        <item x="44"/>
        <item x="75"/>
        <item x="70"/>
        <item x="155"/>
        <item x="128"/>
        <item x="63"/>
        <item x="124"/>
        <item x="29"/>
        <item x="100"/>
        <item x="61"/>
        <item x="55"/>
        <item x="41"/>
        <item x="54"/>
        <item x="81"/>
        <item x="110"/>
        <item x="94"/>
        <item x="154"/>
        <item x="158"/>
        <item x="163"/>
        <item x="82"/>
        <item x="145"/>
        <item x="5"/>
        <item x="108"/>
        <item x="159"/>
        <item x="88"/>
        <item x="164"/>
        <item x="137"/>
        <item x="146"/>
        <item x="19"/>
        <item x="58"/>
        <item x="165"/>
        <item x="6"/>
        <item x="25"/>
        <item x="39"/>
        <item x="162"/>
        <item x="115"/>
        <item x="56"/>
        <item x="31"/>
        <item x="91"/>
        <item x="16"/>
        <item t="default"/>
      </items>
    </pivotField>
    <pivotField compact="0" outline="0" showAll="0"/>
    <pivotField compact="0" outline="0" showAll="0"/>
    <pivotField compact="0" outline="0" showAll="0">
      <items count="156">
        <item x="16"/>
        <item x="129"/>
        <item x="142"/>
        <item x="146"/>
        <item x="96"/>
        <item x="42"/>
        <item x="105"/>
        <item x="149"/>
        <item x="32"/>
        <item x="65"/>
        <item x="150"/>
        <item x="61"/>
        <item x="0"/>
        <item x="63"/>
        <item x="55"/>
        <item x="87"/>
        <item x="24"/>
        <item x="92"/>
        <item x="48"/>
        <item x="94"/>
        <item x="25"/>
        <item x="117"/>
        <item x="20"/>
        <item x="119"/>
        <item x="17"/>
        <item x="124"/>
        <item x="35"/>
        <item x="49"/>
        <item x="26"/>
        <item x="95"/>
        <item x="75"/>
        <item x="30"/>
        <item x="143"/>
        <item x="56"/>
        <item x="78"/>
        <item x="101"/>
        <item x="120"/>
        <item x="148"/>
        <item x="86"/>
        <item x="118"/>
        <item x="102"/>
        <item x="80"/>
        <item x="89"/>
        <item x="37"/>
        <item x="19"/>
        <item x="138"/>
        <item x="10"/>
        <item x="47"/>
        <item x="114"/>
        <item x="130"/>
        <item x="145"/>
        <item x="100"/>
        <item x="128"/>
        <item x="104"/>
        <item x="126"/>
        <item x="41"/>
        <item x="132"/>
        <item x="9"/>
        <item x="106"/>
        <item x="113"/>
        <item x="31"/>
        <item x="74"/>
        <item x="84"/>
        <item x="46"/>
        <item x="59"/>
        <item x="88"/>
        <item x="109"/>
        <item x="3"/>
        <item x="36"/>
        <item x="14"/>
        <item x="134"/>
        <item x="136"/>
        <item x="62"/>
        <item x="121"/>
        <item x="29"/>
        <item x="15"/>
        <item x="103"/>
        <item x="76"/>
        <item x="137"/>
        <item x="4"/>
        <item x="83"/>
        <item x="34"/>
        <item x="107"/>
        <item x="69"/>
        <item x="82"/>
        <item x="11"/>
        <item x="44"/>
        <item x="40"/>
        <item x="85"/>
        <item x="1"/>
        <item x="8"/>
        <item x="123"/>
        <item x="71"/>
        <item x="64"/>
        <item x="70"/>
        <item x="67"/>
        <item x="7"/>
        <item x="144"/>
        <item x="122"/>
        <item x="79"/>
        <item x="2"/>
        <item x="115"/>
        <item x="131"/>
        <item x="66"/>
        <item x="112"/>
        <item x="99"/>
        <item x="39"/>
        <item x="28"/>
        <item x="43"/>
        <item x="135"/>
        <item x="45"/>
        <item x="141"/>
        <item x="111"/>
        <item x="53"/>
        <item x="22"/>
        <item x="57"/>
        <item x="33"/>
        <item x="98"/>
        <item x="13"/>
        <item x="12"/>
        <item x="127"/>
        <item x="27"/>
        <item x="21"/>
        <item x="90"/>
        <item x="58"/>
        <item x="68"/>
        <item x="110"/>
        <item x="60"/>
        <item x="81"/>
        <item x="77"/>
        <item x="51"/>
        <item x="72"/>
        <item x="152"/>
        <item x="147"/>
        <item x="97"/>
        <item x="50"/>
        <item x="139"/>
        <item x="91"/>
        <item x="133"/>
        <item x="23"/>
        <item x="125"/>
        <item x="73"/>
        <item x="108"/>
        <item x="38"/>
        <item x="18"/>
        <item x="153"/>
        <item x="5"/>
        <item x="140"/>
        <item x="151"/>
        <item x="116"/>
        <item x="6"/>
        <item x="54"/>
        <item x="154"/>
        <item x="52"/>
        <item x="93"/>
        <item t="default"/>
      </items>
    </pivotField>
    <pivotField compact="0" outline="0" showAll="0"/>
    <pivotField compact="0" outline="0" showAll="0"/>
    <pivotField compact="0" outline="0" showAll="0">
      <items count="154">
        <item x="15"/>
        <item x="143"/>
        <item x="91"/>
        <item x="146"/>
        <item x="43"/>
        <item x="147"/>
        <item x="134"/>
        <item x="63"/>
        <item x="120"/>
        <item x="65"/>
        <item x="61"/>
        <item x="23"/>
        <item x="112"/>
        <item x="49"/>
        <item x="0"/>
        <item x="31"/>
        <item x="72"/>
        <item x="100"/>
        <item x="111"/>
        <item x="55"/>
        <item x="24"/>
        <item x="68"/>
        <item x="16"/>
        <item x="34"/>
        <item x="50"/>
        <item x="135"/>
        <item x="117"/>
        <item x="126"/>
        <item x="97"/>
        <item x="138"/>
        <item x="29"/>
        <item x="128"/>
        <item x="25"/>
        <item x="74"/>
        <item x="96"/>
        <item x="110"/>
        <item x="123"/>
        <item x="124"/>
        <item x="56"/>
        <item x="76"/>
        <item x="101"/>
        <item x="42"/>
        <item x="145"/>
        <item x="30"/>
        <item x="78"/>
        <item x="9"/>
        <item x="36"/>
        <item x="18"/>
        <item x="87"/>
        <item x="84"/>
        <item x="141"/>
        <item x="28"/>
        <item x="99"/>
        <item x="48"/>
        <item x="107"/>
        <item x="3"/>
        <item x="47"/>
        <item x="106"/>
        <item x="35"/>
        <item x="102"/>
        <item x="115"/>
        <item x="59"/>
        <item x="4"/>
        <item x="41"/>
        <item x="83"/>
        <item x="86"/>
        <item x="33"/>
        <item x="62"/>
        <item x="21"/>
        <item x="13"/>
        <item x="82"/>
        <item x="10"/>
        <item x="14"/>
        <item x="45"/>
        <item x="129"/>
        <item x="39"/>
        <item x="137"/>
        <item x="108"/>
        <item x="67"/>
        <item x="114"/>
        <item x="8"/>
        <item x="136"/>
        <item x="1"/>
        <item x="118"/>
        <item x="70"/>
        <item x="64"/>
        <item x="66"/>
        <item x="85"/>
        <item x="113"/>
        <item x="79"/>
        <item x="2"/>
        <item x="7"/>
        <item x="71"/>
        <item x="105"/>
        <item x="127"/>
        <item x="46"/>
        <item x="44"/>
        <item x="54"/>
        <item x="139"/>
        <item x="122"/>
        <item x="40"/>
        <item x="95"/>
        <item x="32"/>
        <item x="27"/>
        <item x="88"/>
        <item x="103"/>
        <item x="26"/>
        <item x="38"/>
        <item x="148"/>
        <item x="57"/>
        <item x="58"/>
        <item x="104"/>
        <item x="11"/>
        <item x="12"/>
        <item x="116"/>
        <item x="130"/>
        <item x="20"/>
        <item x="119"/>
        <item x="121"/>
        <item x="94"/>
        <item x="77"/>
        <item x="69"/>
        <item x="150"/>
        <item x="133"/>
        <item x="19"/>
        <item x="60"/>
        <item x="75"/>
        <item x="81"/>
        <item x="98"/>
        <item x="142"/>
        <item x="144"/>
        <item x="131"/>
        <item x="93"/>
        <item x="140"/>
        <item x="73"/>
        <item x="125"/>
        <item x="5"/>
        <item x="92"/>
        <item x="37"/>
        <item x="52"/>
        <item x="80"/>
        <item x="109"/>
        <item x="51"/>
        <item x="89"/>
        <item x="151"/>
        <item x="17"/>
        <item x="22"/>
        <item x="53"/>
        <item x="149"/>
        <item x="132"/>
        <item x="90"/>
        <item x="6"/>
        <item x="152"/>
        <item t="default"/>
      </items>
    </pivotField>
    <pivotField compact="0" outline="0" showAll="0"/>
    <pivotField compact="0" outline="0" showAll="0"/>
    <pivotField axis="axisCol" compact="0" outline="0" showAll="0">
      <items count="7">
        <item x="1"/>
        <item x="5"/>
        <item x="0"/>
        <item x="4"/>
        <item x="2"/>
        <item x="3"/>
        <item t="default"/>
      </items>
    </pivotField>
    <pivotField axis="axisRow" compact="0" outline="0" showAll="0">
      <items count="9">
        <item x="2"/>
        <item x="3"/>
        <item m="1" x="7"/>
        <item x="1"/>
        <item x="4"/>
        <item x="0"/>
        <item m="1" x="6"/>
        <item x="5"/>
        <item t="default"/>
      </items>
    </pivotField>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s>
  <rowFields count="1">
    <field x="20"/>
  </rowFields>
  <rowItems count="6">
    <i>
      <x/>
    </i>
    <i>
      <x v="1"/>
    </i>
    <i>
      <x v="3"/>
    </i>
    <i>
      <x v="4"/>
    </i>
    <i>
      <x v="5"/>
    </i>
    <i>
      <x v="7"/>
    </i>
  </rowItems>
  <colFields count="1">
    <field x="19"/>
  </colFields>
  <colItems count="6">
    <i>
      <x/>
    </i>
    <i>
      <x v="1"/>
    </i>
    <i>
      <x v="2"/>
    </i>
    <i>
      <x v="3"/>
    </i>
    <i>
      <x v="4"/>
    </i>
    <i>
      <x v="5"/>
    </i>
  </colItems>
  <dataFields count="1">
    <dataField name="Counsellor/ClientStatus" fld="0" subtotal="count" baseField="0" baseItem="0"/>
  </dataFields>
  <pivotTableStyleInfo name="PivotStyleLight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0C6914E-5F0D-D743-8ADE-05B7D6B9363C}" name="Client Age Group" cacheId="1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rowHeaderCaption="Age Group">
  <location ref="E10:F17" firstHeaderRow="1" firstDataRow="1" firstDataCol="1"/>
  <pivotFields count="28">
    <pivotField dataField="1" showAll="0"/>
    <pivotField numFmtId="14" showAll="0"/>
    <pivotField showAll="0"/>
    <pivotField axis="axisRow" showAll="0">
      <items count="7">
        <item x="3"/>
        <item x="1"/>
        <item x="0"/>
        <item x="5"/>
        <item x="4"/>
        <item x="2"/>
        <item t="default"/>
      </items>
    </pivotField>
    <pivotField showAll="0">
      <items count="4">
        <item x="0"/>
        <item x="1"/>
        <item x="2"/>
        <item t="default"/>
      </items>
    </pivotField>
    <pivotField showAll="0"/>
    <pivotField showAll="0"/>
    <pivotField showAll="0"/>
    <pivotField showAll="0"/>
    <pivotField showAll="0">
      <items count="7">
        <item x="2"/>
        <item x="5"/>
        <item x="0"/>
        <item x="1"/>
        <item x="4"/>
        <item x="3"/>
        <item t="default"/>
      </items>
    </pivotField>
    <pivotField numFmtId="14" showAll="0">
      <items count="167">
        <item x="130"/>
        <item x="85"/>
        <item x="149"/>
        <item x="64"/>
        <item x="52"/>
        <item x="120"/>
        <item x="47"/>
        <item x="98"/>
        <item x="67"/>
        <item x="0"/>
        <item x="18"/>
        <item x="106"/>
        <item x="74"/>
        <item x="36"/>
        <item x="53"/>
        <item x="161"/>
        <item x="33"/>
        <item x="116"/>
        <item x="26"/>
        <item x="92"/>
        <item x="118"/>
        <item x="69"/>
        <item x="89"/>
        <item x="28"/>
        <item x="156"/>
        <item x="93"/>
        <item x="27"/>
        <item x="21"/>
        <item x="99"/>
        <item x="24"/>
        <item x="109"/>
        <item x="59"/>
        <item x="160"/>
        <item x="77"/>
        <item x="139"/>
        <item x="117"/>
        <item x="10"/>
        <item x="119"/>
        <item x="151"/>
        <item x="141"/>
        <item x="40"/>
        <item x="152"/>
        <item x="78"/>
        <item x="103"/>
        <item x="80"/>
        <item x="125"/>
        <item x="20"/>
        <item x="105"/>
        <item x="129"/>
        <item x="38"/>
        <item x="51"/>
        <item x="143"/>
        <item x="87"/>
        <item x="83"/>
        <item x="62"/>
        <item x="46"/>
        <item x="131"/>
        <item x="32"/>
        <item x="134"/>
        <item x="9"/>
        <item x="14"/>
        <item x="97"/>
        <item x="135"/>
        <item x="113"/>
        <item x="84"/>
        <item x="3"/>
        <item x="144"/>
        <item x="37"/>
        <item x="101"/>
        <item x="15"/>
        <item x="104"/>
        <item x="157"/>
        <item x="71"/>
        <item x="76"/>
        <item x="136"/>
        <item x="138"/>
        <item x="142"/>
        <item x="49"/>
        <item x="45"/>
        <item x="65"/>
        <item x="102"/>
        <item x="121"/>
        <item x="86"/>
        <item x="4"/>
        <item x="107"/>
        <item x="35"/>
        <item x="123"/>
        <item x="11"/>
        <item x="66"/>
        <item x="150"/>
        <item x="114"/>
        <item x="90"/>
        <item x="72"/>
        <item x="153"/>
        <item x="73"/>
        <item x="1"/>
        <item x="43"/>
        <item x="8"/>
        <item x="2"/>
        <item x="7"/>
        <item x="126"/>
        <item x="79"/>
        <item x="68"/>
        <item x="147"/>
        <item x="30"/>
        <item x="122"/>
        <item x="96"/>
        <item x="42"/>
        <item x="133"/>
        <item x="48"/>
        <item x="148"/>
        <item x="112"/>
        <item x="140"/>
        <item x="13"/>
        <item x="127"/>
        <item x="34"/>
        <item x="57"/>
        <item x="132"/>
        <item x="60"/>
        <item x="95"/>
        <item x="111"/>
        <item x="50"/>
        <item x="12"/>
        <item x="22"/>
        <item x="23"/>
        <item x="17"/>
        <item x="44"/>
        <item x="75"/>
        <item x="70"/>
        <item x="155"/>
        <item x="128"/>
        <item x="63"/>
        <item x="124"/>
        <item x="29"/>
        <item x="100"/>
        <item x="61"/>
        <item x="55"/>
        <item x="41"/>
        <item x="54"/>
        <item x="81"/>
        <item x="110"/>
        <item x="94"/>
        <item x="154"/>
        <item x="158"/>
        <item x="163"/>
        <item x="82"/>
        <item x="145"/>
        <item x="5"/>
        <item x="108"/>
        <item x="159"/>
        <item x="88"/>
        <item x="164"/>
        <item x="137"/>
        <item x="146"/>
        <item x="19"/>
        <item x="58"/>
        <item x="165"/>
        <item x="6"/>
        <item x="25"/>
        <item x="39"/>
        <item x="162"/>
        <item x="115"/>
        <item x="56"/>
        <item x="31"/>
        <item x="91"/>
        <item x="16"/>
        <item t="default"/>
      </items>
    </pivotField>
    <pivotField showAll="0"/>
    <pivotField showAll="0"/>
    <pivotField showAll="0">
      <items count="156">
        <item x="16"/>
        <item x="129"/>
        <item x="142"/>
        <item x="146"/>
        <item x="96"/>
        <item x="42"/>
        <item x="105"/>
        <item x="149"/>
        <item x="32"/>
        <item x="65"/>
        <item x="150"/>
        <item x="61"/>
        <item x="0"/>
        <item x="63"/>
        <item x="55"/>
        <item x="87"/>
        <item x="24"/>
        <item x="92"/>
        <item x="48"/>
        <item x="94"/>
        <item x="25"/>
        <item x="117"/>
        <item x="20"/>
        <item x="119"/>
        <item x="17"/>
        <item x="124"/>
        <item x="35"/>
        <item x="49"/>
        <item x="26"/>
        <item x="95"/>
        <item x="75"/>
        <item x="30"/>
        <item x="143"/>
        <item x="56"/>
        <item x="78"/>
        <item x="101"/>
        <item x="120"/>
        <item x="148"/>
        <item x="86"/>
        <item x="118"/>
        <item x="102"/>
        <item x="80"/>
        <item x="89"/>
        <item x="37"/>
        <item x="19"/>
        <item x="138"/>
        <item x="10"/>
        <item x="47"/>
        <item x="114"/>
        <item x="130"/>
        <item x="145"/>
        <item x="100"/>
        <item x="128"/>
        <item x="104"/>
        <item x="126"/>
        <item x="41"/>
        <item x="132"/>
        <item x="9"/>
        <item x="106"/>
        <item x="113"/>
        <item x="31"/>
        <item x="74"/>
        <item x="84"/>
        <item x="46"/>
        <item x="59"/>
        <item x="88"/>
        <item x="109"/>
        <item x="3"/>
        <item x="36"/>
        <item x="14"/>
        <item x="134"/>
        <item x="136"/>
        <item x="62"/>
        <item x="121"/>
        <item x="29"/>
        <item x="15"/>
        <item x="103"/>
        <item x="76"/>
        <item x="137"/>
        <item x="4"/>
        <item x="83"/>
        <item x="34"/>
        <item x="107"/>
        <item x="69"/>
        <item x="82"/>
        <item x="11"/>
        <item x="44"/>
        <item x="40"/>
        <item x="85"/>
        <item x="1"/>
        <item x="8"/>
        <item x="123"/>
        <item x="71"/>
        <item x="64"/>
        <item x="70"/>
        <item x="67"/>
        <item x="7"/>
        <item x="144"/>
        <item x="122"/>
        <item x="79"/>
        <item x="2"/>
        <item x="115"/>
        <item x="131"/>
        <item x="66"/>
        <item x="112"/>
        <item x="99"/>
        <item x="39"/>
        <item x="28"/>
        <item x="43"/>
        <item x="135"/>
        <item x="45"/>
        <item x="141"/>
        <item x="111"/>
        <item x="53"/>
        <item x="22"/>
        <item x="57"/>
        <item x="33"/>
        <item x="98"/>
        <item x="13"/>
        <item x="12"/>
        <item x="127"/>
        <item x="27"/>
        <item x="21"/>
        <item x="90"/>
        <item x="58"/>
        <item x="68"/>
        <item x="110"/>
        <item x="60"/>
        <item x="81"/>
        <item x="77"/>
        <item x="51"/>
        <item x="72"/>
        <item x="152"/>
        <item x="147"/>
        <item x="97"/>
        <item x="50"/>
        <item x="139"/>
        <item x="91"/>
        <item x="133"/>
        <item x="23"/>
        <item x="125"/>
        <item x="73"/>
        <item x="108"/>
        <item x="38"/>
        <item x="18"/>
        <item x="153"/>
        <item x="5"/>
        <item x="140"/>
        <item x="151"/>
        <item x="116"/>
        <item x="6"/>
        <item x="54"/>
        <item x="154"/>
        <item x="52"/>
        <item x="93"/>
        <item t="default"/>
      </items>
    </pivotField>
    <pivotField showAll="0"/>
    <pivotField showAll="0"/>
    <pivotField showAll="0">
      <items count="154">
        <item x="15"/>
        <item x="143"/>
        <item x="91"/>
        <item x="146"/>
        <item x="43"/>
        <item x="147"/>
        <item x="134"/>
        <item x="63"/>
        <item x="120"/>
        <item x="65"/>
        <item x="61"/>
        <item x="23"/>
        <item x="112"/>
        <item x="49"/>
        <item x="0"/>
        <item x="31"/>
        <item x="72"/>
        <item x="100"/>
        <item x="111"/>
        <item x="55"/>
        <item x="24"/>
        <item x="68"/>
        <item x="16"/>
        <item x="34"/>
        <item x="50"/>
        <item x="135"/>
        <item x="117"/>
        <item x="126"/>
        <item x="97"/>
        <item x="138"/>
        <item x="29"/>
        <item x="128"/>
        <item x="25"/>
        <item x="74"/>
        <item x="96"/>
        <item x="110"/>
        <item x="123"/>
        <item x="124"/>
        <item x="56"/>
        <item x="76"/>
        <item x="101"/>
        <item x="42"/>
        <item x="145"/>
        <item x="30"/>
        <item x="78"/>
        <item x="9"/>
        <item x="36"/>
        <item x="18"/>
        <item x="87"/>
        <item x="84"/>
        <item x="141"/>
        <item x="28"/>
        <item x="99"/>
        <item x="48"/>
        <item x="107"/>
        <item x="3"/>
        <item x="47"/>
        <item x="106"/>
        <item x="35"/>
        <item x="102"/>
        <item x="115"/>
        <item x="59"/>
        <item x="4"/>
        <item x="41"/>
        <item x="83"/>
        <item x="86"/>
        <item x="33"/>
        <item x="62"/>
        <item x="21"/>
        <item x="13"/>
        <item x="82"/>
        <item x="10"/>
        <item x="14"/>
        <item x="45"/>
        <item x="129"/>
        <item x="39"/>
        <item x="137"/>
        <item x="108"/>
        <item x="67"/>
        <item x="114"/>
        <item x="8"/>
        <item x="136"/>
        <item x="1"/>
        <item x="118"/>
        <item x="70"/>
        <item x="64"/>
        <item x="66"/>
        <item x="85"/>
        <item x="113"/>
        <item x="79"/>
        <item x="2"/>
        <item x="7"/>
        <item x="71"/>
        <item x="105"/>
        <item x="127"/>
        <item x="46"/>
        <item x="44"/>
        <item x="54"/>
        <item x="139"/>
        <item x="122"/>
        <item x="40"/>
        <item x="95"/>
        <item x="32"/>
        <item x="27"/>
        <item x="88"/>
        <item x="103"/>
        <item x="26"/>
        <item x="38"/>
        <item x="148"/>
        <item x="57"/>
        <item x="58"/>
        <item x="104"/>
        <item x="11"/>
        <item x="12"/>
        <item x="116"/>
        <item x="130"/>
        <item x="20"/>
        <item x="119"/>
        <item x="121"/>
        <item x="94"/>
        <item x="77"/>
        <item x="69"/>
        <item x="150"/>
        <item x="133"/>
        <item x="19"/>
        <item x="60"/>
        <item x="75"/>
        <item x="81"/>
        <item x="98"/>
        <item x="142"/>
        <item x="144"/>
        <item x="131"/>
        <item x="93"/>
        <item x="140"/>
        <item x="73"/>
        <item x="125"/>
        <item x="5"/>
        <item x="92"/>
        <item x="37"/>
        <item x="52"/>
        <item x="80"/>
        <item x="109"/>
        <item x="51"/>
        <item x="89"/>
        <item x="151"/>
        <item x="17"/>
        <item x="22"/>
        <item x="53"/>
        <item x="149"/>
        <item x="132"/>
        <item x="90"/>
        <item x="6"/>
        <item x="152"/>
        <item t="default"/>
      </items>
    </pivotField>
    <pivotField showAll="0"/>
    <pivotField showAll="0"/>
    <pivotField showAll="0">
      <items count="7">
        <item x="1"/>
        <item x="5"/>
        <item x="0"/>
        <item x="4"/>
        <item x="2"/>
        <item x="3"/>
        <item t="default"/>
      </items>
    </pivotField>
    <pivotField showAll="0">
      <items count="9">
        <item x="2"/>
        <item x="3"/>
        <item m="1" x="7"/>
        <item x="1"/>
        <item x="4"/>
        <item x="0"/>
        <item m="1" x="6"/>
        <item x="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items count="15">
        <item x="0"/>
        <item x="1"/>
        <item x="2"/>
        <item x="3"/>
        <item x="4"/>
        <item x="5"/>
        <item x="6"/>
        <item x="7"/>
        <item x="8"/>
        <item x="9"/>
        <item x="10"/>
        <item x="11"/>
        <item x="12"/>
        <item x="13"/>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s>
  <rowFields count="1">
    <field x="3"/>
  </rowFields>
  <rowItems count="7">
    <i>
      <x/>
    </i>
    <i>
      <x v="1"/>
    </i>
    <i>
      <x v="2"/>
    </i>
    <i>
      <x v="3"/>
    </i>
    <i>
      <x v="4"/>
    </i>
    <i>
      <x v="5"/>
    </i>
    <i t="grand">
      <x/>
    </i>
  </rowItems>
  <colItems count="1">
    <i/>
  </colItems>
  <dataFields count="1">
    <dataField name="Count" fld="0" subtotal="count" baseField="0" baseItem="0"/>
  </dataFields>
  <chartFormats count="14">
    <chartFormat chart="11" format="5" series="1">
      <pivotArea type="data" outline="0" fieldPosition="0">
        <references count="1">
          <reference field="4294967294" count="1" selected="0">
            <x v="0"/>
          </reference>
        </references>
      </pivotArea>
    </chartFormat>
    <chartFormat chart="21" format="14" series="1">
      <pivotArea type="data" outline="0" fieldPosition="0">
        <references count="1">
          <reference field="4294967294" count="1" selected="0">
            <x v="0"/>
          </reference>
        </references>
      </pivotArea>
    </chartFormat>
    <chartFormat chart="21" format="15">
      <pivotArea type="data" outline="0" fieldPosition="0">
        <references count="2">
          <reference field="4294967294" count="1" selected="0">
            <x v="0"/>
          </reference>
          <reference field="3" count="1" selected="0">
            <x v="0"/>
          </reference>
        </references>
      </pivotArea>
    </chartFormat>
    <chartFormat chart="21" format="16">
      <pivotArea type="data" outline="0" fieldPosition="0">
        <references count="2">
          <reference field="4294967294" count="1" selected="0">
            <x v="0"/>
          </reference>
          <reference field="3" count="1" selected="0">
            <x v="1"/>
          </reference>
        </references>
      </pivotArea>
    </chartFormat>
    <chartFormat chart="21" format="17">
      <pivotArea type="data" outline="0" fieldPosition="0">
        <references count="2">
          <reference field="4294967294" count="1" selected="0">
            <x v="0"/>
          </reference>
          <reference field="3" count="1" selected="0">
            <x v="2"/>
          </reference>
        </references>
      </pivotArea>
    </chartFormat>
    <chartFormat chart="21" format="18">
      <pivotArea type="data" outline="0" fieldPosition="0">
        <references count="2">
          <reference field="4294967294" count="1" selected="0">
            <x v="0"/>
          </reference>
          <reference field="3" count="1" selected="0">
            <x v="3"/>
          </reference>
        </references>
      </pivotArea>
    </chartFormat>
    <chartFormat chart="21" format="19">
      <pivotArea type="data" outline="0" fieldPosition="0">
        <references count="2">
          <reference field="4294967294" count="1" selected="0">
            <x v="0"/>
          </reference>
          <reference field="3" count="1" selected="0">
            <x v="4"/>
          </reference>
        </references>
      </pivotArea>
    </chartFormat>
    <chartFormat chart="21" format="20">
      <pivotArea type="data" outline="0" fieldPosition="0">
        <references count="2">
          <reference field="4294967294" count="1" selected="0">
            <x v="0"/>
          </reference>
          <reference field="3" count="1" selected="0">
            <x v="5"/>
          </reference>
        </references>
      </pivotArea>
    </chartFormat>
    <chartFormat chart="11" format="7">
      <pivotArea type="data" outline="0" fieldPosition="0">
        <references count="2">
          <reference field="4294967294" count="1" selected="0">
            <x v="0"/>
          </reference>
          <reference field="3" count="1" selected="0">
            <x v="0"/>
          </reference>
        </references>
      </pivotArea>
    </chartFormat>
    <chartFormat chart="11" format="8">
      <pivotArea type="data" outline="0" fieldPosition="0">
        <references count="2">
          <reference field="4294967294" count="1" selected="0">
            <x v="0"/>
          </reference>
          <reference field="3" count="1" selected="0">
            <x v="1"/>
          </reference>
        </references>
      </pivotArea>
    </chartFormat>
    <chartFormat chart="11" format="9">
      <pivotArea type="data" outline="0" fieldPosition="0">
        <references count="2">
          <reference field="4294967294" count="1" selected="0">
            <x v="0"/>
          </reference>
          <reference field="3" count="1" selected="0">
            <x v="2"/>
          </reference>
        </references>
      </pivotArea>
    </chartFormat>
    <chartFormat chart="11" format="10">
      <pivotArea type="data" outline="0" fieldPosition="0">
        <references count="2">
          <reference field="4294967294" count="1" selected="0">
            <x v="0"/>
          </reference>
          <reference field="3" count="1" selected="0">
            <x v="3"/>
          </reference>
        </references>
      </pivotArea>
    </chartFormat>
    <chartFormat chart="11" format="11">
      <pivotArea type="data" outline="0" fieldPosition="0">
        <references count="2">
          <reference field="4294967294" count="1" selected="0">
            <x v="0"/>
          </reference>
          <reference field="3" count="1" selected="0">
            <x v="4"/>
          </reference>
        </references>
      </pivotArea>
    </chartFormat>
    <chartFormat chart="11" format="12">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7BAB750-2FC6-B54F-B337-0AA35E811A1C}" name="Client Status" cacheId="1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tatus">
  <location ref="A24:B31" firstHeaderRow="1" firstDataRow="1" firstDataCol="1"/>
  <pivotFields count="28">
    <pivotField dataField="1" showAll="0"/>
    <pivotField numFmtId="14" showAll="0"/>
    <pivotField showAll="0"/>
    <pivotField showAll="0"/>
    <pivotField showAll="0">
      <items count="4">
        <item x="0"/>
        <item x="1"/>
        <item x="2"/>
        <item t="default"/>
      </items>
    </pivotField>
    <pivotField showAll="0"/>
    <pivotField showAll="0"/>
    <pivotField showAll="0"/>
    <pivotField showAll="0"/>
    <pivotField showAll="0">
      <items count="7">
        <item x="2"/>
        <item x="5"/>
        <item x="0"/>
        <item x="1"/>
        <item x="4"/>
        <item x="3"/>
        <item t="default"/>
      </items>
    </pivotField>
    <pivotField numFmtId="14" showAll="0">
      <items count="167">
        <item x="130"/>
        <item x="85"/>
        <item x="149"/>
        <item x="64"/>
        <item x="52"/>
        <item x="120"/>
        <item x="47"/>
        <item x="98"/>
        <item x="67"/>
        <item x="0"/>
        <item x="18"/>
        <item x="106"/>
        <item x="74"/>
        <item x="36"/>
        <item x="53"/>
        <item x="161"/>
        <item x="33"/>
        <item x="116"/>
        <item x="26"/>
        <item x="92"/>
        <item x="118"/>
        <item x="69"/>
        <item x="89"/>
        <item x="28"/>
        <item x="156"/>
        <item x="93"/>
        <item x="27"/>
        <item x="21"/>
        <item x="99"/>
        <item x="24"/>
        <item x="109"/>
        <item x="59"/>
        <item x="160"/>
        <item x="77"/>
        <item x="139"/>
        <item x="117"/>
        <item x="10"/>
        <item x="119"/>
        <item x="151"/>
        <item x="141"/>
        <item x="40"/>
        <item x="152"/>
        <item x="78"/>
        <item x="103"/>
        <item x="80"/>
        <item x="125"/>
        <item x="20"/>
        <item x="105"/>
        <item x="129"/>
        <item x="38"/>
        <item x="51"/>
        <item x="143"/>
        <item x="87"/>
        <item x="83"/>
        <item x="62"/>
        <item x="46"/>
        <item x="131"/>
        <item x="32"/>
        <item x="134"/>
        <item x="9"/>
        <item x="14"/>
        <item x="97"/>
        <item x="135"/>
        <item x="113"/>
        <item x="84"/>
        <item x="3"/>
        <item x="144"/>
        <item x="37"/>
        <item x="101"/>
        <item x="15"/>
        <item x="104"/>
        <item x="157"/>
        <item x="71"/>
        <item x="76"/>
        <item x="136"/>
        <item x="138"/>
        <item x="142"/>
        <item x="49"/>
        <item x="45"/>
        <item x="65"/>
        <item x="102"/>
        <item x="121"/>
        <item x="86"/>
        <item x="4"/>
        <item x="107"/>
        <item x="35"/>
        <item x="123"/>
        <item x="11"/>
        <item x="66"/>
        <item x="150"/>
        <item x="114"/>
        <item x="90"/>
        <item x="72"/>
        <item x="153"/>
        <item x="73"/>
        <item x="1"/>
        <item x="43"/>
        <item x="8"/>
        <item x="2"/>
        <item x="7"/>
        <item x="126"/>
        <item x="79"/>
        <item x="68"/>
        <item x="147"/>
        <item x="30"/>
        <item x="122"/>
        <item x="96"/>
        <item x="42"/>
        <item x="133"/>
        <item x="48"/>
        <item x="148"/>
        <item x="112"/>
        <item x="140"/>
        <item x="13"/>
        <item x="127"/>
        <item x="34"/>
        <item x="57"/>
        <item x="132"/>
        <item x="60"/>
        <item x="95"/>
        <item x="111"/>
        <item x="50"/>
        <item x="12"/>
        <item x="22"/>
        <item x="23"/>
        <item x="17"/>
        <item x="44"/>
        <item x="75"/>
        <item x="70"/>
        <item x="155"/>
        <item x="128"/>
        <item x="63"/>
        <item x="124"/>
        <item x="29"/>
        <item x="100"/>
        <item x="61"/>
        <item x="55"/>
        <item x="41"/>
        <item x="54"/>
        <item x="81"/>
        <item x="110"/>
        <item x="94"/>
        <item x="154"/>
        <item x="158"/>
        <item x="163"/>
        <item x="82"/>
        <item x="145"/>
        <item x="5"/>
        <item x="108"/>
        <item x="159"/>
        <item x="88"/>
        <item x="164"/>
        <item x="137"/>
        <item x="146"/>
        <item x="19"/>
        <item x="58"/>
        <item x="165"/>
        <item x="6"/>
        <item x="25"/>
        <item x="39"/>
        <item x="162"/>
        <item x="115"/>
        <item x="56"/>
        <item x="31"/>
        <item x="91"/>
        <item x="16"/>
        <item t="default"/>
      </items>
    </pivotField>
    <pivotField showAll="0"/>
    <pivotField showAll="0"/>
    <pivotField showAll="0">
      <items count="156">
        <item x="16"/>
        <item x="129"/>
        <item x="142"/>
        <item x="146"/>
        <item x="96"/>
        <item x="42"/>
        <item x="105"/>
        <item x="149"/>
        <item x="32"/>
        <item x="65"/>
        <item x="150"/>
        <item x="61"/>
        <item x="0"/>
        <item x="63"/>
        <item x="55"/>
        <item x="87"/>
        <item x="24"/>
        <item x="92"/>
        <item x="48"/>
        <item x="94"/>
        <item x="25"/>
        <item x="117"/>
        <item x="20"/>
        <item x="119"/>
        <item x="17"/>
        <item x="124"/>
        <item x="35"/>
        <item x="49"/>
        <item x="26"/>
        <item x="95"/>
        <item x="75"/>
        <item x="30"/>
        <item x="143"/>
        <item x="56"/>
        <item x="78"/>
        <item x="101"/>
        <item x="120"/>
        <item x="148"/>
        <item x="86"/>
        <item x="118"/>
        <item x="102"/>
        <item x="80"/>
        <item x="89"/>
        <item x="37"/>
        <item x="19"/>
        <item x="138"/>
        <item x="10"/>
        <item x="47"/>
        <item x="114"/>
        <item x="130"/>
        <item x="145"/>
        <item x="100"/>
        <item x="128"/>
        <item x="104"/>
        <item x="126"/>
        <item x="41"/>
        <item x="132"/>
        <item x="9"/>
        <item x="106"/>
        <item x="113"/>
        <item x="31"/>
        <item x="74"/>
        <item x="84"/>
        <item x="46"/>
        <item x="59"/>
        <item x="88"/>
        <item x="109"/>
        <item x="3"/>
        <item x="36"/>
        <item x="14"/>
        <item x="134"/>
        <item x="136"/>
        <item x="62"/>
        <item x="121"/>
        <item x="29"/>
        <item x="15"/>
        <item x="103"/>
        <item x="76"/>
        <item x="137"/>
        <item x="4"/>
        <item x="83"/>
        <item x="34"/>
        <item x="107"/>
        <item x="69"/>
        <item x="82"/>
        <item x="11"/>
        <item x="44"/>
        <item x="40"/>
        <item x="85"/>
        <item x="1"/>
        <item x="8"/>
        <item x="123"/>
        <item x="71"/>
        <item x="64"/>
        <item x="70"/>
        <item x="67"/>
        <item x="7"/>
        <item x="144"/>
        <item x="122"/>
        <item x="79"/>
        <item x="2"/>
        <item x="115"/>
        <item x="131"/>
        <item x="66"/>
        <item x="112"/>
        <item x="99"/>
        <item x="39"/>
        <item x="28"/>
        <item x="43"/>
        <item x="135"/>
        <item x="45"/>
        <item x="141"/>
        <item x="111"/>
        <item x="53"/>
        <item x="22"/>
        <item x="57"/>
        <item x="33"/>
        <item x="98"/>
        <item x="13"/>
        <item x="12"/>
        <item x="127"/>
        <item x="27"/>
        <item x="21"/>
        <item x="90"/>
        <item x="58"/>
        <item x="68"/>
        <item x="110"/>
        <item x="60"/>
        <item x="81"/>
        <item x="77"/>
        <item x="51"/>
        <item x="72"/>
        <item x="152"/>
        <item x="147"/>
        <item x="97"/>
        <item x="50"/>
        <item x="139"/>
        <item x="91"/>
        <item x="133"/>
        <item x="23"/>
        <item x="125"/>
        <item x="73"/>
        <item x="108"/>
        <item x="38"/>
        <item x="18"/>
        <item x="153"/>
        <item x="5"/>
        <item x="140"/>
        <item x="151"/>
        <item x="116"/>
        <item x="6"/>
        <item x="54"/>
        <item x="154"/>
        <item x="52"/>
        <item x="93"/>
        <item t="default"/>
      </items>
    </pivotField>
    <pivotField showAll="0"/>
    <pivotField showAll="0"/>
    <pivotField showAll="0">
      <items count="154">
        <item x="15"/>
        <item x="143"/>
        <item x="91"/>
        <item x="146"/>
        <item x="43"/>
        <item x="147"/>
        <item x="134"/>
        <item x="63"/>
        <item x="120"/>
        <item x="65"/>
        <item x="61"/>
        <item x="23"/>
        <item x="112"/>
        <item x="49"/>
        <item x="0"/>
        <item x="31"/>
        <item x="72"/>
        <item x="100"/>
        <item x="111"/>
        <item x="55"/>
        <item x="24"/>
        <item x="68"/>
        <item x="16"/>
        <item x="34"/>
        <item x="50"/>
        <item x="135"/>
        <item x="117"/>
        <item x="126"/>
        <item x="97"/>
        <item x="138"/>
        <item x="29"/>
        <item x="128"/>
        <item x="25"/>
        <item x="74"/>
        <item x="96"/>
        <item x="110"/>
        <item x="123"/>
        <item x="124"/>
        <item x="56"/>
        <item x="76"/>
        <item x="101"/>
        <item x="42"/>
        <item x="145"/>
        <item x="30"/>
        <item x="78"/>
        <item x="9"/>
        <item x="36"/>
        <item x="18"/>
        <item x="87"/>
        <item x="84"/>
        <item x="141"/>
        <item x="28"/>
        <item x="99"/>
        <item x="48"/>
        <item x="107"/>
        <item x="3"/>
        <item x="47"/>
        <item x="106"/>
        <item x="35"/>
        <item x="102"/>
        <item x="115"/>
        <item x="59"/>
        <item x="4"/>
        <item x="41"/>
        <item x="83"/>
        <item x="86"/>
        <item x="33"/>
        <item x="62"/>
        <item x="21"/>
        <item x="13"/>
        <item x="82"/>
        <item x="10"/>
        <item x="14"/>
        <item x="45"/>
        <item x="129"/>
        <item x="39"/>
        <item x="137"/>
        <item x="108"/>
        <item x="67"/>
        <item x="114"/>
        <item x="8"/>
        <item x="136"/>
        <item x="1"/>
        <item x="118"/>
        <item x="70"/>
        <item x="64"/>
        <item x="66"/>
        <item x="85"/>
        <item x="113"/>
        <item x="79"/>
        <item x="2"/>
        <item x="7"/>
        <item x="71"/>
        <item x="105"/>
        <item x="127"/>
        <item x="46"/>
        <item x="44"/>
        <item x="54"/>
        <item x="139"/>
        <item x="122"/>
        <item x="40"/>
        <item x="95"/>
        <item x="32"/>
        <item x="27"/>
        <item x="88"/>
        <item x="103"/>
        <item x="26"/>
        <item x="38"/>
        <item x="148"/>
        <item x="57"/>
        <item x="58"/>
        <item x="104"/>
        <item x="11"/>
        <item x="12"/>
        <item x="116"/>
        <item x="130"/>
        <item x="20"/>
        <item x="119"/>
        <item x="121"/>
        <item x="94"/>
        <item x="77"/>
        <item x="69"/>
        <item x="150"/>
        <item x="133"/>
        <item x="19"/>
        <item x="60"/>
        <item x="75"/>
        <item x="81"/>
        <item x="98"/>
        <item x="142"/>
        <item x="144"/>
        <item x="131"/>
        <item x="93"/>
        <item x="140"/>
        <item x="73"/>
        <item x="125"/>
        <item x="5"/>
        <item x="92"/>
        <item x="37"/>
        <item x="52"/>
        <item x="80"/>
        <item x="109"/>
        <item x="51"/>
        <item x="89"/>
        <item x="151"/>
        <item x="17"/>
        <item x="22"/>
        <item x="53"/>
        <item x="149"/>
        <item x="132"/>
        <item x="90"/>
        <item x="6"/>
        <item x="152"/>
        <item t="default"/>
      </items>
    </pivotField>
    <pivotField showAll="0"/>
    <pivotField showAll="0"/>
    <pivotField axis="axisRow" showAll="0">
      <items count="7">
        <item x="1"/>
        <item x="5"/>
        <item x="0"/>
        <item x="4"/>
        <item x="2"/>
        <item x="3"/>
        <item t="default"/>
      </items>
    </pivotField>
    <pivotField showAll="0">
      <items count="9">
        <item x="2"/>
        <item x="3"/>
        <item m="1" x="7"/>
        <item x="1"/>
        <item x="4"/>
        <item x="0"/>
        <item m="1" x="6"/>
        <item x="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items count="15">
        <item x="0"/>
        <item x="1"/>
        <item x="2"/>
        <item x="3"/>
        <item x="4"/>
        <item x="5"/>
        <item x="6"/>
        <item x="7"/>
        <item x="8"/>
        <item x="9"/>
        <item x="10"/>
        <item x="11"/>
        <item x="12"/>
        <item x="13"/>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s>
  <rowFields count="1">
    <field x="19"/>
  </rowFields>
  <rowItems count="7">
    <i>
      <x/>
    </i>
    <i>
      <x v="1"/>
    </i>
    <i>
      <x v="2"/>
    </i>
    <i>
      <x v="3"/>
    </i>
    <i>
      <x v="4"/>
    </i>
    <i>
      <x v="5"/>
    </i>
    <i t="grand">
      <x/>
    </i>
  </rowItems>
  <colItems count="1">
    <i/>
  </colItems>
  <dataFields count="1">
    <dataField name="Client 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D0F1A9D-7ACA-8E42-9C8B-1A8DAB80383A}" name="PivotTable19" cacheId="1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rowHeaderCaption="Status">
  <location ref="L21:M28" firstHeaderRow="1" firstDataRow="1" firstDataCol="1"/>
  <pivotFields count="28">
    <pivotField showAll="0"/>
    <pivotField numFmtId="14" showAll="0"/>
    <pivotField dataField="1" showAll="0"/>
    <pivotField showAll="0"/>
    <pivotField showAll="0">
      <items count="4">
        <item x="0"/>
        <item x="1"/>
        <item x="2"/>
        <item t="default"/>
      </items>
    </pivotField>
    <pivotField showAll="0"/>
    <pivotField showAll="0"/>
    <pivotField showAll="0"/>
    <pivotField showAll="0"/>
    <pivotField showAll="0">
      <items count="7">
        <item x="2"/>
        <item x="5"/>
        <item x="0"/>
        <item x="1"/>
        <item x="4"/>
        <item x="3"/>
        <item t="default"/>
      </items>
    </pivotField>
    <pivotField numFmtId="14" showAll="0" sortType="ascending">
      <items count="167">
        <item x="130"/>
        <item x="85"/>
        <item x="149"/>
        <item x="64"/>
        <item x="52"/>
        <item x="120"/>
        <item x="47"/>
        <item x="98"/>
        <item x="67"/>
        <item x="0"/>
        <item x="18"/>
        <item x="106"/>
        <item x="74"/>
        <item x="36"/>
        <item x="53"/>
        <item x="161"/>
        <item x="33"/>
        <item x="116"/>
        <item x="26"/>
        <item x="92"/>
        <item x="118"/>
        <item x="69"/>
        <item x="89"/>
        <item x="28"/>
        <item x="156"/>
        <item x="93"/>
        <item x="27"/>
        <item x="21"/>
        <item x="99"/>
        <item x="24"/>
        <item x="109"/>
        <item x="59"/>
        <item x="160"/>
        <item x="77"/>
        <item x="139"/>
        <item x="117"/>
        <item x="10"/>
        <item x="119"/>
        <item x="151"/>
        <item x="141"/>
        <item x="40"/>
        <item x="152"/>
        <item x="78"/>
        <item x="103"/>
        <item x="80"/>
        <item x="125"/>
        <item x="20"/>
        <item x="105"/>
        <item x="129"/>
        <item x="38"/>
        <item x="51"/>
        <item x="143"/>
        <item x="87"/>
        <item x="83"/>
        <item x="62"/>
        <item x="46"/>
        <item x="131"/>
        <item x="32"/>
        <item x="134"/>
        <item x="9"/>
        <item x="14"/>
        <item x="97"/>
        <item x="135"/>
        <item x="113"/>
        <item x="84"/>
        <item x="3"/>
        <item x="144"/>
        <item x="37"/>
        <item x="101"/>
        <item x="15"/>
        <item x="104"/>
        <item x="157"/>
        <item x="71"/>
        <item x="76"/>
        <item x="136"/>
        <item x="138"/>
        <item x="142"/>
        <item x="49"/>
        <item x="45"/>
        <item x="65"/>
        <item x="102"/>
        <item x="121"/>
        <item x="86"/>
        <item x="4"/>
        <item x="107"/>
        <item x="35"/>
        <item x="123"/>
        <item x="11"/>
        <item x="66"/>
        <item x="150"/>
        <item x="114"/>
        <item x="90"/>
        <item x="72"/>
        <item x="153"/>
        <item x="73"/>
        <item x="1"/>
        <item x="43"/>
        <item x="8"/>
        <item x="2"/>
        <item x="7"/>
        <item x="126"/>
        <item x="79"/>
        <item x="68"/>
        <item x="147"/>
        <item x="30"/>
        <item x="122"/>
        <item x="96"/>
        <item x="42"/>
        <item x="133"/>
        <item x="48"/>
        <item x="148"/>
        <item x="112"/>
        <item x="140"/>
        <item x="13"/>
        <item x="127"/>
        <item x="34"/>
        <item x="57"/>
        <item x="132"/>
        <item x="60"/>
        <item x="95"/>
        <item x="111"/>
        <item x="50"/>
        <item x="12"/>
        <item x="22"/>
        <item x="23"/>
        <item x="17"/>
        <item x="44"/>
        <item x="75"/>
        <item x="70"/>
        <item x="155"/>
        <item x="128"/>
        <item x="63"/>
        <item x="124"/>
        <item x="29"/>
        <item x="100"/>
        <item x="61"/>
        <item x="55"/>
        <item x="41"/>
        <item x="54"/>
        <item x="81"/>
        <item x="110"/>
        <item x="94"/>
        <item x="154"/>
        <item x="158"/>
        <item x="163"/>
        <item x="82"/>
        <item x="145"/>
        <item x="5"/>
        <item x="108"/>
        <item x="159"/>
        <item x="88"/>
        <item x="164"/>
        <item x="137"/>
        <item x="146"/>
        <item x="19"/>
        <item x="58"/>
        <item x="165"/>
        <item x="6"/>
        <item x="25"/>
        <item x="39"/>
        <item x="162"/>
        <item x="115"/>
        <item x="56"/>
        <item x="31"/>
        <item x="91"/>
        <item x="16"/>
        <item t="default"/>
      </items>
    </pivotField>
    <pivotField showAll="0"/>
    <pivotField showAll="0"/>
    <pivotField showAll="0">
      <items count="156">
        <item x="16"/>
        <item x="129"/>
        <item x="142"/>
        <item x="146"/>
        <item x="96"/>
        <item x="42"/>
        <item x="105"/>
        <item x="149"/>
        <item x="32"/>
        <item x="65"/>
        <item x="150"/>
        <item x="61"/>
        <item x="0"/>
        <item x="63"/>
        <item x="55"/>
        <item x="87"/>
        <item x="24"/>
        <item x="92"/>
        <item x="48"/>
        <item x="94"/>
        <item x="25"/>
        <item x="117"/>
        <item x="20"/>
        <item x="119"/>
        <item x="17"/>
        <item x="124"/>
        <item x="35"/>
        <item x="49"/>
        <item x="26"/>
        <item x="95"/>
        <item x="75"/>
        <item x="30"/>
        <item x="143"/>
        <item x="56"/>
        <item x="78"/>
        <item x="101"/>
        <item x="120"/>
        <item x="148"/>
        <item x="86"/>
        <item x="118"/>
        <item x="102"/>
        <item x="80"/>
        <item x="89"/>
        <item x="37"/>
        <item x="19"/>
        <item x="138"/>
        <item x="10"/>
        <item x="47"/>
        <item x="114"/>
        <item x="130"/>
        <item x="145"/>
        <item x="100"/>
        <item x="128"/>
        <item x="104"/>
        <item x="126"/>
        <item x="41"/>
        <item x="132"/>
        <item x="9"/>
        <item x="106"/>
        <item x="113"/>
        <item x="31"/>
        <item x="74"/>
        <item x="84"/>
        <item x="46"/>
        <item x="59"/>
        <item x="88"/>
        <item x="109"/>
        <item x="3"/>
        <item x="36"/>
        <item x="14"/>
        <item x="134"/>
        <item x="136"/>
        <item x="62"/>
        <item x="121"/>
        <item x="29"/>
        <item x="15"/>
        <item x="103"/>
        <item x="76"/>
        <item x="137"/>
        <item x="4"/>
        <item x="83"/>
        <item x="34"/>
        <item x="107"/>
        <item x="69"/>
        <item x="82"/>
        <item x="11"/>
        <item x="44"/>
        <item x="40"/>
        <item x="85"/>
        <item x="1"/>
        <item x="8"/>
        <item x="123"/>
        <item x="71"/>
        <item x="64"/>
        <item x="70"/>
        <item x="67"/>
        <item x="7"/>
        <item x="144"/>
        <item x="122"/>
        <item x="79"/>
        <item x="2"/>
        <item x="115"/>
        <item x="131"/>
        <item x="66"/>
        <item x="112"/>
        <item x="99"/>
        <item x="39"/>
        <item x="28"/>
        <item x="43"/>
        <item x="135"/>
        <item x="45"/>
        <item x="141"/>
        <item x="111"/>
        <item x="53"/>
        <item x="22"/>
        <item x="57"/>
        <item x="33"/>
        <item x="98"/>
        <item x="13"/>
        <item x="12"/>
        <item x="127"/>
        <item x="27"/>
        <item x="21"/>
        <item x="90"/>
        <item x="58"/>
        <item x="68"/>
        <item x="110"/>
        <item x="60"/>
        <item x="81"/>
        <item x="77"/>
        <item x="51"/>
        <item x="72"/>
        <item x="152"/>
        <item x="147"/>
        <item x="97"/>
        <item x="50"/>
        <item x="139"/>
        <item x="91"/>
        <item x="133"/>
        <item x="23"/>
        <item x="125"/>
        <item x="73"/>
        <item x="108"/>
        <item x="38"/>
        <item x="18"/>
        <item x="153"/>
        <item x="5"/>
        <item x="140"/>
        <item x="151"/>
        <item x="116"/>
        <item x="6"/>
        <item x="54"/>
        <item x="154"/>
        <item x="52"/>
        <item x="93"/>
        <item t="default"/>
      </items>
    </pivotField>
    <pivotField showAll="0"/>
    <pivotField showAll="0"/>
    <pivotField showAll="0">
      <items count="154">
        <item x="15"/>
        <item x="143"/>
        <item x="91"/>
        <item x="146"/>
        <item x="43"/>
        <item x="147"/>
        <item x="134"/>
        <item x="63"/>
        <item x="120"/>
        <item x="65"/>
        <item x="61"/>
        <item x="23"/>
        <item x="112"/>
        <item x="49"/>
        <item x="0"/>
        <item x="31"/>
        <item x="72"/>
        <item x="100"/>
        <item x="111"/>
        <item x="55"/>
        <item x="24"/>
        <item x="68"/>
        <item x="16"/>
        <item x="34"/>
        <item x="50"/>
        <item x="135"/>
        <item x="117"/>
        <item x="126"/>
        <item x="97"/>
        <item x="138"/>
        <item x="29"/>
        <item x="128"/>
        <item x="25"/>
        <item x="74"/>
        <item x="96"/>
        <item x="110"/>
        <item x="123"/>
        <item x="124"/>
        <item x="56"/>
        <item x="76"/>
        <item x="101"/>
        <item x="42"/>
        <item x="145"/>
        <item x="30"/>
        <item x="78"/>
        <item x="9"/>
        <item x="36"/>
        <item x="18"/>
        <item x="87"/>
        <item x="84"/>
        <item x="141"/>
        <item x="28"/>
        <item x="99"/>
        <item x="48"/>
        <item x="107"/>
        <item x="3"/>
        <item x="47"/>
        <item x="106"/>
        <item x="35"/>
        <item x="102"/>
        <item x="115"/>
        <item x="59"/>
        <item x="4"/>
        <item x="41"/>
        <item x="83"/>
        <item x="86"/>
        <item x="33"/>
        <item x="62"/>
        <item x="21"/>
        <item x="13"/>
        <item x="82"/>
        <item x="10"/>
        <item x="14"/>
        <item x="45"/>
        <item x="129"/>
        <item x="39"/>
        <item x="137"/>
        <item x="108"/>
        <item x="67"/>
        <item x="114"/>
        <item x="8"/>
        <item x="136"/>
        <item x="1"/>
        <item x="118"/>
        <item x="70"/>
        <item x="64"/>
        <item x="66"/>
        <item x="85"/>
        <item x="113"/>
        <item x="79"/>
        <item x="2"/>
        <item x="7"/>
        <item x="71"/>
        <item x="105"/>
        <item x="127"/>
        <item x="46"/>
        <item x="44"/>
        <item x="54"/>
        <item x="139"/>
        <item x="122"/>
        <item x="40"/>
        <item x="95"/>
        <item x="32"/>
        <item x="27"/>
        <item x="88"/>
        <item x="103"/>
        <item x="26"/>
        <item x="38"/>
        <item x="148"/>
        <item x="57"/>
        <item x="58"/>
        <item x="104"/>
        <item x="11"/>
        <item x="12"/>
        <item x="116"/>
        <item x="130"/>
        <item x="20"/>
        <item x="119"/>
        <item x="121"/>
        <item x="94"/>
        <item x="77"/>
        <item x="69"/>
        <item x="150"/>
        <item x="133"/>
        <item x="19"/>
        <item x="60"/>
        <item x="75"/>
        <item x="81"/>
        <item x="98"/>
        <item x="142"/>
        <item x="144"/>
        <item x="131"/>
        <item x="93"/>
        <item x="140"/>
        <item x="73"/>
        <item x="125"/>
        <item x="5"/>
        <item x="92"/>
        <item x="37"/>
        <item x="52"/>
        <item x="80"/>
        <item x="109"/>
        <item x="51"/>
        <item x="89"/>
        <item x="151"/>
        <item x="17"/>
        <item x="22"/>
        <item x="53"/>
        <item x="149"/>
        <item x="132"/>
        <item x="90"/>
        <item x="6"/>
        <item x="152"/>
        <item t="default"/>
      </items>
    </pivotField>
    <pivotField showAll="0"/>
    <pivotField showAll="0"/>
    <pivotField axis="axisRow" showAll="0">
      <items count="7">
        <item x="1"/>
        <item x="5"/>
        <item x="0"/>
        <item x="4"/>
        <item x="2"/>
        <item x="3"/>
        <item t="default"/>
      </items>
    </pivotField>
    <pivotField showAll="0">
      <items count="9">
        <item x="2"/>
        <item x="3"/>
        <item m="1" x="7"/>
        <item x="1"/>
        <item x="4"/>
        <item x="0"/>
        <item m="1" x="6"/>
        <item x="5"/>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items count="15">
        <item x="0"/>
        <item x="1"/>
        <item x="2"/>
        <item x="3"/>
        <item x="4"/>
        <item x="5"/>
        <item x="6"/>
        <item x="7"/>
        <item x="8"/>
        <item x="9"/>
        <item x="10"/>
        <item x="11"/>
        <item x="12"/>
        <item x="13"/>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s>
  <rowFields count="1">
    <field x="19"/>
  </rowFields>
  <rowItems count="7">
    <i>
      <x/>
    </i>
    <i>
      <x v="1"/>
    </i>
    <i>
      <x v="2"/>
    </i>
    <i>
      <x v="3"/>
    </i>
    <i>
      <x v="4"/>
    </i>
    <i>
      <x v="5"/>
    </i>
    <i t="grand">
      <x/>
    </i>
  </rowItems>
  <colItems count="1">
    <i/>
  </colItems>
  <dataFields count="1">
    <dataField name="Average of Age" fld="2" subtotal="average" baseField="0" baseItem="0" numFmtId="1"/>
  </dataFields>
  <formats count="1">
    <format dxfId="138">
      <pivotArea outline="0" collapsedLevelsAreSubtotals="1" fieldPosition="0"/>
    </format>
  </formats>
  <chartFormats count="7">
    <chartFormat chart="10" format="5"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3C3063F-97E0-F145-A7B3-9BF5869A6F0F}" name="Monthly referrals" cacheId="1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Month (2024)">
  <location ref="I4:J17" firstHeaderRow="1" firstDataRow="1" firstDataCol="1"/>
  <pivotFields count="28">
    <pivotField showAll="0"/>
    <pivotField numFmtId="14" showAll="0"/>
    <pivotField dataField="1" showAll="0"/>
    <pivotField showAll="0"/>
    <pivotField showAll="0">
      <items count="4">
        <item x="0"/>
        <item x="1"/>
        <item x="2"/>
        <item t="default"/>
      </items>
    </pivotField>
    <pivotField showAll="0"/>
    <pivotField showAll="0"/>
    <pivotField showAll="0"/>
    <pivotField showAll="0"/>
    <pivotField showAll="0">
      <items count="7">
        <item x="2"/>
        <item x="5"/>
        <item x="0"/>
        <item x="1"/>
        <item x="4"/>
        <item x="3"/>
        <item t="default"/>
      </items>
    </pivotField>
    <pivotField numFmtId="14" showAll="0" sortType="ascending">
      <items count="167">
        <item x="130"/>
        <item x="85"/>
        <item x="149"/>
        <item x="64"/>
        <item x="52"/>
        <item x="120"/>
        <item x="47"/>
        <item x="98"/>
        <item x="67"/>
        <item x="0"/>
        <item x="18"/>
        <item x="106"/>
        <item x="74"/>
        <item x="36"/>
        <item x="53"/>
        <item x="161"/>
        <item x="33"/>
        <item x="116"/>
        <item x="26"/>
        <item x="92"/>
        <item x="118"/>
        <item x="69"/>
        <item x="89"/>
        <item x="28"/>
        <item x="156"/>
        <item x="93"/>
        <item x="27"/>
        <item x="21"/>
        <item x="99"/>
        <item x="24"/>
        <item x="109"/>
        <item x="59"/>
        <item x="160"/>
        <item x="77"/>
        <item x="139"/>
        <item x="117"/>
        <item x="10"/>
        <item x="119"/>
        <item x="151"/>
        <item x="141"/>
        <item x="40"/>
        <item x="152"/>
        <item x="78"/>
        <item x="103"/>
        <item x="80"/>
        <item x="125"/>
        <item x="20"/>
        <item x="105"/>
        <item x="129"/>
        <item x="38"/>
        <item x="51"/>
        <item x="143"/>
        <item x="87"/>
        <item x="83"/>
        <item x="62"/>
        <item x="46"/>
        <item x="131"/>
        <item x="32"/>
        <item x="134"/>
        <item x="9"/>
        <item x="14"/>
        <item x="97"/>
        <item x="135"/>
        <item x="113"/>
        <item x="84"/>
        <item x="3"/>
        <item x="144"/>
        <item x="37"/>
        <item x="101"/>
        <item x="15"/>
        <item x="104"/>
        <item x="157"/>
        <item x="71"/>
        <item x="76"/>
        <item x="136"/>
        <item x="138"/>
        <item x="142"/>
        <item x="49"/>
        <item x="45"/>
        <item x="65"/>
        <item x="102"/>
        <item x="121"/>
        <item x="86"/>
        <item x="4"/>
        <item x="107"/>
        <item x="35"/>
        <item x="123"/>
        <item x="11"/>
        <item x="66"/>
        <item x="150"/>
        <item x="114"/>
        <item x="90"/>
        <item x="72"/>
        <item x="153"/>
        <item x="73"/>
        <item x="1"/>
        <item x="43"/>
        <item x="8"/>
        <item x="2"/>
        <item x="7"/>
        <item x="126"/>
        <item x="79"/>
        <item x="68"/>
        <item x="147"/>
        <item x="30"/>
        <item x="122"/>
        <item x="96"/>
        <item x="42"/>
        <item x="133"/>
        <item x="48"/>
        <item x="148"/>
        <item x="112"/>
        <item x="140"/>
        <item x="13"/>
        <item x="127"/>
        <item x="34"/>
        <item x="57"/>
        <item x="132"/>
        <item x="60"/>
        <item x="95"/>
        <item x="111"/>
        <item x="50"/>
        <item x="12"/>
        <item x="22"/>
        <item x="23"/>
        <item x="17"/>
        <item x="44"/>
        <item x="75"/>
        <item x="70"/>
        <item x="155"/>
        <item x="128"/>
        <item x="63"/>
        <item x="124"/>
        <item x="29"/>
        <item x="100"/>
        <item x="61"/>
        <item x="55"/>
        <item x="41"/>
        <item x="54"/>
        <item x="81"/>
        <item x="110"/>
        <item x="94"/>
        <item x="154"/>
        <item x="158"/>
        <item x="163"/>
        <item x="82"/>
        <item x="145"/>
        <item x="5"/>
        <item x="108"/>
        <item x="159"/>
        <item x="88"/>
        <item x="164"/>
        <item x="137"/>
        <item x="146"/>
        <item x="19"/>
        <item x="58"/>
        <item x="165"/>
        <item x="6"/>
        <item x="25"/>
        <item x="39"/>
        <item x="162"/>
        <item x="115"/>
        <item x="56"/>
        <item x="31"/>
        <item x="91"/>
        <item x="16"/>
        <item t="default"/>
      </items>
    </pivotField>
    <pivotField showAll="0"/>
    <pivotField showAll="0"/>
    <pivotField showAll="0">
      <items count="156">
        <item x="16"/>
        <item x="129"/>
        <item x="142"/>
        <item x="146"/>
        <item x="96"/>
        <item x="42"/>
        <item x="105"/>
        <item x="149"/>
        <item x="32"/>
        <item x="65"/>
        <item x="150"/>
        <item x="61"/>
        <item x="0"/>
        <item x="63"/>
        <item x="55"/>
        <item x="87"/>
        <item x="24"/>
        <item x="92"/>
        <item x="48"/>
        <item x="94"/>
        <item x="25"/>
        <item x="117"/>
        <item x="20"/>
        <item x="119"/>
        <item x="17"/>
        <item x="124"/>
        <item x="35"/>
        <item x="49"/>
        <item x="26"/>
        <item x="95"/>
        <item x="75"/>
        <item x="30"/>
        <item x="143"/>
        <item x="56"/>
        <item x="78"/>
        <item x="101"/>
        <item x="120"/>
        <item x="148"/>
        <item x="86"/>
        <item x="118"/>
        <item x="102"/>
        <item x="80"/>
        <item x="89"/>
        <item x="37"/>
        <item x="19"/>
        <item x="138"/>
        <item x="10"/>
        <item x="47"/>
        <item x="114"/>
        <item x="130"/>
        <item x="145"/>
        <item x="100"/>
        <item x="128"/>
        <item x="104"/>
        <item x="126"/>
        <item x="41"/>
        <item x="132"/>
        <item x="9"/>
        <item x="106"/>
        <item x="113"/>
        <item x="31"/>
        <item x="74"/>
        <item x="84"/>
        <item x="46"/>
        <item x="59"/>
        <item x="88"/>
        <item x="109"/>
        <item x="3"/>
        <item x="36"/>
        <item x="14"/>
        <item x="134"/>
        <item x="136"/>
        <item x="62"/>
        <item x="121"/>
        <item x="29"/>
        <item x="15"/>
        <item x="103"/>
        <item x="76"/>
        <item x="137"/>
        <item x="4"/>
        <item x="83"/>
        <item x="34"/>
        <item x="107"/>
        <item x="69"/>
        <item x="82"/>
        <item x="11"/>
        <item x="44"/>
        <item x="40"/>
        <item x="85"/>
        <item x="1"/>
        <item x="8"/>
        <item x="123"/>
        <item x="71"/>
        <item x="64"/>
        <item x="70"/>
        <item x="67"/>
        <item x="7"/>
        <item x="144"/>
        <item x="122"/>
        <item x="79"/>
        <item x="2"/>
        <item x="115"/>
        <item x="131"/>
        <item x="66"/>
        <item x="112"/>
        <item x="99"/>
        <item x="39"/>
        <item x="28"/>
        <item x="43"/>
        <item x="135"/>
        <item x="45"/>
        <item x="141"/>
        <item x="111"/>
        <item x="53"/>
        <item x="22"/>
        <item x="57"/>
        <item x="33"/>
        <item x="98"/>
        <item x="13"/>
        <item x="12"/>
        <item x="127"/>
        <item x="27"/>
        <item x="21"/>
        <item x="90"/>
        <item x="58"/>
        <item x="68"/>
        <item x="110"/>
        <item x="60"/>
        <item x="81"/>
        <item x="77"/>
        <item x="51"/>
        <item x="72"/>
        <item x="152"/>
        <item x="147"/>
        <item x="97"/>
        <item x="50"/>
        <item x="139"/>
        <item x="91"/>
        <item x="133"/>
        <item x="23"/>
        <item x="125"/>
        <item x="73"/>
        <item x="108"/>
        <item x="38"/>
        <item x="18"/>
        <item x="153"/>
        <item x="5"/>
        <item x="140"/>
        <item x="151"/>
        <item x="116"/>
        <item x="6"/>
        <item x="54"/>
        <item x="154"/>
        <item x="52"/>
        <item x="93"/>
        <item t="default"/>
      </items>
    </pivotField>
    <pivotField showAll="0"/>
    <pivotField showAll="0"/>
    <pivotField showAll="0">
      <items count="154">
        <item x="15"/>
        <item x="143"/>
        <item x="91"/>
        <item x="146"/>
        <item x="43"/>
        <item x="147"/>
        <item x="134"/>
        <item x="63"/>
        <item x="120"/>
        <item x="65"/>
        <item x="61"/>
        <item x="23"/>
        <item x="112"/>
        <item x="49"/>
        <item x="0"/>
        <item x="31"/>
        <item x="72"/>
        <item x="100"/>
        <item x="111"/>
        <item x="55"/>
        <item x="24"/>
        <item x="68"/>
        <item x="16"/>
        <item x="34"/>
        <item x="50"/>
        <item x="135"/>
        <item x="117"/>
        <item x="126"/>
        <item x="97"/>
        <item x="138"/>
        <item x="29"/>
        <item x="128"/>
        <item x="25"/>
        <item x="74"/>
        <item x="96"/>
        <item x="110"/>
        <item x="123"/>
        <item x="124"/>
        <item x="56"/>
        <item x="76"/>
        <item x="101"/>
        <item x="42"/>
        <item x="145"/>
        <item x="30"/>
        <item x="78"/>
        <item x="9"/>
        <item x="36"/>
        <item x="18"/>
        <item x="87"/>
        <item x="84"/>
        <item x="141"/>
        <item x="28"/>
        <item x="99"/>
        <item x="48"/>
        <item x="107"/>
        <item x="3"/>
        <item x="47"/>
        <item x="106"/>
        <item x="35"/>
        <item x="102"/>
        <item x="115"/>
        <item x="59"/>
        <item x="4"/>
        <item x="41"/>
        <item x="83"/>
        <item x="86"/>
        <item x="33"/>
        <item x="62"/>
        <item x="21"/>
        <item x="13"/>
        <item x="82"/>
        <item x="10"/>
        <item x="14"/>
        <item x="45"/>
        <item x="129"/>
        <item x="39"/>
        <item x="137"/>
        <item x="108"/>
        <item x="67"/>
        <item x="114"/>
        <item x="8"/>
        <item x="136"/>
        <item x="1"/>
        <item x="118"/>
        <item x="70"/>
        <item x="64"/>
        <item x="66"/>
        <item x="85"/>
        <item x="113"/>
        <item x="79"/>
        <item x="2"/>
        <item x="7"/>
        <item x="71"/>
        <item x="105"/>
        <item x="127"/>
        <item x="46"/>
        <item x="44"/>
        <item x="54"/>
        <item x="139"/>
        <item x="122"/>
        <item x="40"/>
        <item x="95"/>
        <item x="32"/>
        <item x="27"/>
        <item x="88"/>
        <item x="103"/>
        <item x="26"/>
        <item x="38"/>
        <item x="148"/>
        <item x="57"/>
        <item x="58"/>
        <item x="104"/>
        <item x="11"/>
        <item x="12"/>
        <item x="116"/>
        <item x="130"/>
        <item x="20"/>
        <item x="119"/>
        <item x="121"/>
        <item x="94"/>
        <item x="77"/>
        <item x="69"/>
        <item x="150"/>
        <item x="133"/>
        <item x="19"/>
        <item x="60"/>
        <item x="75"/>
        <item x="81"/>
        <item x="98"/>
        <item x="142"/>
        <item x="144"/>
        <item x="131"/>
        <item x="93"/>
        <item x="140"/>
        <item x="73"/>
        <item x="125"/>
        <item x="5"/>
        <item x="92"/>
        <item x="37"/>
        <item x="52"/>
        <item x="80"/>
        <item x="109"/>
        <item x="51"/>
        <item x="89"/>
        <item x="151"/>
        <item x="17"/>
        <item x="22"/>
        <item x="53"/>
        <item x="149"/>
        <item x="132"/>
        <item x="90"/>
        <item x="6"/>
        <item x="152"/>
        <item t="default"/>
      </items>
    </pivotField>
    <pivotField showAll="0"/>
    <pivotField showAll="0"/>
    <pivotField showAll="0">
      <items count="7">
        <item x="1"/>
        <item x="5"/>
        <item x="0"/>
        <item x="4"/>
        <item x="2"/>
        <item x="3"/>
        <item t="default"/>
      </items>
    </pivotField>
    <pivotField showAll="0">
      <items count="9">
        <item x="2"/>
        <item x="3"/>
        <item m="1" x="7"/>
        <item x="1"/>
        <item x="4"/>
        <item x="0"/>
        <item m="1" x="6"/>
        <item x="5"/>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showAll="0" defaultSubtotal="0">
      <items count="14">
        <item x="0"/>
        <item x="1"/>
        <item x="2"/>
        <item x="3"/>
        <item x="4"/>
        <item x="5"/>
        <item x="6"/>
        <item x="7"/>
        <item x="8"/>
        <item x="9"/>
        <item x="10"/>
        <item x="11"/>
        <item x="12"/>
        <item x="13"/>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items count="15">
        <item x="0"/>
        <item x="1"/>
        <item x="2"/>
        <item x="3"/>
        <item x="4"/>
        <item x="5"/>
        <item x="6"/>
        <item x="7"/>
        <item x="8"/>
        <item x="9"/>
        <item x="10"/>
        <item x="11"/>
        <item x="12"/>
        <item x="13"/>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s>
  <rowFields count="1">
    <field x="22"/>
  </rowFields>
  <rowItems count="13">
    <i>
      <x v="1"/>
    </i>
    <i>
      <x v="2"/>
    </i>
    <i>
      <x v="3"/>
    </i>
    <i>
      <x v="4"/>
    </i>
    <i>
      <x v="5"/>
    </i>
    <i>
      <x v="6"/>
    </i>
    <i>
      <x v="7"/>
    </i>
    <i>
      <x v="8"/>
    </i>
    <i>
      <x v="9"/>
    </i>
    <i>
      <x v="10"/>
    </i>
    <i>
      <x v="11"/>
    </i>
    <i>
      <x v="12"/>
    </i>
    <i t="grand">
      <x/>
    </i>
  </rowItems>
  <colItems count="1">
    <i/>
  </colItems>
  <dataFields count="1">
    <dataField name="Count of Age" fld="2" subtotal="count" baseField="0" baseItem="0"/>
  </dataField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A3474E1-E7BE-D043-8060-903FDA070CAC}" name="Average Client Age" cacheId="1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Group">
  <location ref="E24:F25" firstHeaderRow="0" firstDataRow="1" firstDataCol="0"/>
  <pivotFields count="28">
    <pivotField dataField="1" showAll="0"/>
    <pivotField numFmtId="14" showAll="0"/>
    <pivotField dataField="1" showAll="0"/>
    <pivotField showAll="0"/>
    <pivotField showAll="0">
      <items count="4">
        <item x="0"/>
        <item x="1"/>
        <item x="2"/>
        <item t="default"/>
      </items>
    </pivotField>
    <pivotField showAll="0"/>
    <pivotField showAll="0"/>
    <pivotField showAll="0"/>
    <pivotField showAll="0"/>
    <pivotField showAll="0">
      <items count="7">
        <item x="2"/>
        <item x="5"/>
        <item x="0"/>
        <item x="1"/>
        <item x="4"/>
        <item x="3"/>
        <item t="default"/>
      </items>
    </pivotField>
    <pivotField numFmtId="14" showAll="0">
      <items count="167">
        <item x="130"/>
        <item x="85"/>
        <item x="149"/>
        <item x="64"/>
        <item x="52"/>
        <item x="120"/>
        <item x="47"/>
        <item x="98"/>
        <item x="67"/>
        <item x="0"/>
        <item x="18"/>
        <item x="106"/>
        <item x="74"/>
        <item x="36"/>
        <item x="53"/>
        <item x="161"/>
        <item x="33"/>
        <item x="116"/>
        <item x="26"/>
        <item x="92"/>
        <item x="118"/>
        <item x="69"/>
        <item x="89"/>
        <item x="28"/>
        <item x="156"/>
        <item x="93"/>
        <item x="27"/>
        <item x="21"/>
        <item x="99"/>
        <item x="24"/>
        <item x="109"/>
        <item x="59"/>
        <item x="160"/>
        <item x="77"/>
        <item x="139"/>
        <item x="117"/>
        <item x="10"/>
        <item x="119"/>
        <item x="151"/>
        <item x="141"/>
        <item x="40"/>
        <item x="152"/>
        <item x="78"/>
        <item x="103"/>
        <item x="80"/>
        <item x="125"/>
        <item x="20"/>
        <item x="105"/>
        <item x="129"/>
        <item x="38"/>
        <item x="51"/>
        <item x="143"/>
        <item x="87"/>
        <item x="83"/>
        <item x="62"/>
        <item x="46"/>
        <item x="131"/>
        <item x="32"/>
        <item x="134"/>
        <item x="9"/>
        <item x="14"/>
        <item x="97"/>
        <item x="135"/>
        <item x="113"/>
        <item x="84"/>
        <item x="3"/>
        <item x="144"/>
        <item x="37"/>
        <item x="101"/>
        <item x="15"/>
        <item x="104"/>
        <item x="157"/>
        <item x="71"/>
        <item x="76"/>
        <item x="136"/>
        <item x="138"/>
        <item x="142"/>
        <item x="49"/>
        <item x="45"/>
        <item x="65"/>
        <item x="102"/>
        <item x="121"/>
        <item x="86"/>
        <item x="4"/>
        <item x="107"/>
        <item x="35"/>
        <item x="123"/>
        <item x="11"/>
        <item x="66"/>
        <item x="150"/>
        <item x="114"/>
        <item x="90"/>
        <item x="72"/>
        <item x="153"/>
        <item x="73"/>
        <item x="1"/>
        <item x="43"/>
        <item x="8"/>
        <item x="2"/>
        <item x="7"/>
        <item x="126"/>
        <item x="79"/>
        <item x="68"/>
        <item x="147"/>
        <item x="30"/>
        <item x="122"/>
        <item x="96"/>
        <item x="42"/>
        <item x="133"/>
        <item x="48"/>
        <item x="148"/>
        <item x="112"/>
        <item x="140"/>
        <item x="13"/>
        <item x="127"/>
        <item x="34"/>
        <item x="57"/>
        <item x="132"/>
        <item x="60"/>
        <item x="95"/>
        <item x="111"/>
        <item x="50"/>
        <item x="12"/>
        <item x="22"/>
        <item x="23"/>
        <item x="17"/>
        <item x="44"/>
        <item x="75"/>
        <item x="70"/>
        <item x="155"/>
        <item x="128"/>
        <item x="63"/>
        <item x="124"/>
        <item x="29"/>
        <item x="100"/>
        <item x="61"/>
        <item x="55"/>
        <item x="41"/>
        <item x="54"/>
        <item x="81"/>
        <item x="110"/>
        <item x="94"/>
        <item x="154"/>
        <item x="158"/>
        <item x="163"/>
        <item x="82"/>
        <item x="145"/>
        <item x="5"/>
        <item x="108"/>
        <item x="159"/>
        <item x="88"/>
        <item x="164"/>
        <item x="137"/>
        <item x="146"/>
        <item x="19"/>
        <item x="58"/>
        <item x="165"/>
        <item x="6"/>
        <item x="25"/>
        <item x="39"/>
        <item x="162"/>
        <item x="115"/>
        <item x="56"/>
        <item x="31"/>
        <item x="91"/>
        <item x="16"/>
        <item t="default"/>
      </items>
    </pivotField>
    <pivotField showAll="0"/>
    <pivotField showAll="0"/>
    <pivotField showAll="0">
      <items count="156">
        <item x="16"/>
        <item x="129"/>
        <item x="142"/>
        <item x="146"/>
        <item x="96"/>
        <item x="42"/>
        <item x="105"/>
        <item x="149"/>
        <item x="32"/>
        <item x="65"/>
        <item x="150"/>
        <item x="61"/>
        <item x="0"/>
        <item x="63"/>
        <item x="55"/>
        <item x="87"/>
        <item x="24"/>
        <item x="92"/>
        <item x="48"/>
        <item x="94"/>
        <item x="25"/>
        <item x="117"/>
        <item x="20"/>
        <item x="119"/>
        <item x="17"/>
        <item x="124"/>
        <item x="35"/>
        <item x="49"/>
        <item x="26"/>
        <item x="95"/>
        <item x="75"/>
        <item x="30"/>
        <item x="143"/>
        <item x="56"/>
        <item x="78"/>
        <item x="101"/>
        <item x="120"/>
        <item x="148"/>
        <item x="86"/>
        <item x="118"/>
        <item x="102"/>
        <item x="80"/>
        <item x="89"/>
        <item x="37"/>
        <item x="19"/>
        <item x="138"/>
        <item x="10"/>
        <item x="47"/>
        <item x="114"/>
        <item x="130"/>
        <item x="145"/>
        <item x="100"/>
        <item x="128"/>
        <item x="104"/>
        <item x="126"/>
        <item x="41"/>
        <item x="132"/>
        <item x="9"/>
        <item x="106"/>
        <item x="113"/>
        <item x="31"/>
        <item x="74"/>
        <item x="84"/>
        <item x="46"/>
        <item x="59"/>
        <item x="88"/>
        <item x="109"/>
        <item x="3"/>
        <item x="36"/>
        <item x="14"/>
        <item x="134"/>
        <item x="136"/>
        <item x="62"/>
        <item x="121"/>
        <item x="29"/>
        <item x="15"/>
        <item x="103"/>
        <item x="76"/>
        <item x="137"/>
        <item x="4"/>
        <item x="83"/>
        <item x="34"/>
        <item x="107"/>
        <item x="69"/>
        <item x="82"/>
        <item x="11"/>
        <item x="44"/>
        <item x="40"/>
        <item x="85"/>
        <item x="1"/>
        <item x="8"/>
        <item x="123"/>
        <item x="71"/>
        <item x="64"/>
        <item x="70"/>
        <item x="67"/>
        <item x="7"/>
        <item x="144"/>
        <item x="122"/>
        <item x="79"/>
        <item x="2"/>
        <item x="115"/>
        <item x="131"/>
        <item x="66"/>
        <item x="112"/>
        <item x="99"/>
        <item x="39"/>
        <item x="28"/>
        <item x="43"/>
        <item x="135"/>
        <item x="45"/>
        <item x="141"/>
        <item x="111"/>
        <item x="53"/>
        <item x="22"/>
        <item x="57"/>
        <item x="33"/>
        <item x="98"/>
        <item x="13"/>
        <item x="12"/>
        <item x="127"/>
        <item x="27"/>
        <item x="21"/>
        <item x="90"/>
        <item x="58"/>
        <item x="68"/>
        <item x="110"/>
        <item x="60"/>
        <item x="81"/>
        <item x="77"/>
        <item x="51"/>
        <item x="72"/>
        <item x="152"/>
        <item x="147"/>
        <item x="97"/>
        <item x="50"/>
        <item x="139"/>
        <item x="91"/>
        <item x="133"/>
        <item x="23"/>
        <item x="125"/>
        <item x="73"/>
        <item x="108"/>
        <item x="38"/>
        <item x="18"/>
        <item x="153"/>
        <item x="5"/>
        <item x="140"/>
        <item x="151"/>
        <item x="116"/>
        <item x="6"/>
        <item x="54"/>
        <item x="154"/>
        <item x="52"/>
        <item x="93"/>
        <item t="default"/>
      </items>
    </pivotField>
    <pivotField showAll="0"/>
    <pivotField showAll="0"/>
    <pivotField showAll="0">
      <items count="154">
        <item x="15"/>
        <item x="143"/>
        <item x="91"/>
        <item x="146"/>
        <item x="43"/>
        <item x="147"/>
        <item x="134"/>
        <item x="63"/>
        <item x="120"/>
        <item x="65"/>
        <item x="61"/>
        <item x="23"/>
        <item x="112"/>
        <item x="49"/>
        <item x="0"/>
        <item x="31"/>
        <item x="72"/>
        <item x="100"/>
        <item x="111"/>
        <item x="55"/>
        <item x="24"/>
        <item x="68"/>
        <item x="16"/>
        <item x="34"/>
        <item x="50"/>
        <item x="135"/>
        <item x="117"/>
        <item x="126"/>
        <item x="97"/>
        <item x="138"/>
        <item x="29"/>
        <item x="128"/>
        <item x="25"/>
        <item x="74"/>
        <item x="96"/>
        <item x="110"/>
        <item x="123"/>
        <item x="124"/>
        <item x="56"/>
        <item x="76"/>
        <item x="101"/>
        <item x="42"/>
        <item x="145"/>
        <item x="30"/>
        <item x="78"/>
        <item x="9"/>
        <item x="36"/>
        <item x="18"/>
        <item x="87"/>
        <item x="84"/>
        <item x="141"/>
        <item x="28"/>
        <item x="99"/>
        <item x="48"/>
        <item x="107"/>
        <item x="3"/>
        <item x="47"/>
        <item x="106"/>
        <item x="35"/>
        <item x="102"/>
        <item x="115"/>
        <item x="59"/>
        <item x="4"/>
        <item x="41"/>
        <item x="83"/>
        <item x="86"/>
        <item x="33"/>
        <item x="62"/>
        <item x="21"/>
        <item x="13"/>
        <item x="82"/>
        <item x="10"/>
        <item x="14"/>
        <item x="45"/>
        <item x="129"/>
        <item x="39"/>
        <item x="137"/>
        <item x="108"/>
        <item x="67"/>
        <item x="114"/>
        <item x="8"/>
        <item x="136"/>
        <item x="1"/>
        <item x="118"/>
        <item x="70"/>
        <item x="64"/>
        <item x="66"/>
        <item x="85"/>
        <item x="113"/>
        <item x="79"/>
        <item x="2"/>
        <item x="7"/>
        <item x="71"/>
        <item x="105"/>
        <item x="127"/>
        <item x="46"/>
        <item x="44"/>
        <item x="54"/>
        <item x="139"/>
        <item x="122"/>
        <item x="40"/>
        <item x="95"/>
        <item x="32"/>
        <item x="27"/>
        <item x="88"/>
        <item x="103"/>
        <item x="26"/>
        <item x="38"/>
        <item x="148"/>
        <item x="57"/>
        <item x="58"/>
        <item x="104"/>
        <item x="11"/>
        <item x="12"/>
        <item x="116"/>
        <item x="130"/>
        <item x="20"/>
        <item x="119"/>
        <item x="121"/>
        <item x="94"/>
        <item x="77"/>
        <item x="69"/>
        <item x="150"/>
        <item x="133"/>
        <item x="19"/>
        <item x="60"/>
        <item x="75"/>
        <item x="81"/>
        <item x="98"/>
        <item x="142"/>
        <item x="144"/>
        <item x="131"/>
        <item x="93"/>
        <item x="140"/>
        <item x="73"/>
        <item x="125"/>
        <item x="5"/>
        <item x="92"/>
        <item x="37"/>
        <item x="52"/>
        <item x="80"/>
        <item x="109"/>
        <item x="51"/>
        <item x="89"/>
        <item x="151"/>
        <item x="17"/>
        <item x="22"/>
        <item x="53"/>
        <item x="149"/>
        <item x="132"/>
        <item x="90"/>
        <item x="6"/>
        <item x="152"/>
        <item t="default"/>
      </items>
    </pivotField>
    <pivotField showAll="0"/>
    <pivotField showAll="0"/>
    <pivotField showAll="0">
      <items count="7">
        <item x="1"/>
        <item x="5"/>
        <item x="0"/>
        <item x="4"/>
        <item x="2"/>
        <item x="3"/>
        <item t="default"/>
      </items>
    </pivotField>
    <pivotField showAll="0">
      <items count="9">
        <item x="2"/>
        <item x="3"/>
        <item m="1" x="7"/>
        <item x="1"/>
        <item x="4"/>
        <item x="0"/>
        <item m="1" x="6"/>
        <item x="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items count="15">
        <item x="0"/>
        <item x="1"/>
        <item x="2"/>
        <item x="3"/>
        <item x="4"/>
        <item x="5"/>
        <item x="6"/>
        <item x="7"/>
        <item x="8"/>
        <item x="9"/>
        <item x="10"/>
        <item x="11"/>
        <item x="12"/>
        <item x="13"/>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s>
  <rowItems count="1">
    <i/>
  </rowItems>
  <colFields count="1">
    <field x="-2"/>
  </colFields>
  <colItems count="2">
    <i>
      <x/>
    </i>
    <i i="1">
      <x v="1"/>
    </i>
  </colItems>
  <dataFields count="2">
    <dataField name="Average of Age" fld="2" subtotal="average" baseField="0" baseItem="0" numFmtId="41"/>
    <dataField name="Count of Client ID" fld="0" subtotal="count" baseField="0" baseItem="0"/>
  </dataFields>
  <formats count="1">
    <format dxfId="13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5EC3D51-16DA-7B4D-977F-E79166ECB8E4}" name="Referring Org" cacheId="1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Referring Organisation">
  <location ref="I20:J27" firstHeaderRow="1" firstDataRow="1" firstDataCol="1"/>
  <pivotFields count="28">
    <pivotField dataField="1" showAll="0"/>
    <pivotField numFmtId="14" showAll="0"/>
    <pivotField showAll="0"/>
    <pivotField showAll="0"/>
    <pivotField showAll="0">
      <items count="4">
        <item x="0"/>
        <item x="1"/>
        <item x="2"/>
        <item t="default"/>
      </items>
    </pivotField>
    <pivotField showAll="0"/>
    <pivotField showAll="0"/>
    <pivotField showAll="0"/>
    <pivotField showAll="0"/>
    <pivotField axis="axisRow" showAll="0">
      <items count="7">
        <item x="2"/>
        <item x="5"/>
        <item x="0"/>
        <item x="1"/>
        <item x="4"/>
        <item x="3"/>
        <item t="default"/>
      </items>
    </pivotField>
    <pivotField numFmtId="14" showAll="0" sortType="ascending">
      <items count="167">
        <item x="130"/>
        <item x="85"/>
        <item x="149"/>
        <item x="64"/>
        <item x="52"/>
        <item x="120"/>
        <item x="47"/>
        <item x="98"/>
        <item x="67"/>
        <item x="0"/>
        <item x="18"/>
        <item x="106"/>
        <item x="74"/>
        <item x="36"/>
        <item x="53"/>
        <item x="161"/>
        <item x="33"/>
        <item x="116"/>
        <item x="26"/>
        <item x="92"/>
        <item x="118"/>
        <item x="69"/>
        <item x="89"/>
        <item x="28"/>
        <item x="156"/>
        <item x="93"/>
        <item x="27"/>
        <item x="21"/>
        <item x="99"/>
        <item x="24"/>
        <item x="109"/>
        <item x="59"/>
        <item x="160"/>
        <item x="77"/>
        <item x="139"/>
        <item x="117"/>
        <item x="10"/>
        <item x="119"/>
        <item x="151"/>
        <item x="141"/>
        <item x="40"/>
        <item x="152"/>
        <item x="78"/>
        <item x="103"/>
        <item x="80"/>
        <item x="125"/>
        <item x="20"/>
        <item x="105"/>
        <item x="129"/>
        <item x="38"/>
        <item x="51"/>
        <item x="143"/>
        <item x="87"/>
        <item x="83"/>
        <item x="62"/>
        <item x="46"/>
        <item x="131"/>
        <item x="32"/>
        <item x="134"/>
        <item x="9"/>
        <item x="14"/>
        <item x="97"/>
        <item x="135"/>
        <item x="113"/>
        <item x="84"/>
        <item x="3"/>
        <item x="144"/>
        <item x="37"/>
        <item x="101"/>
        <item x="15"/>
        <item x="104"/>
        <item x="157"/>
        <item x="71"/>
        <item x="76"/>
        <item x="136"/>
        <item x="138"/>
        <item x="142"/>
        <item x="49"/>
        <item x="45"/>
        <item x="65"/>
        <item x="102"/>
        <item x="121"/>
        <item x="86"/>
        <item x="4"/>
        <item x="107"/>
        <item x="35"/>
        <item x="123"/>
        <item x="11"/>
        <item x="66"/>
        <item x="150"/>
        <item x="114"/>
        <item x="90"/>
        <item x="72"/>
        <item x="153"/>
        <item x="73"/>
        <item x="1"/>
        <item x="43"/>
        <item x="8"/>
        <item x="2"/>
        <item x="7"/>
        <item x="126"/>
        <item x="79"/>
        <item x="68"/>
        <item x="147"/>
        <item x="30"/>
        <item x="122"/>
        <item x="96"/>
        <item x="42"/>
        <item x="133"/>
        <item x="48"/>
        <item x="148"/>
        <item x="112"/>
        <item x="140"/>
        <item x="13"/>
        <item x="127"/>
        <item x="34"/>
        <item x="57"/>
        <item x="132"/>
        <item x="60"/>
        <item x="95"/>
        <item x="111"/>
        <item x="50"/>
        <item x="12"/>
        <item x="22"/>
        <item x="23"/>
        <item x="17"/>
        <item x="44"/>
        <item x="75"/>
        <item x="70"/>
        <item x="155"/>
        <item x="128"/>
        <item x="63"/>
        <item x="124"/>
        <item x="29"/>
        <item x="100"/>
        <item x="61"/>
        <item x="55"/>
        <item x="41"/>
        <item x="54"/>
        <item x="81"/>
        <item x="110"/>
        <item x="94"/>
        <item x="154"/>
        <item x="158"/>
        <item x="163"/>
        <item x="82"/>
        <item x="145"/>
        <item x="5"/>
        <item x="108"/>
        <item x="159"/>
        <item x="88"/>
        <item x="164"/>
        <item x="137"/>
        <item x="146"/>
        <item x="19"/>
        <item x="58"/>
        <item x="165"/>
        <item x="6"/>
        <item x="25"/>
        <item x="39"/>
        <item x="162"/>
        <item x="115"/>
        <item x="56"/>
        <item x="31"/>
        <item x="91"/>
        <item x="16"/>
        <item t="default"/>
      </items>
    </pivotField>
    <pivotField showAll="0" sortType="ascending">
      <autoSortScope>
        <pivotArea dataOnly="0" outline="0" fieldPosition="0">
          <references count="1">
            <reference field="4294967294" count="1" selected="0">
              <x v="0"/>
            </reference>
          </references>
        </pivotArea>
      </autoSortScope>
    </pivotField>
    <pivotField showAll="0"/>
    <pivotField showAll="0">
      <items count="156">
        <item x="16"/>
        <item x="129"/>
        <item x="142"/>
        <item x="146"/>
        <item x="96"/>
        <item x="42"/>
        <item x="105"/>
        <item x="149"/>
        <item x="32"/>
        <item x="65"/>
        <item x="150"/>
        <item x="61"/>
        <item x="0"/>
        <item x="63"/>
        <item x="55"/>
        <item x="87"/>
        <item x="24"/>
        <item x="92"/>
        <item x="48"/>
        <item x="94"/>
        <item x="25"/>
        <item x="117"/>
        <item x="20"/>
        <item x="119"/>
        <item x="17"/>
        <item x="124"/>
        <item x="35"/>
        <item x="49"/>
        <item x="26"/>
        <item x="95"/>
        <item x="75"/>
        <item x="30"/>
        <item x="143"/>
        <item x="56"/>
        <item x="78"/>
        <item x="101"/>
        <item x="120"/>
        <item x="148"/>
        <item x="86"/>
        <item x="118"/>
        <item x="102"/>
        <item x="80"/>
        <item x="89"/>
        <item x="37"/>
        <item x="19"/>
        <item x="138"/>
        <item x="10"/>
        <item x="47"/>
        <item x="114"/>
        <item x="130"/>
        <item x="145"/>
        <item x="100"/>
        <item x="128"/>
        <item x="104"/>
        <item x="126"/>
        <item x="41"/>
        <item x="132"/>
        <item x="9"/>
        <item x="106"/>
        <item x="113"/>
        <item x="31"/>
        <item x="74"/>
        <item x="84"/>
        <item x="46"/>
        <item x="59"/>
        <item x="88"/>
        <item x="109"/>
        <item x="3"/>
        <item x="36"/>
        <item x="14"/>
        <item x="134"/>
        <item x="136"/>
        <item x="62"/>
        <item x="121"/>
        <item x="29"/>
        <item x="15"/>
        <item x="103"/>
        <item x="76"/>
        <item x="137"/>
        <item x="4"/>
        <item x="83"/>
        <item x="34"/>
        <item x="107"/>
        <item x="69"/>
        <item x="82"/>
        <item x="11"/>
        <item x="44"/>
        <item x="40"/>
        <item x="85"/>
        <item x="1"/>
        <item x="8"/>
        <item x="123"/>
        <item x="71"/>
        <item x="64"/>
        <item x="70"/>
        <item x="67"/>
        <item x="7"/>
        <item x="144"/>
        <item x="122"/>
        <item x="79"/>
        <item x="2"/>
        <item x="115"/>
        <item x="131"/>
        <item x="66"/>
        <item x="112"/>
        <item x="99"/>
        <item x="39"/>
        <item x="28"/>
        <item x="43"/>
        <item x="135"/>
        <item x="45"/>
        <item x="141"/>
        <item x="111"/>
        <item x="53"/>
        <item x="22"/>
        <item x="57"/>
        <item x="33"/>
        <item x="98"/>
        <item x="13"/>
        <item x="12"/>
        <item x="127"/>
        <item x="27"/>
        <item x="21"/>
        <item x="90"/>
        <item x="58"/>
        <item x="68"/>
        <item x="110"/>
        <item x="60"/>
        <item x="81"/>
        <item x="77"/>
        <item x="51"/>
        <item x="72"/>
        <item x="152"/>
        <item x="147"/>
        <item x="97"/>
        <item x="50"/>
        <item x="139"/>
        <item x="91"/>
        <item x="133"/>
        <item x="23"/>
        <item x="125"/>
        <item x="73"/>
        <item x="108"/>
        <item x="38"/>
        <item x="18"/>
        <item x="153"/>
        <item x="5"/>
        <item x="140"/>
        <item x="151"/>
        <item x="116"/>
        <item x="6"/>
        <item x="54"/>
        <item x="154"/>
        <item x="52"/>
        <item x="93"/>
        <item t="default"/>
      </items>
    </pivotField>
    <pivotField showAll="0"/>
    <pivotField showAll="0"/>
    <pivotField showAll="0">
      <items count="154">
        <item x="15"/>
        <item x="143"/>
        <item x="91"/>
        <item x="146"/>
        <item x="43"/>
        <item x="147"/>
        <item x="134"/>
        <item x="63"/>
        <item x="120"/>
        <item x="65"/>
        <item x="61"/>
        <item x="23"/>
        <item x="112"/>
        <item x="49"/>
        <item x="0"/>
        <item x="31"/>
        <item x="72"/>
        <item x="100"/>
        <item x="111"/>
        <item x="55"/>
        <item x="24"/>
        <item x="68"/>
        <item x="16"/>
        <item x="34"/>
        <item x="50"/>
        <item x="135"/>
        <item x="117"/>
        <item x="126"/>
        <item x="97"/>
        <item x="138"/>
        <item x="29"/>
        <item x="128"/>
        <item x="25"/>
        <item x="74"/>
        <item x="96"/>
        <item x="110"/>
        <item x="123"/>
        <item x="124"/>
        <item x="56"/>
        <item x="76"/>
        <item x="101"/>
        <item x="42"/>
        <item x="145"/>
        <item x="30"/>
        <item x="78"/>
        <item x="9"/>
        <item x="36"/>
        <item x="18"/>
        <item x="87"/>
        <item x="84"/>
        <item x="141"/>
        <item x="28"/>
        <item x="99"/>
        <item x="48"/>
        <item x="107"/>
        <item x="3"/>
        <item x="47"/>
        <item x="106"/>
        <item x="35"/>
        <item x="102"/>
        <item x="115"/>
        <item x="59"/>
        <item x="4"/>
        <item x="41"/>
        <item x="83"/>
        <item x="86"/>
        <item x="33"/>
        <item x="62"/>
        <item x="21"/>
        <item x="13"/>
        <item x="82"/>
        <item x="10"/>
        <item x="14"/>
        <item x="45"/>
        <item x="129"/>
        <item x="39"/>
        <item x="137"/>
        <item x="108"/>
        <item x="67"/>
        <item x="114"/>
        <item x="8"/>
        <item x="136"/>
        <item x="1"/>
        <item x="118"/>
        <item x="70"/>
        <item x="64"/>
        <item x="66"/>
        <item x="85"/>
        <item x="113"/>
        <item x="79"/>
        <item x="2"/>
        <item x="7"/>
        <item x="71"/>
        <item x="105"/>
        <item x="127"/>
        <item x="46"/>
        <item x="44"/>
        <item x="54"/>
        <item x="139"/>
        <item x="122"/>
        <item x="40"/>
        <item x="95"/>
        <item x="32"/>
        <item x="27"/>
        <item x="88"/>
        <item x="103"/>
        <item x="26"/>
        <item x="38"/>
        <item x="148"/>
        <item x="57"/>
        <item x="58"/>
        <item x="104"/>
        <item x="11"/>
        <item x="12"/>
        <item x="116"/>
        <item x="130"/>
        <item x="20"/>
        <item x="119"/>
        <item x="121"/>
        <item x="94"/>
        <item x="77"/>
        <item x="69"/>
        <item x="150"/>
        <item x="133"/>
        <item x="19"/>
        <item x="60"/>
        <item x="75"/>
        <item x="81"/>
        <item x="98"/>
        <item x="142"/>
        <item x="144"/>
        <item x="131"/>
        <item x="93"/>
        <item x="140"/>
        <item x="73"/>
        <item x="125"/>
        <item x="5"/>
        <item x="92"/>
        <item x="37"/>
        <item x="52"/>
        <item x="80"/>
        <item x="109"/>
        <item x="51"/>
        <item x="89"/>
        <item x="151"/>
        <item x="17"/>
        <item x="22"/>
        <item x="53"/>
        <item x="149"/>
        <item x="132"/>
        <item x="90"/>
        <item x="6"/>
        <item x="152"/>
        <item t="default"/>
      </items>
    </pivotField>
    <pivotField showAll="0"/>
    <pivotField showAll="0"/>
    <pivotField showAll="0">
      <items count="7">
        <item x="1"/>
        <item x="5"/>
        <item x="0"/>
        <item x="4"/>
        <item x="2"/>
        <item x="3"/>
        <item t="default"/>
      </items>
    </pivotField>
    <pivotField showAll="0">
      <items count="9">
        <item x="2"/>
        <item x="3"/>
        <item m="1" x="7"/>
        <item x="1"/>
        <item x="4"/>
        <item x="0"/>
        <item m="1" x="6"/>
        <item x="5"/>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items count="15">
        <item x="0"/>
        <item x="1"/>
        <item x="2"/>
        <item x="3"/>
        <item x="4"/>
        <item x="5"/>
        <item x="6"/>
        <item x="7"/>
        <item x="8"/>
        <item x="9"/>
        <item x="10"/>
        <item x="11"/>
        <item x="12"/>
        <item x="13"/>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s>
  <rowFields count="1">
    <field x="9"/>
  </rowFields>
  <rowItems count="7">
    <i>
      <x/>
    </i>
    <i>
      <x v="1"/>
    </i>
    <i>
      <x v="2"/>
    </i>
    <i>
      <x v="3"/>
    </i>
    <i>
      <x v="4"/>
    </i>
    <i>
      <x v="5"/>
    </i>
    <i t="grand">
      <x/>
    </i>
  </rowItems>
  <colItems count="1">
    <i/>
  </colItems>
  <dataFields count="1">
    <dataField name="Clients" fld="0" subtotal="count" baseField="0" baseItem="0"/>
  </dataField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9" count="1" selected="0">
            <x v="0"/>
          </reference>
        </references>
      </pivotArea>
    </chartFormat>
    <chartFormat chart="18" format="10">
      <pivotArea type="data" outline="0" fieldPosition="0">
        <references count="2">
          <reference field="4294967294" count="1" selected="0">
            <x v="0"/>
          </reference>
          <reference field="9" count="1" selected="0">
            <x v="1"/>
          </reference>
        </references>
      </pivotArea>
    </chartFormat>
    <chartFormat chart="18" format="11">
      <pivotArea type="data" outline="0" fieldPosition="0">
        <references count="2">
          <reference field="4294967294" count="1" selected="0">
            <x v="0"/>
          </reference>
          <reference field="9" count="1" selected="0">
            <x v="2"/>
          </reference>
        </references>
      </pivotArea>
    </chartFormat>
    <chartFormat chart="18" format="12">
      <pivotArea type="data" outline="0" fieldPosition="0">
        <references count="2">
          <reference field="4294967294" count="1" selected="0">
            <x v="0"/>
          </reference>
          <reference field="9" count="1" selected="0">
            <x v="3"/>
          </reference>
        </references>
      </pivotArea>
    </chartFormat>
    <chartFormat chart="18" format="13">
      <pivotArea type="data" outline="0" fieldPosition="0">
        <references count="2">
          <reference field="4294967294" count="1" selected="0">
            <x v="0"/>
          </reference>
          <reference field="9" count="1" selected="0">
            <x v="4"/>
          </reference>
        </references>
      </pivotArea>
    </chartFormat>
    <chartFormat chart="18" format="14">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98CD407-06E5-FD4A-B58B-A68E45500858}" name="Total Clients" cacheId="1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8">
    <pivotField dataField="1" showAll="0"/>
    <pivotField numFmtId="14" showAll="0"/>
    <pivotField showAll="0"/>
    <pivotField showAll="0"/>
    <pivotField showAll="0">
      <items count="4">
        <item x="0"/>
        <item x="1"/>
        <item x="2"/>
        <item t="default"/>
      </items>
    </pivotField>
    <pivotField showAll="0"/>
    <pivotField showAll="0"/>
    <pivotField showAll="0"/>
    <pivotField showAll="0"/>
    <pivotField showAll="0">
      <items count="7">
        <item x="2"/>
        <item x="5"/>
        <item x="0"/>
        <item x="1"/>
        <item x="4"/>
        <item x="3"/>
        <item t="default"/>
      </items>
    </pivotField>
    <pivotField numFmtId="14" showAll="0">
      <items count="167">
        <item x="130"/>
        <item x="85"/>
        <item x="149"/>
        <item x="64"/>
        <item x="52"/>
        <item x="120"/>
        <item x="47"/>
        <item x="98"/>
        <item x="67"/>
        <item x="0"/>
        <item x="18"/>
        <item x="106"/>
        <item x="74"/>
        <item x="36"/>
        <item x="53"/>
        <item x="161"/>
        <item x="33"/>
        <item x="116"/>
        <item x="26"/>
        <item x="92"/>
        <item x="118"/>
        <item x="69"/>
        <item x="89"/>
        <item x="28"/>
        <item x="156"/>
        <item x="93"/>
        <item x="27"/>
        <item x="21"/>
        <item x="99"/>
        <item x="24"/>
        <item x="109"/>
        <item x="59"/>
        <item x="160"/>
        <item x="77"/>
        <item x="139"/>
        <item x="117"/>
        <item x="10"/>
        <item x="119"/>
        <item x="151"/>
        <item x="141"/>
        <item x="40"/>
        <item x="152"/>
        <item x="78"/>
        <item x="103"/>
        <item x="80"/>
        <item x="125"/>
        <item x="20"/>
        <item x="105"/>
        <item x="129"/>
        <item x="38"/>
        <item x="51"/>
        <item x="143"/>
        <item x="87"/>
        <item x="83"/>
        <item x="62"/>
        <item x="46"/>
        <item x="131"/>
        <item x="32"/>
        <item x="134"/>
        <item x="9"/>
        <item x="14"/>
        <item x="97"/>
        <item x="135"/>
        <item x="113"/>
        <item x="84"/>
        <item x="3"/>
        <item x="144"/>
        <item x="37"/>
        <item x="101"/>
        <item x="15"/>
        <item x="104"/>
        <item x="157"/>
        <item x="71"/>
        <item x="76"/>
        <item x="136"/>
        <item x="138"/>
        <item x="142"/>
        <item x="49"/>
        <item x="45"/>
        <item x="65"/>
        <item x="102"/>
        <item x="121"/>
        <item x="86"/>
        <item x="4"/>
        <item x="107"/>
        <item x="35"/>
        <item x="123"/>
        <item x="11"/>
        <item x="66"/>
        <item x="150"/>
        <item x="114"/>
        <item x="90"/>
        <item x="72"/>
        <item x="153"/>
        <item x="73"/>
        <item x="1"/>
        <item x="43"/>
        <item x="8"/>
        <item x="2"/>
        <item x="7"/>
        <item x="126"/>
        <item x="79"/>
        <item x="68"/>
        <item x="147"/>
        <item x="30"/>
        <item x="122"/>
        <item x="96"/>
        <item x="42"/>
        <item x="133"/>
        <item x="48"/>
        <item x="148"/>
        <item x="112"/>
        <item x="140"/>
        <item x="13"/>
        <item x="127"/>
        <item x="34"/>
        <item x="57"/>
        <item x="132"/>
        <item x="60"/>
        <item x="95"/>
        <item x="111"/>
        <item x="50"/>
        <item x="12"/>
        <item x="22"/>
        <item x="23"/>
        <item x="17"/>
        <item x="44"/>
        <item x="75"/>
        <item x="70"/>
        <item x="155"/>
        <item x="128"/>
        <item x="63"/>
        <item x="124"/>
        <item x="29"/>
        <item x="100"/>
        <item x="61"/>
        <item x="55"/>
        <item x="41"/>
        <item x="54"/>
        <item x="81"/>
        <item x="110"/>
        <item x="94"/>
        <item x="154"/>
        <item x="158"/>
        <item x="163"/>
        <item x="82"/>
        <item x="145"/>
        <item x="5"/>
        <item x="108"/>
        <item x="159"/>
        <item x="88"/>
        <item x="164"/>
        <item x="137"/>
        <item x="146"/>
        <item x="19"/>
        <item x="58"/>
        <item x="165"/>
        <item x="6"/>
        <item x="25"/>
        <item x="39"/>
        <item x="162"/>
        <item x="115"/>
        <item x="56"/>
        <item x="31"/>
        <item x="91"/>
        <item x="16"/>
        <item t="default"/>
      </items>
    </pivotField>
    <pivotField showAll="0"/>
    <pivotField showAll="0"/>
    <pivotField showAll="0">
      <items count="156">
        <item x="16"/>
        <item x="129"/>
        <item x="142"/>
        <item x="146"/>
        <item x="96"/>
        <item x="42"/>
        <item x="105"/>
        <item x="149"/>
        <item x="32"/>
        <item x="65"/>
        <item x="150"/>
        <item x="61"/>
        <item x="0"/>
        <item x="63"/>
        <item x="55"/>
        <item x="87"/>
        <item x="24"/>
        <item x="92"/>
        <item x="48"/>
        <item x="94"/>
        <item x="25"/>
        <item x="117"/>
        <item x="20"/>
        <item x="119"/>
        <item x="17"/>
        <item x="124"/>
        <item x="35"/>
        <item x="49"/>
        <item x="26"/>
        <item x="95"/>
        <item x="75"/>
        <item x="30"/>
        <item x="143"/>
        <item x="56"/>
        <item x="78"/>
        <item x="101"/>
        <item x="120"/>
        <item x="148"/>
        <item x="86"/>
        <item x="118"/>
        <item x="102"/>
        <item x="80"/>
        <item x="89"/>
        <item x="37"/>
        <item x="19"/>
        <item x="138"/>
        <item x="10"/>
        <item x="47"/>
        <item x="114"/>
        <item x="130"/>
        <item x="145"/>
        <item x="100"/>
        <item x="128"/>
        <item x="104"/>
        <item x="126"/>
        <item x="41"/>
        <item x="132"/>
        <item x="9"/>
        <item x="106"/>
        <item x="113"/>
        <item x="31"/>
        <item x="74"/>
        <item x="84"/>
        <item x="46"/>
        <item x="59"/>
        <item x="88"/>
        <item x="109"/>
        <item x="3"/>
        <item x="36"/>
        <item x="14"/>
        <item x="134"/>
        <item x="136"/>
        <item x="62"/>
        <item x="121"/>
        <item x="29"/>
        <item x="15"/>
        <item x="103"/>
        <item x="76"/>
        <item x="137"/>
        <item x="4"/>
        <item x="83"/>
        <item x="34"/>
        <item x="107"/>
        <item x="69"/>
        <item x="82"/>
        <item x="11"/>
        <item x="44"/>
        <item x="40"/>
        <item x="85"/>
        <item x="1"/>
        <item x="8"/>
        <item x="123"/>
        <item x="71"/>
        <item x="64"/>
        <item x="70"/>
        <item x="67"/>
        <item x="7"/>
        <item x="144"/>
        <item x="122"/>
        <item x="79"/>
        <item x="2"/>
        <item x="115"/>
        <item x="131"/>
        <item x="66"/>
        <item x="112"/>
        <item x="99"/>
        <item x="39"/>
        <item x="28"/>
        <item x="43"/>
        <item x="135"/>
        <item x="45"/>
        <item x="141"/>
        <item x="111"/>
        <item x="53"/>
        <item x="22"/>
        <item x="57"/>
        <item x="33"/>
        <item x="98"/>
        <item x="13"/>
        <item x="12"/>
        <item x="127"/>
        <item x="27"/>
        <item x="21"/>
        <item x="90"/>
        <item x="58"/>
        <item x="68"/>
        <item x="110"/>
        <item x="60"/>
        <item x="81"/>
        <item x="77"/>
        <item x="51"/>
        <item x="72"/>
        <item x="152"/>
        <item x="147"/>
        <item x="97"/>
        <item x="50"/>
        <item x="139"/>
        <item x="91"/>
        <item x="133"/>
        <item x="23"/>
        <item x="125"/>
        <item x="73"/>
        <item x="108"/>
        <item x="38"/>
        <item x="18"/>
        <item x="153"/>
        <item x="5"/>
        <item x="140"/>
        <item x="151"/>
        <item x="116"/>
        <item x="6"/>
        <item x="54"/>
        <item x="154"/>
        <item x="52"/>
        <item x="93"/>
        <item t="default"/>
      </items>
    </pivotField>
    <pivotField showAll="0"/>
    <pivotField showAll="0"/>
    <pivotField showAll="0">
      <items count="154">
        <item x="15"/>
        <item x="143"/>
        <item x="91"/>
        <item x="146"/>
        <item x="43"/>
        <item x="147"/>
        <item x="134"/>
        <item x="63"/>
        <item x="120"/>
        <item x="65"/>
        <item x="61"/>
        <item x="23"/>
        <item x="112"/>
        <item x="49"/>
        <item x="0"/>
        <item x="31"/>
        <item x="72"/>
        <item x="100"/>
        <item x="111"/>
        <item x="55"/>
        <item x="24"/>
        <item x="68"/>
        <item x="16"/>
        <item x="34"/>
        <item x="50"/>
        <item x="135"/>
        <item x="117"/>
        <item x="126"/>
        <item x="97"/>
        <item x="138"/>
        <item x="29"/>
        <item x="128"/>
        <item x="25"/>
        <item x="74"/>
        <item x="96"/>
        <item x="110"/>
        <item x="123"/>
        <item x="124"/>
        <item x="56"/>
        <item x="76"/>
        <item x="101"/>
        <item x="42"/>
        <item x="145"/>
        <item x="30"/>
        <item x="78"/>
        <item x="9"/>
        <item x="36"/>
        <item x="18"/>
        <item x="87"/>
        <item x="84"/>
        <item x="141"/>
        <item x="28"/>
        <item x="99"/>
        <item x="48"/>
        <item x="107"/>
        <item x="3"/>
        <item x="47"/>
        <item x="106"/>
        <item x="35"/>
        <item x="102"/>
        <item x="115"/>
        <item x="59"/>
        <item x="4"/>
        <item x="41"/>
        <item x="83"/>
        <item x="86"/>
        <item x="33"/>
        <item x="62"/>
        <item x="21"/>
        <item x="13"/>
        <item x="82"/>
        <item x="10"/>
        <item x="14"/>
        <item x="45"/>
        <item x="129"/>
        <item x="39"/>
        <item x="137"/>
        <item x="108"/>
        <item x="67"/>
        <item x="114"/>
        <item x="8"/>
        <item x="136"/>
        <item x="1"/>
        <item x="118"/>
        <item x="70"/>
        <item x="64"/>
        <item x="66"/>
        <item x="85"/>
        <item x="113"/>
        <item x="79"/>
        <item x="2"/>
        <item x="7"/>
        <item x="71"/>
        <item x="105"/>
        <item x="127"/>
        <item x="46"/>
        <item x="44"/>
        <item x="54"/>
        <item x="139"/>
        <item x="122"/>
        <item x="40"/>
        <item x="95"/>
        <item x="32"/>
        <item x="27"/>
        <item x="88"/>
        <item x="103"/>
        <item x="26"/>
        <item x="38"/>
        <item x="148"/>
        <item x="57"/>
        <item x="58"/>
        <item x="104"/>
        <item x="11"/>
        <item x="12"/>
        <item x="116"/>
        <item x="130"/>
        <item x="20"/>
        <item x="119"/>
        <item x="121"/>
        <item x="94"/>
        <item x="77"/>
        <item x="69"/>
        <item x="150"/>
        <item x="133"/>
        <item x="19"/>
        <item x="60"/>
        <item x="75"/>
        <item x="81"/>
        <item x="98"/>
        <item x="142"/>
        <item x="144"/>
        <item x="131"/>
        <item x="93"/>
        <item x="140"/>
        <item x="73"/>
        <item x="125"/>
        <item x="5"/>
        <item x="92"/>
        <item x="37"/>
        <item x="52"/>
        <item x="80"/>
        <item x="109"/>
        <item x="51"/>
        <item x="89"/>
        <item x="151"/>
        <item x="17"/>
        <item x="22"/>
        <item x="53"/>
        <item x="149"/>
        <item x="132"/>
        <item x="90"/>
        <item x="6"/>
        <item x="152"/>
        <item t="default"/>
      </items>
    </pivotField>
    <pivotField showAll="0"/>
    <pivotField showAll="0"/>
    <pivotField showAll="0">
      <items count="7">
        <item x="1"/>
        <item x="5"/>
        <item x="0"/>
        <item x="4"/>
        <item x="2"/>
        <item x="3"/>
        <item t="default"/>
      </items>
    </pivotField>
    <pivotField showAll="0">
      <items count="9">
        <item x="2"/>
        <item x="3"/>
        <item m="1" x="7"/>
        <item x="1"/>
        <item x="4"/>
        <item x="0"/>
        <item m="1" x="6"/>
        <item x="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items count="15">
        <item x="0"/>
        <item x="1"/>
        <item x="2"/>
        <item x="3"/>
        <item x="4"/>
        <item x="5"/>
        <item x="6"/>
        <item x="7"/>
        <item x="8"/>
        <item x="9"/>
        <item x="10"/>
        <item x="11"/>
        <item x="12"/>
        <item x="13"/>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s>
  <rowItems count="1">
    <i/>
  </rowItems>
  <colItems count="1">
    <i/>
  </colItems>
  <dataFields count="1">
    <dataField name="Count of Clien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94CDCF4-5F61-D841-A68F-07AF278E9592}" name="PivotTable20" cacheId="1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rowHeaderCaption="Nationality">
  <location ref="Q4:R19" firstHeaderRow="1" firstDataRow="1" firstDataCol="1"/>
  <pivotFields count="28">
    <pivotField dataField="1" showAll="0"/>
    <pivotField numFmtId="14" showAll="0"/>
    <pivotField showAll="0"/>
    <pivotField showAll="0"/>
    <pivotField showAll="0">
      <items count="4">
        <item x="0"/>
        <item x="1"/>
        <item x="2"/>
        <item t="default"/>
      </items>
    </pivotField>
    <pivotField axis="axisRow" showAll="0" sortType="descending">
      <items count="15">
        <item x="5"/>
        <item x="6"/>
        <item x="10"/>
        <item x="0"/>
        <item x="3"/>
        <item x="7"/>
        <item x="8"/>
        <item x="9"/>
        <item x="4"/>
        <item x="2"/>
        <item x="13"/>
        <item x="12"/>
        <item x="11"/>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7">
        <item x="2"/>
        <item x="5"/>
        <item x="0"/>
        <item x="1"/>
        <item x="4"/>
        <item x="3"/>
        <item t="default"/>
      </items>
    </pivotField>
    <pivotField numFmtId="14" showAll="0" sortType="ascending">
      <items count="167">
        <item x="130"/>
        <item x="85"/>
        <item x="149"/>
        <item x="64"/>
        <item x="52"/>
        <item x="120"/>
        <item x="47"/>
        <item x="98"/>
        <item x="67"/>
        <item x="0"/>
        <item x="18"/>
        <item x="106"/>
        <item x="74"/>
        <item x="36"/>
        <item x="53"/>
        <item x="161"/>
        <item x="33"/>
        <item x="116"/>
        <item x="26"/>
        <item x="92"/>
        <item x="118"/>
        <item x="69"/>
        <item x="89"/>
        <item x="28"/>
        <item x="156"/>
        <item x="93"/>
        <item x="27"/>
        <item x="21"/>
        <item x="99"/>
        <item x="24"/>
        <item x="109"/>
        <item x="59"/>
        <item x="160"/>
        <item x="77"/>
        <item x="139"/>
        <item x="117"/>
        <item x="10"/>
        <item x="119"/>
        <item x="151"/>
        <item x="141"/>
        <item x="40"/>
        <item x="152"/>
        <item x="78"/>
        <item x="103"/>
        <item x="80"/>
        <item x="125"/>
        <item x="20"/>
        <item x="105"/>
        <item x="129"/>
        <item x="38"/>
        <item x="51"/>
        <item x="143"/>
        <item x="87"/>
        <item x="83"/>
        <item x="62"/>
        <item x="46"/>
        <item x="131"/>
        <item x="32"/>
        <item x="134"/>
        <item x="9"/>
        <item x="14"/>
        <item x="97"/>
        <item x="135"/>
        <item x="113"/>
        <item x="84"/>
        <item x="3"/>
        <item x="144"/>
        <item x="37"/>
        <item x="101"/>
        <item x="15"/>
        <item x="104"/>
        <item x="157"/>
        <item x="71"/>
        <item x="76"/>
        <item x="136"/>
        <item x="138"/>
        <item x="142"/>
        <item x="49"/>
        <item x="45"/>
        <item x="65"/>
        <item x="102"/>
        <item x="121"/>
        <item x="86"/>
        <item x="4"/>
        <item x="107"/>
        <item x="35"/>
        <item x="123"/>
        <item x="11"/>
        <item x="66"/>
        <item x="150"/>
        <item x="114"/>
        <item x="90"/>
        <item x="72"/>
        <item x="153"/>
        <item x="73"/>
        <item x="1"/>
        <item x="43"/>
        <item x="8"/>
        <item x="2"/>
        <item x="7"/>
        <item x="126"/>
        <item x="79"/>
        <item x="68"/>
        <item x="147"/>
        <item x="30"/>
        <item x="122"/>
        <item x="96"/>
        <item x="42"/>
        <item x="133"/>
        <item x="48"/>
        <item x="148"/>
        <item x="112"/>
        <item x="140"/>
        <item x="13"/>
        <item x="127"/>
        <item x="34"/>
        <item x="57"/>
        <item x="132"/>
        <item x="60"/>
        <item x="95"/>
        <item x="111"/>
        <item x="50"/>
        <item x="12"/>
        <item x="22"/>
        <item x="23"/>
        <item x="17"/>
        <item x="44"/>
        <item x="75"/>
        <item x="70"/>
        <item x="155"/>
        <item x="128"/>
        <item x="63"/>
        <item x="124"/>
        <item x="29"/>
        <item x="100"/>
        <item x="61"/>
        <item x="55"/>
        <item x="41"/>
        <item x="54"/>
        <item x="81"/>
        <item x="110"/>
        <item x="94"/>
        <item x="154"/>
        <item x="158"/>
        <item x="163"/>
        <item x="82"/>
        <item x="145"/>
        <item x="5"/>
        <item x="108"/>
        <item x="159"/>
        <item x="88"/>
        <item x="164"/>
        <item x="137"/>
        <item x="146"/>
        <item x="19"/>
        <item x="58"/>
        <item x="165"/>
        <item x="6"/>
        <item x="25"/>
        <item x="39"/>
        <item x="162"/>
        <item x="115"/>
        <item x="56"/>
        <item x="31"/>
        <item x="91"/>
        <item x="16"/>
        <item t="default"/>
      </items>
    </pivotField>
    <pivotField showAll="0"/>
    <pivotField showAll="0"/>
    <pivotField showAll="0">
      <items count="156">
        <item x="16"/>
        <item x="129"/>
        <item x="142"/>
        <item x="146"/>
        <item x="96"/>
        <item x="42"/>
        <item x="105"/>
        <item x="149"/>
        <item x="32"/>
        <item x="65"/>
        <item x="150"/>
        <item x="61"/>
        <item x="0"/>
        <item x="63"/>
        <item x="55"/>
        <item x="87"/>
        <item x="24"/>
        <item x="92"/>
        <item x="48"/>
        <item x="94"/>
        <item x="25"/>
        <item x="117"/>
        <item x="20"/>
        <item x="119"/>
        <item x="17"/>
        <item x="124"/>
        <item x="35"/>
        <item x="49"/>
        <item x="26"/>
        <item x="95"/>
        <item x="75"/>
        <item x="30"/>
        <item x="143"/>
        <item x="56"/>
        <item x="78"/>
        <item x="101"/>
        <item x="120"/>
        <item x="148"/>
        <item x="86"/>
        <item x="118"/>
        <item x="102"/>
        <item x="80"/>
        <item x="89"/>
        <item x="37"/>
        <item x="19"/>
        <item x="138"/>
        <item x="10"/>
        <item x="47"/>
        <item x="114"/>
        <item x="130"/>
        <item x="145"/>
        <item x="100"/>
        <item x="128"/>
        <item x="104"/>
        <item x="126"/>
        <item x="41"/>
        <item x="132"/>
        <item x="9"/>
        <item x="106"/>
        <item x="113"/>
        <item x="31"/>
        <item x="74"/>
        <item x="84"/>
        <item x="46"/>
        <item x="59"/>
        <item x="88"/>
        <item x="109"/>
        <item x="3"/>
        <item x="36"/>
        <item x="14"/>
        <item x="134"/>
        <item x="136"/>
        <item x="62"/>
        <item x="121"/>
        <item x="29"/>
        <item x="15"/>
        <item x="103"/>
        <item x="76"/>
        <item x="137"/>
        <item x="4"/>
        <item x="83"/>
        <item x="34"/>
        <item x="107"/>
        <item x="69"/>
        <item x="82"/>
        <item x="11"/>
        <item x="44"/>
        <item x="40"/>
        <item x="85"/>
        <item x="1"/>
        <item x="8"/>
        <item x="123"/>
        <item x="71"/>
        <item x="64"/>
        <item x="70"/>
        <item x="67"/>
        <item x="7"/>
        <item x="144"/>
        <item x="122"/>
        <item x="79"/>
        <item x="2"/>
        <item x="115"/>
        <item x="131"/>
        <item x="66"/>
        <item x="112"/>
        <item x="99"/>
        <item x="39"/>
        <item x="28"/>
        <item x="43"/>
        <item x="135"/>
        <item x="45"/>
        <item x="141"/>
        <item x="111"/>
        <item x="53"/>
        <item x="22"/>
        <item x="57"/>
        <item x="33"/>
        <item x="98"/>
        <item x="13"/>
        <item x="12"/>
        <item x="127"/>
        <item x="27"/>
        <item x="21"/>
        <item x="90"/>
        <item x="58"/>
        <item x="68"/>
        <item x="110"/>
        <item x="60"/>
        <item x="81"/>
        <item x="77"/>
        <item x="51"/>
        <item x="72"/>
        <item x="152"/>
        <item x="147"/>
        <item x="97"/>
        <item x="50"/>
        <item x="139"/>
        <item x="91"/>
        <item x="133"/>
        <item x="23"/>
        <item x="125"/>
        <item x="73"/>
        <item x="108"/>
        <item x="38"/>
        <item x="18"/>
        <item x="153"/>
        <item x="5"/>
        <item x="140"/>
        <item x="151"/>
        <item x="116"/>
        <item x="6"/>
        <item x="54"/>
        <item x="154"/>
        <item x="52"/>
        <item x="93"/>
        <item t="default"/>
      </items>
    </pivotField>
    <pivotField showAll="0"/>
    <pivotField showAll="0"/>
    <pivotField showAll="0">
      <items count="154">
        <item x="15"/>
        <item x="143"/>
        <item x="91"/>
        <item x="146"/>
        <item x="43"/>
        <item x="147"/>
        <item x="134"/>
        <item x="63"/>
        <item x="120"/>
        <item x="65"/>
        <item x="61"/>
        <item x="23"/>
        <item x="112"/>
        <item x="49"/>
        <item x="0"/>
        <item x="31"/>
        <item x="72"/>
        <item x="100"/>
        <item x="111"/>
        <item x="55"/>
        <item x="24"/>
        <item x="68"/>
        <item x="16"/>
        <item x="34"/>
        <item x="50"/>
        <item x="135"/>
        <item x="117"/>
        <item x="126"/>
        <item x="97"/>
        <item x="138"/>
        <item x="29"/>
        <item x="128"/>
        <item x="25"/>
        <item x="74"/>
        <item x="96"/>
        <item x="110"/>
        <item x="123"/>
        <item x="124"/>
        <item x="56"/>
        <item x="76"/>
        <item x="101"/>
        <item x="42"/>
        <item x="145"/>
        <item x="30"/>
        <item x="78"/>
        <item x="9"/>
        <item x="36"/>
        <item x="18"/>
        <item x="87"/>
        <item x="84"/>
        <item x="141"/>
        <item x="28"/>
        <item x="99"/>
        <item x="48"/>
        <item x="107"/>
        <item x="3"/>
        <item x="47"/>
        <item x="106"/>
        <item x="35"/>
        <item x="102"/>
        <item x="115"/>
        <item x="59"/>
        <item x="4"/>
        <item x="41"/>
        <item x="83"/>
        <item x="86"/>
        <item x="33"/>
        <item x="62"/>
        <item x="21"/>
        <item x="13"/>
        <item x="82"/>
        <item x="10"/>
        <item x="14"/>
        <item x="45"/>
        <item x="129"/>
        <item x="39"/>
        <item x="137"/>
        <item x="108"/>
        <item x="67"/>
        <item x="114"/>
        <item x="8"/>
        <item x="136"/>
        <item x="1"/>
        <item x="118"/>
        <item x="70"/>
        <item x="64"/>
        <item x="66"/>
        <item x="85"/>
        <item x="113"/>
        <item x="79"/>
        <item x="2"/>
        <item x="7"/>
        <item x="71"/>
        <item x="105"/>
        <item x="127"/>
        <item x="46"/>
        <item x="44"/>
        <item x="54"/>
        <item x="139"/>
        <item x="122"/>
        <item x="40"/>
        <item x="95"/>
        <item x="32"/>
        <item x="27"/>
        <item x="88"/>
        <item x="103"/>
        <item x="26"/>
        <item x="38"/>
        <item x="148"/>
        <item x="57"/>
        <item x="58"/>
        <item x="104"/>
        <item x="11"/>
        <item x="12"/>
        <item x="116"/>
        <item x="130"/>
        <item x="20"/>
        <item x="119"/>
        <item x="121"/>
        <item x="94"/>
        <item x="77"/>
        <item x="69"/>
        <item x="150"/>
        <item x="133"/>
        <item x="19"/>
        <item x="60"/>
        <item x="75"/>
        <item x="81"/>
        <item x="98"/>
        <item x="142"/>
        <item x="144"/>
        <item x="131"/>
        <item x="93"/>
        <item x="140"/>
        <item x="73"/>
        <item x="125"/>
        <item x="5"/>
        <item x="92"/>
        <item x="37"/>
        <item x="52"/>
        <item x="80"/>
        <item x="109"/>
        <item x="51"/>
        <item x="89"/>
        <item x="151"/>
        <item x="17"/>
        <item x="22"/>
        <item x="53"/>
        <item x="149"/>
        <item x="132"/>
        <item x="90"/>
        <item x="6"/>
        <item x="152"/>
        <item t="default"/>
      </items>
    </pivotField>
    <pivotField showAll="0"/>
    <pivotField showAll="0"/>
    <pivotField showAll="0">
      <items count="7">
        <item x="1"/>
        <item x="5"/>
        <item x="0"/>
        <item x="4"/>
        <item x="2"/>
        <item x="3"/>
        <item t="default"/>
      </items>
    </pivotField>
    <pivotField showAll="0">
      <items count="9">
        <item x="2"/>
        <item x="3"/>
        <item m="1" x="7"/>
        <item x="1"/>
        <item x="4"/>
        <item x="0"/>
        <item m="1" x="6"/>
        <item x="5"/>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items count="15">
        <item x="0"/>
        <item x="1"/>
        <item x="2"/>
        <item x="3"/>
        <item x="4"/>
        <item x="5"/>
        <item x="6"/>
        <item x="7"/>
        <item x="8"/>
        <item x="9"/>
        <item x="10"/>
        <item x="11"/>
        <item x="12"/>
        <item x="13"/>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s>
  <rowFields count="1">
    <field x="5"/>
  </rowFields>
  <rowItems count="15">
    <i>
      <x v="13"/>
    </i>
    <i>
      <x v="4"/>
    </i>
    <i>
      <x v="9"/>
    </i>
    <i>
      <x v="8"/>
    </i>
    <i>
      <x v="3"/>
    </i>
    <i>
      <x v="7"/>
    </i>
    <i>
      <x v="2"/>
    </i>
    <i>
      <x v="5"/>
    </i>
    <i>
      <x/>
    </i>
    <i>
      <x v="12"/>
    </i>
    <i>
      <x v="11"/>
    </i>
    <i>
      <x v="1"/>
    </i>
    <i>
      <x v="10"/>
    </i>
    <i>
      <x v="6"/>
    </i>
    <i t="grand">
      <x/>
    </i>
  </rowItems>
  <colItems count="1">
    <i/>
  </colItems>
  <dataFields count="1">
    <dataField name="Count" fld="0" subtotal="count" baseField="0" baseItem="0"/>
  </dataFields>
  <formats count="1">
    <format dxfId="136">
      <pivotArea outline="0" collapsedLevelsAreSubtotals="1" fieldPosition="0"/>
    </format>
  </formats>
  <chartFormats count="2">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D62E617-9CC2-A04F-80D7-4BFE769558AB}" name="PivotTable15" cacheId="1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4:F38" firstHeaderRow="1" firstDataRow="1" firstDataCol="1"/>
  <pivotFields count="28">
    <pivotField showAll="0"/>
    <pivotField numFmtId="14" showAll="0"/>
    <pivotField dataField="1" showAll="0"/>
    <pivotField showAll="0"/>
    <pivotField axis="axisRow" showAll="0">
      <items count="4">
        <item x="0"/>
        <item x="1"/>
        <item x="2"/>
        <item t="default"/>
      </items>
    </pivotField>
    <pivotField showAll="0"/>
    <pivotField showAll="0"/>
    <pivotField showAll="0"/>
    <pivotField showAll="0"/>
    <pivotField showAll="0">
      <items count="7">
        <item x="2"/>
        <item x="5"/>
        <item x="0"/>
        <item x="1"/>
        <item x="4"/>
        <item x="3"/>
        <item t="default"/>
      </items>
    </pivotField>
    <pivotField numFmtId="14" showAll="0">
      <items count="167">
        <item x="130"/>
        <item x="85"/>
        <item x="149"/>
        <item x="64"/>
        <item x="52"/>
        <item x="120"/>
        <item x="47"/>
        <item x="98"/>
        <item x="67"/>
        <item x="0"/>
        <item x="18"/>
        <item x="106"/>
        <item x="74"/>
        <item x="36"/>
        <item x="53"/>
        <item x="161"/>
        <item x="33"/>
        <item x="116"/>
        <item x="26"/>
        <item x="92"/>
        <item x="118"/>
        <item x="69"/>
        <item x="89"/>
        <item x="28"/>
        <item x="156"/>
        <item x="93"/>
        <item x="27"/>
        <item x="21"/>
        <item x="99"/>
        <item x="24"/>
        <item x="109"/>
        <item x="59"/>
        <item x="160"/>
        <item x="77"/>
        <item x="139"/>
        <item x="117"/>
        <item x="10"/>
        <item x="119"/>
        <item x="151"/>
        <item x="141"/>
        <item x="40"/>
        <item x="152"/>
        <item x="78"/>
        <item x="103"/>
        <item x="80"/>
        <item x="125"/>
        <item x="20"/>
        <item x="105"/>
        <item x="129"/>
        <item x="38"/>
        <item x="51"/>
        <item x="143"/>
        <item x="87"/>
        <item x="83"/>
        <item x="62"/>
        <item x="46"/>
        <item x="131"/>
        <item x="32"/>
        <item x="134"/>
        <item x="9"/>
        <item x="14"/>
        <item x="97"/>
        <item x="135"/>
        <item x="113"/>
        <item x="84"/>
        <item x="3"/>
        <item x="144"/>
        <item x="37"/>
        <item x="101"/>
        <item x="15"/>
        <item x="104"/>
        <item x="157"/>
        <item x="71"/>
        <item x="76"/>
        <item x="136"/>
        <item x="138"/>
        <item x="142"/>
        <item x="49"/>
        <item x="45"/>
        <item x="65"/>
        <item x="102"/>
        <item x="121"/>
        <item x="86"/>
        <item x="4"/>
        <item x="107"/>
        <item x="35"/>
        <item x="123"/>
        <item x="11"/>
        <item x="66"/>
        <item x="150"/>
        <item x="114"/>
        <item x="90"/>
        <item x="72"/>
        <item x="153"/>
        <item x="73"/>
        <item x="1"/>
        <item x="43"/>
        <item x="8"/>
        <item x="2"/>
        <item x="7"/>
        <item x="126"/>
        <item x="79"/>
        <item x="68"/>
        <item x="147"/>
        <item x="30"/>
        <item x="122"/>
        <item x="96"/>
        <item x="42"/>
        <item x="133"/>
        <item x="48"/>
        <item x="148"/>
        <item x="112"/>
        <item x="140"/>
        <item x="13"/>
        <item x="127"/>
        <item x="34"/>
        <item x="57"/>
        <item x="132"/>
        <item x="60"/>
        <item x="95"/>
        <item x="111"/>
        <item x="50"/>
        <item x="12"/>
        <item x="22"/>
        <item x="23"/>
        <item x="17"/>
        <item x="44"/>
        <item x="75"/>
        <item x="70"/>
        <item x="155"/>
        <item x="128"/>
        <item x="63"/>
        <item x="124"/>
        <item x="29"/>
        <item x="100"/>
        <item x="61"/>
        <item x="55"/>
        <item x="41"/>
        <item x="54"/>
        <item x="81"/>
        <item x="110"/>
        <item x="94"/>
        <item x="154"/>
        <item x="158"/>
        <item x="163"/>
        <item x="82"/>
        <item x="145"/>
        <item x="5"/>
        <item x="108"/>
        <item x="159"/>
        <item x="88"/>
        <item x="164"/>
        <item x="137"/>
        <item x="146"/>
        <item x="19"/>
        <item x="58"/>
        <item x="165"/>
        <item x="6"/>
        <item x="25"/>
        <item x="39"/>
        <item x="162"/>
        <item x="115"/>
        <item x="56"/>
        <item x="31"/>
        <item x="91"/>
        <item x="16"/>
        <item t="default"/>
      </items>
    </pivotField>
    <pivotField showAll="0"/>
    <pivotField showAll="0"/>
    <pivotField showAll="0">
      <items count="156">
        <item x="16"/>
        <item x="129"/>
        <item x="142"/>
        <item x="146"/>
        <item x="96"/>
        <item x="42"/>
        <item x="105"/>
        <item x="149"/>
        <item x="32"/>
        <item x="65"/>
        <item x="150"/>
        <item x="61"/>
        <item x="0"/>
        <item x="63"/>
        <item x="55"/>
        <item x="87"/>
        <item x="24"/>
        <item x="92"/>
        <item x="48"/>
        <item x="94"/>
        <item x="25"/>
        <item x="117"/>
        <item x="20"/>
        <item x="119"/>
        <item x="17"/>
        <item x="124"/>
        <item x="35"/>
        <item x="49"/>
        <item x="26"/>
        <item x="95"/>
        <item x="75"/>
        <item x="30"/>
        <item x="143"/>
        <item x="56"/>
        <item x="78"/>
        <item x="101"/>
        <item x="120"/>
        <item x="148"/>
        <item x="86"/>
        <item x="118"/>
        <item x="102"/>
        <item x="80"/>
        <item x="89"/>
        <item x="37"/>
        <item x="19"/>
        <item x="138"/>
        <item x="10"/>
        <item x="47"/>
        <item x="114"/>
        <item x="130"/>
        <item x="145"/>
        <item x="100"/>
        <item x="128"/>
        <item x="104"/>
        <item x="126"/>
        <item x="41"/>
        <item x="132"/>
        <item x="9"/>
        <item x="106"/>
        <item x="113"/>
        <item x="31"/>
        <item x="74"/>
        <item x="84"/>
        <item x="46"/>
        <item x="59"/>
        <item x="88"/>
        <item x="109"/>
        <item x="3"/>
        <item x="36"/>
        <item x="14"/>
        <item x="134"/>
        <item x="136"/>
        <item x="62"/>
        <item x="121"/>
        <item x="29"/>
        <item x="15"/>
        <item x="103"/>
        <item x="76"/>
        <item x="137"/>
        <item x="4"/>
        <item x="83"/>
        <item x="34"/>
        <item x="107"/>
        <item x="69"/>
        <item x="82"/>
        <item x="11"/>
        <item x="44"/>
        <item x="40"/>
        <item x="85"/>
        <item x="1"/>
        <item x="8"/>
        <item x="123"/>
        <item x="71"/>
        <item x="64"/>
        <item x="70"/>
        <item x="67"/>
        <item x="7"/>
        <item x="144"/>
        <item x="122"/>
        <item x="79"/>
        <item x="2"/>
        <item x="115"/>
        <item x="131"/>
        <item x="66"/>
        <item x="112"/>
        <item x="99"/>
        <item x="39"/>
        <item x="28"/>
        <item x="43"/>
        <item x="135"/>
        <item x="45"/>
        <item x="141"/>
        <item x="111"/>
        <item x="53"/>
        <item x="22"/>
        <item x="57"/>
        <item x="33"/>
        <item x="98"/>
        <item x="13"/>
        <item x="12"/>
        <item x="127"/>
        <item x="27"/>
        <item x="21"/>
        <item x="90"/>
        <item x="58"/>
        <item x="68"/>
        <item x="110"/>
        <item x="60"/>
        <item x="81"/>
        <item x="77"/>
        <item x="51"/>
        <item x="72"/>
        <item x="152"/>
        <item x="147"/>
        <item x="97"/>
        <item x="50"/>
        <item x="139"/>
        <item x="91"/>
        <item x="133"/>
        <item x="23"/>
        <item x="125"/>
        <item x="73"/>
        <item x="108"/>
        <item x="38"/>
        <item x="18"/>
        <item x="153"/>
        <item x="5"/>
        <item x="140"/>
        <item x="151"/>
        <item x="116"/>
        <item x="6"/>
        <item x="54"/>
        <item x="154"/>
        <item x="52"/>
        <item x="93"/>
        <item t="default"/>
      </items>
    </pivotField>
    <pivotField showAll="0"/>
    <pivotField showAll="0"/>
    <pivotField showAll="0">
      <items count="154">
        <item x="15"/>
        <item x="143"/>
        <item x="91"/>
        <item x="146"/>
        <item x="43"/>
        <item x="147"/>
        <item x="134"/>
        <item x="63"/>
        <item x="120"/>
        <item x="65"/>
        <item x="61"/>
        <item x="23"/>
        <item x="112"/>
        <item x="49"/>
        <item x="0"/>
        <item x="31"/>
        <item x="72"/>
        <item x="100"/>
        <item x="111"/>
        <item x="55"/>
        <item x="24"/>
        <item x="68"/>
        <item x="16"/>
        <item x="34"/>
        <item x="50"/>
        <item x="135"/>
        <item x="117"/>
        <item x="126"/>
        <item x="97"/>
        <item x="138"/>
        <item x="29"/>
        <item x="128"/>
        <item x="25"/>
        <item x="74"/>
        <item x="96"/>
        <item x="110"/>
        <item x="123"/>
        <item x="124"/>
        <item x="56"/>
        <item x="76"/>
        <item x="101"/>
        <item x="42"/>
        <item x="145"/>
        <item x="30"/>
        <item x="78"/>
        <item x="9"/>
        <item x="36"/>
        <item x="18"/>
        <item x="87"/>
        <item x="84"/>
        <item x="141"/>
        <item x="28"/>
        <item x="99"/>
        <item x="48"/>
        <item x="107"/>
        <item x="3"/>
        <item x="47"/>
        <item x="106"/>
        <item x="35"/>
        <item x="102"/>
        <item x="115"/>
        <item x="59"/>
        <item x="4"/>
        <item x="41"/>
        <item x="83"/>
        <item x="86"/>
        <item x="33"/>
        <item x="62"/>
        <item x="21"/>
        <item x="13"/>
        <item x="82"/>
        <item x="10"/>
        <item x="14"/>
        <item x="45"/>
        <item x="129"/>
        <item x="39"/>
        <item x="137"/>
        <item x="108"/>
        <item x="67"/>
        <item x="114"/>
        <item x="8"/>
        <item x="136"/>
        <item x="1"/>
        <item x="118"/>
        <item x="70"/>
        <item x="64"/>
        <item x="66"/>
        <item x="85"/>
        <item x="113"/>
        <item x="79"/>
        <item x="2"/>
        <item x="7"/>
        <item x="71"/>
        <item x="105"/>
        <item x="127"/>
        <item x="46"/>
        <item x="44"/>
        <item x="54"/>
        <item x="139"/>
        <item x="122"/>
        <item x="40"/>
        <item x="95"/>
        <item x="32"/>
        <item x="27"/>
        <item x="88"/>
        <item x="103"/>
        <item x="26"/>
        <item x="38"/>
        <item x="148"/>
        <item x="57"/>
        <item x="58"/>
        <item x="104"/>
        <item x="11"/>
        <item x="12"/>
        <item x="116"/>
        <item x="130"/>
        <item x="20"/>
        <item x="119"/>
        <item x="121"/>
        <item x="94"/>
        <item x="77"/>
        <item x="69"/>
        <item x="150"/>
        <item x="133"/>
        <item x="19"/>
        <item x="60"/>
        <item x="75"/>
        <item x="81"/>
        <item x="98"/>
        <item x="142"/>
        <item x="144"/>
        <item x="131"/>
        <item x="93"/>
        <item x="140"/>
        <item x="73"/>
        <item x="125"/>
        <item x="5"/>
        <item x="92"/>
        <item x="37"/>
        <item x="52"/>
        <item x="80"/>
        <item x="109"/>
        <item x="51"/>
        <item x="89"/>
        <item x="151"/>
        <item x="17"/>
        <item x="22"/>
        <item x="53"/>
        <item x="149"/>
        <item x="132"/>
        <item x="90"/>
        <item x="6"/>
        <item x="152"/>
        <item t="default"/>
      </items>
    </pivotField>
    <pivotField showAll="0"/>
    <pivotField showAll="0"/>
    <pivotField showAll="0">
      <items count="7">
        <item x="1"/>
        <item x="5"/>
        <item x="0"/>
        <item x="4"/>
        <item x="2"/>
        <item x="3"/>
        <item t="default"/>
      </items>
    </pivotField>
    <pivotField showAll="0">
      <items count="9">
        <item x="2"/>
        <item x="3"/>
        <item m="1" x="7"/>
        <item x="1"/>
        <item x="4"/>
        <item x="0"/>
        <item m="1" x="6"/>
        <item x="5"/>
        <item t="default"/>
      </items>
    </pivotField>
    <pivotField showAll="0" defaultSubtotal="0"/>
    <pivotField showAll="0" defaultSubtotal="0">
      <items count="14">
        <item x="0"/>
        <item x="1"/>
        <item x="2"/>
        <item x="3"/>
        <item x="4"/>
        <item x="5"/>
        <item x="6"/>
        <item x="7"/>
        <item x="8"/>
        <item x="9"/>
        <item x="10"/>
        <item x="11"/>
        <item x="12"/>
        <item x="13"/>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items count="15">
        <item x="0"/>
        <item x="1"/>
        <item x="2"/>
        <item x="3"/>
        <item x="4"/>
        <item x="5"/>
        <item x="6"/>
        <item x="7"/>
        <item x="8"/>
        <item x="9"/>
        <item x="10"/>
        <item x="11"/>
        <item x="12"/>
        <item x="13"/>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s>
  <rowFields count="1">
    <field x="4"/>
  </rowFields>
  <rowItems count="4">
    <i>
      <x/>
    </i>
    <i>
      <x v="1"/>
    </i>
    <i>
      <x v="2"/>
    </i>
    <i t="grand">
      <x/>
    </i>
  </rowItems>
  <colItems count="1">
    <i/>
  </colItems>
  <dataFields count="1">
    <dataField name="Average of Age" fld="2" subtotal="average" baseField="0" baseItem="0"/>
  </dataFields>
  <formats count="1">
    <format dxfId="135">
      <pivotArea collapsedLevelsAreSubtotals="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060A78D-A83C-D743-B328-A26DACDDA190}" name="Total Counsellors" cacheId="1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7" firstHeaderRow="1" firstDataRow="1" firstDataCol="1"/>
  <pivotFields count="28">
    <pivotField showAll="0"/>
    <pivotField numFmtId="14" showAll="0"/>
    <pivotField showAll="0"/>
    <pivotField showAll="0"/>
    <pivotField showAll="0"/>
    <pivotField showAll="0"/>
    <pivotField showAll="0"/>
    <pivotField showAll="0"/>
    <pivotField showAll="0"/>
    <pivotField showAll="0"/>
    <pivotField numFmtId="14" showAll="0">
      <items count="167">
        <item x="130"/>
        <item x="85"/>
        <item x="149"/>
        <item x="64"/>
        <item x="52"/>
        <item x="120"/>
        <item x="47"/>
        <item x="98"/>
        <item x="67"/>
        <item x="0"/>
        <item x="18"/>
        <item x="106"/>
        <item x="74"/>
        <item x="36"/>
        <item x="53"/>
        <item x="161"/>
        <item x="33"/>
        <item x="116"/>
        <item x="26"/>
        <item x="92"/>
        <item x="118"/>
        <item x="69"/>
        <item x="89"/>
        <item x="28"/>
        <item x="156"/>
        <item x="93"/>
        <item x="27"/>
        <item x="21"/>
        <item x="99"/>
        <item x="24"/>
        <item x="109"/>
        <item x="59"/>
        <item x="160"/>
        <item x="77"/>
        <item x="139"/>
        <item x="117"/>
        <item x="10"/>
        <item x="119"/>
        <item x="151"/>
        <item x="141"/>
        <item x="40"/>
        <item x="152"/>
        <item x="78"/>
        <item x="103"/>
        <item x="80"/>
        <item x="125"/>
        <item x="20"/>
        <item x="105"/>
        <item x="129"/>
        <item x="38"/>
        <item x="51"/>
        <item x="143"/>
        <item x="87"/>
        <item x="83"/>
        <item x="62"/>
        <item x="46"/>
        <item x="131"/>
        <item x="32"/>
        <item x="134"/>
        <item x="9"/>
        <item x="14"/>
        <item x="97"/>
        <item x="135"/>
        <item x="113"/>
        <item x="84"/>
        <item x="3"/>
        <item x="144"/>
        <item x="37"/>
        <item x="101"/>
        <item x="15"/>
        <item x="104"/>
        <item x="157"/>
        <item x="71"/>
        <item x="76"/>
        <item x="136"/>
        <item x="138"/>
        <item x="142"/>
        <item x="49"/>
        <item x="45"/>
        <item x="65"/>
        <item x="102"/>
        <item x="121"/>
        <item x="86"/>
        <item x="4"/>
        <item x="107"/>
        <item x="35"/>
        <item x="123"/>
        <item x="11"/>
        <item x="66"/>
        <item x="150"/>
        <item x="114"/>
        <item x="90"/>
        <item x="72"/>
        <item x="153"/>
        <item x="73"/>
        <item x="1"/>
        <item x="43"/>
        <item x="8"/>
        <item x="2"/>
        <item x="7"/>
        <item x="126"/>
        <item x="79"/>
        <item x="68"/>
        <item x="147"/>
        <item x="30"/>
        <item x="122"/>
        <item x="96"/>
        <item x="42"/>
        <item x="133"/>
        <item x="48"/>
        <item x="148"/>
        <item x="112"/>
        <item x="140"/>
        <item x="13"/>
        <item x="127"/>
        <item x="34"/>
        <item x="57"/>
        <item x="132"/>
        <item x="60"/>
        <item x="95"/>
        <item x="111"/>
        <item x="50"/>
        <item x="12"/>
        <item x="22"/>
        <item x="23"/>
        <item x="17"/>
        <item x="44"/>
        <item x="75"/>
        <item x="70"/>
        <item x="155"/>
        <item x="128"/>
        <item x="63"/>
        <item x="124"/>
        <item x="29"/>
        <item x="100"/>
        <item x="61"/>
        <item x="55"/>
        <item x="41"/>
        <item x="54"/>
        <item x="81"/>
        <item x="110"/>
        <item x="94"/>
        <item x="154"/>
        <item x="158"/>
        <item x="163"/>
        <item x="82"/>
        <item x="145"/>
        <item x="5"/>
        <item x="108"/>
        <item x="159"/>
        <item x="88"/>
        <item x="164"/>
        <item x="137"/>
        <item x="146"/>
        <item x="19"/>
        <item x="58"/>
        <item x="165"/>
        <item x="6"/>
        <item x="25"/>
        <item x="39"/>
        <item x="162"/>
        <item x="115"/>
        <item x="56"/>
        <item x="31"/>
        <item x="91"/>
        <item x="16"/>
        <item t="default"/>
      </items>
    </pivotField>
    <pivotField showAll="0"/>
    <pivotField showAll="0"/>
    <pivotField showAll="0">
      <items count="156">
        <item x="16"/>
        <item x="129"/>
        <item x="142"/>
        <item x="146"/>
        <item x="96"/>
        <item x="42"/>
        <item x="105"/>
        <item x="149"/>
        <item x="32"/>
        <item x="65"/>
        <item x="150"/>
        <item x="61"/>
        <item x="0"/>
        <item x="63"/>
        <item x="55"/>
        <item x="87"/>
        <item x="24"/>
        <item x="92"/>
        <item x="48"/>
        <item x="94"/>
        <item x="25"/>
        <item x="117"/>
        <item x="20"/>
        <item x="119"/>
        <item x="17"/>
        <item x="124"/>
        <item x="35"/>
        <item x="49"/>
        <item x="26"/>
        <item x="95"/>
        <item x="75"/>
        <item x="30"/>
        <item x="143"/>
        <item x="56"/>
        <item x="78"/>
        <item x="101"/>
        <item x="120"/>
        <item x="148"/>
        <item x="86"/>
        <item x="118"/>
        <item x="102"/>
        <item x="80"/>
        <item x="89"/>
        <item x="37"/>
        <item x="19"/>
        <item x="138"/>
        <item x="10"/>
        <item x="47"/>
        <item x="114"/>
        <item x="130"/>
        <item x="145"/>
        <item x="100"/>
        <item x="128"/>
        <item x="104"/>
        <item x="126"/>
        <item x="41"/>
        <item x="132"/>
        <item x="9"/>
        <item x="106"/>
        <item x="113"/>
        <item x="31"/>
        <item x="74"/>
        <item x="84"/>
        <item x="46"/>
        <item x="59"/>
        <item x="88"/>
        <item x="109"/>
        <item x="3"/>
        <item x="36"/>
        <item x="14"/>
        <item x="134"/>
        <item x="136"/>
        <item x="62"/>
        <item x="121"/>
        <item x="29"/>
        <item x="15"/>
        <item x="103"/>
        <item x="76"/>
        <item x="137"/>
        <item x="4"/>
        <item x="83"/>
        <item x="34"/>
        <item x="107"/>
        <item x="69"/>
        <item x="82"/>
        <item x="11"/>
        <item x="44"/>
        <item x="40"/>
        <item x="85"/>
        <item x="1"/>
        <item x="8"/>
        <item x="123"/>
        <item x="71"/>
        <item x="64"/>
        <item x="70"/>
        <item x="67"/>
        <item x="7"/>
        <item x="144"/>
        <item x="122"/>
        <item x="79"/>
        <item x="2"/>
        <item x="115"/>
        <item x="131"/>
        <item x="66"/>
        <item x="112"/>
        <item x="99"/>
        <item x="39"/>
        <item x="28"/>
        <item x="43"/>
        <item x="135"/>
        <item x="45"/>
        <item x="141"/>
        <item x="111"/>
        <item x="53"/>
        <item x="22"/>
        <item x="57"/>
        <item x="33"/>
        <item x="98"/>
        <item x="13"/>
        <item x="12"/>
        <item x="127"/>
        <item x="27"/>
        <item x="21"/>
        <item x="90"/>
        <item x="58"/>
        <item x="68"/>
        <item x="110"/>
        <item x="60"/>
        <item x="81"/>
        <item x="77"/>
        <item x="51"/>
        <item x="72"/>
        <item x="152"/>
        <item x="147"/>
        <item x="97"/>
        <item x="50"/>
        <item x="139"/>
        <item x="91"/>
        <item x="133"/>
        <item x="23"/>
        <item x="125"/>
        <item x="73"/>
        <item x="108"/>
        <item x="38"/>
        <item x="18"/>
        <item x="153"/>
        <item x="5"/>
        <item x="140"/>
        <item x="151"/>
        <item x="116"/>
        <item x="6"/>
        <item x="54"/>
        <item x="154"/>
        <item x="52"/>
        <item x="93"/>
        <item t="default"/>
      </items>
    </pivotField>
    <pivotField showAll="0"/>
    <pivotField showAll="0"/>
    <pivotField showAll="0">
      <items count="154">
        <item x="15"/>
        <item x="143"/>
        <item x="91"/>
        <item x="146"/>
        <item x="43"/>
        <item x="147"/>
        <item x="134"/>
        <item x="63"/>
        <item x="120"/>
        <item x="65"/>
        <item x="61"/>
        <item x="23"/>
        <item x="112"/>
        <item x="49"/>
        <item x="0"/>
        <item x="31"/>
        <item x="72"/>
        <item x="100"/>
        <item x="111"/>
        <item x="55"/>
        <item x="24"/>
        <item x="68"/>
        <item x="16"/>
        <item x="34"/>
        <item x="50"/>
        <item x="135"/>
        <item x="117"/>
        <item x="126"/>
        <item x="97"/>
        <item x="138"/>
        <item x="29"/>
        <item x="128"/>
        <item x="25"/>
        <item x="74"/>
        <item x="96"/>
        <item x="110"/>
        <item x="123"/>
        <item x="124"/>
        <item x="56"/>
        <item x="76"/>
        <item x="101"/>
        <item x="42"/>
        <item x="145"/>
        <item x="30"/>
        <item x="78"/>
        <item x="9"/>
        <item x="36"/>
        <item x="18"/>
        <item x="87"/>
        <item x="84"/>
        <item x="141"/>
        <item x="28"/>
        <item x="99"/>
        <item x="48"/>
        <item x="107"/>
        <item x="3"/>
        <item x="47"/>
        <item x="106"/>
        <item x="35"/>
        <item x="102"/>
        <item x="115"/>
        <item x="59"/>
        <item x="4"/>
        <item x="41"/>
        <item x="83"/>
        <item x="86"/>
        <item x="33"/>
        <item x="62"/>
        <item x="21"/>
        <item x="13"/>
        <item x="82"/>
        <item x="10"/>
        <item x="14"/>
        <item x="45"/>
        <item x="129"/>
        <item x="39"/>
        <item x="137"/>
        <item x="108"/>
        <item x="67"/>
        <item x="114"/>
        <item x="8"/>
        <item x="136"/>
        <item x="1"/>
        <item x="118"/>
        <item x="70"/>
        <item x="64"/>
        <item x="66"/>
        <item x="85"/>
        <item x="113"/>
        <item x="79"/>
        <item x="2"/>
        <item x="7"/>
        <item x="71"/>
        <item x="105"/>
        <item x="127"/>
        <item x="46"/>
        <item x="44"/>
        <item x="54"/>
        <item x="139"/>
        <item x="122"/>
        <item x="40"/>
        <item x="95"/>
        <item x="32"/>
        <item x="27"/>
        <item x="88"/>
        <item x="103"/>
        <item x="26"/>
        <item x="38"/>
        <item x="148"/>
        <item x="57"/>
        <item x="58"/>
        <item x="104"/>
        <item x="11"/>
        <item x="12"/>
        <item x="116"/>
        <item x="130"/>
        <item x="20"/>
        <item x="119"/>
        <item x="121"/>
        <item x="94"/>
        <item x="77"/>
        <item x="69"/>
        <item x="150"/>
        <item x="133"/>
        <item x="19"/>
        <item x="60"/>
        <item x="75"/>
        <item x="81"/>
        <item x="98"/>
        <item x="142"/>
        <item x="144"/>
        <item x="131"/>
        <item x="93"/>
        <item x="140"/>
        <item x="73"/>
        <item x="125"/>
        <item x="5"/>
        <item x="92"/>
        <item x="37"/>
        <item x="52"/>
        <item x="80"/>
        <item x="109"/>
        <item x="51"/>
        <item x="89"/>
        <item x="151"/>
        <item x="17"/>
        <item x="22"/>
        <item x="53"/>
        <item x="149"/>
        <item x="132"/>
        <item x="90"/>
        <item x="6"/>
        <item x="152"/>
        <item t="default"/>
      </items>
    </pivotField>
    <pivotField showAll="0"/>
    <pivotField showAll="0"/>
    <pivotField showAll="0">
      <items count="7">
        <item x="1"/>
        <item x="5"/>
        <item x="0"/>
        <item x="4"/>
        <item x="2"/>
        <item x="3"/>
        <item t="default"/>
      </items>
    </pivotField>
    <pivotField axis="axisRow" showAll="0">
      <items count="9">
        <item x="3"/>
        <item m="1" x="7"/>
        <item x="1"/>
        <item x="4"/>
        <item x="0"/>
        <item m="1" x="6"/>
        <item x="2"/>
        <item x="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items count="15">
        <item x="0"/>
        <item x="1"/>
        <item x="2"/>
        <item x="3"/>
        <item x="4"/>
        <item x="5"/>
        <item x="6"/>
        <item x="7"/>
        <item x="8"/>
        <item x="9"/>
        <item x="10"/>
        <item x="11"/>
        <item x="12"/>
        <item x="13"/>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s>
  <rowFields count="1">
    <field x="20"/>
  </rowFields>
  <rowItems count="7">
    <i>
      <x/>
    </i>
    <i>
      <x v="2"/>
    </i>
    <i>
      <x v="3"/>
    </i>
    <i>
      <x v="4"/>
    </i>
    <i>
      <x v="6"/>
    </i>
    <i>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A4007F-2C46-4347-BD5A-D197F5AFCF8A}" name="PivotTable10" cacheId="1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Date">
  <location ref="X43:Y84" firstHeaderRow="1" firstDataRow="1" firstDataCol="1"/>
  <pivotFields count="28">
    <pivotField dataField="1" showAll="0"/>
    <pivotField numFmtId="14" showAll="0"/>
    <pivotField showAll="0"/>
    <pivotField showAll="0"/>
    <pivotField showAll="0"/>
    <pivotField showAll="0"/>
    <pivotField showAll="0"/>
    <pivotField showAll="0"/>
    <pivotField showAll="0"/>
    <pivotField showAll="0"/>
    <pivotField numFmtId="14" showAll="0">
      <items count="167">
        <item x="130"/>
        <item x="85"/>
        <item x="149"/>
        <item x="64"/>
        <item x="52"/>
        <item x="120"/>
        <item x="47"/>
        <item x="98"/>
        <item x="67"/>
        <item x="0"/>
        <item x="18"/>
        <item x="106"/>
        <item x="74"/>
        <item x="36"/>
        <item x="53"/>
        <item x="161"/>
        <item x="33"/>
        <item x="116"/>
        <item x="26"/>
        <item x="92"/>
        <item x="118"/>
        <item x="69"/>
        <item x="89"/>
        <item x="28"/>
        <item x="156"/>
        <item x="93"/>
        <item x="27"/>
        <item x="21"/>
        <item x="99"/>
        <item x="24"/>
        <item x="109"/>
        <item x="59"/>
        <item x="160"/>
        <item x="77"/>
        <item x="139"/>
        <item x="117"/>
        <item x="10"/>
        <item x="119"/>
        <item x="151"/>
        <item x="141"/>
        <item x="40"/>
        <item x="152"/>
        <item x="78"/>
        <item x="103"/>
        <item x="80"/>
        <item x="125"/>
        <item x="20"/>
        <item x="105"/>
        <item x="129"/>
        <item x="38"/>
        <item x="51"/>
        <item x="143"/>
        <item x="87"/>
        <item x="83"/>
        <item x="62"/>
        <item x="46"/>
        <item x="131"/>
        <item x="32"/>
        <item x="134"/>
        <item x="9"/>
        <item x="14"/>
        <item x="97"/>
        <item x="135"/>
        <item x="113"/>
        <item x="84"/>
        <item x="3"/>
        <item x="144"/>
        <item x="37"/>
        <item x="101"/>
        <item x="15"/>
        <item x="104"/>
        <item x="157"/>
        <item x="71"/>
        <item x="76"/>
        <item x="136"/>
        <item x="138"/>
        <item x="142"/>
        <item x="49"/>
        <item x="45"/>
        <item x="65"/>
        <item x="102"/>
        <item x="121"/>
        <item x="86"/>
        <item x="4"/>
        <item x="107"/>
        <item x="35"/>
        <item x="123"/>
        <item x="11"/>
        <item x="66"/>
        <item x="150"/>
        <item x="114"/>
        <item x="90"/>
        <item x="72"/>
        <item x="153"/>
        <item x="73"/>
        <item x="1"/>
        <item x="43"/>
        <item x="8"/>
        <item x="2"/>
        <item x="7"/>
        <item x="126"/>
        <item x="79"/>
        <item x="68"/>
        <item x="147"/>
        <item x="30"/>
        <item x="122"/>
        <item x="96"/>
        <item x="42"/>
        <item x="133"/>
        <item x="48"/>
        <item x="148"/>
        <item x="112"/>
        <item x="140"/>
        <item x="13"/>
        <item x="127"/>
        <item x="34"/>
        <item x="57"/>
        <item x="132"/>
        <item x="60"/>
        <item x="95"/>
        <item x="111"/>
        <item x="50"/>
        <item x="12"/>
        <item x="22"/>
        <item x="23"/>
        <item x="17"/>
        <item x="44"/>
        <item x="75"/>
        <item x="70"/>
        <item x="155"/>
        <item x="128"/>
        <item x="63"/>
        <item x="124"/>
        <item x="29"/>
        <item x="100"/>
        <item x="61"/>
        <item x="55"/>
        <item x="41"/>
        <item x="54"/>
        <item x="81"/>
        <item x="110"/>
        <item x="94"/>
        <item x="154"/>
        <item x="158"/>
        <item x="163"/>
        <item x="82"/>
        <item x="145"/>
        <item x="5"/>
        <item x="108"/>
        <item x="159"/>
        <item x="88"/>
        <item x="164"/>
        <item x="137"/>
        <item x="146"/>
        <item x="19"/>
        <item x="58"/>
        <item x="165"/>
        <item x="6"/>
        <item x="25"/>
        <item x="39"/>
        <item x="162"/>
        <item x="115"/>
        <item x="56"/>
        <item x="31"/>
        <item x="91"/>
        <item x="16"/>
        <item t="default"/>
      </items>
    </pivotField>
    <pivotField showAll="0"/>
    <pivotField showAll="0"/>
    <pivotField showAll="0">
      <items count="156">
        <item x="16"/>
        <item x="129"/>
        <item x="142"/>
        <item x="146"/>
        <item x="96"/>
        <item x="42"/>
        <item x="105"/>
        <item x="149"/>
        <item x="32"/>
        <item x="65"/>
        <item x="150"/>
        <item x="61"/>
        <item x="0"/>
        <item x="63"/>
        <item x="55"/>
        <item x="87"/>
        <item x="24"/>
        <item x="92"/>
        <item x="48"/>
        <item x="94"/>
        <item x="25"/>
        <item x="117"/>
        <item x="20"/>
        <item x="119"/>
        <item x="17"/>
        <item x="124"/>
        <item x="35"/>
        <item x="49"/>
        <item x="26"/>
        <item x="95"/>
        <item x="75"/>
        <item x="30"/>
        <item x="143"/>
        <item x="56"/>
        <item x="78"/>
        <item x="101"/>
        <item x="120"/>
        <item x="148"/>
        <item x="86"/>
        <item x="118"/>
        <item x="102"/>
        <item x="80"/>
        <item x="89"/>
        <item x="37"/>
        <item x="19"/>
        <item x="138"/>
        <item x="10"/>
        <item x="47"/>
        <item x="114"/>
        <item x="130"/>
        <item x="145"/>
        <item x="100"/>
        <item x="128"/>
        <item x="104"/>
        <item x="126"/>
        <item x="41"/>
        <item x="132"/>
        <item x="9"/>
        <item x="106"/>
        <item x="113"/>
        <item x="31"/>
        <item x="74"/>
        <item x="84"/>
        <item x="46"/>
        <item x="59"/>
        <item x="88"/>
        <item x="109"/>
        <item x="3"/>
        <item x="36"/>
        <item x="14"/>
        <item x="134"/>
        <item x="136"/>
        <item x="62"/>
        <item x="121"/>
        <item x="29"/>
        <item x="15"/>
        <item x="103"/>
        <item x="76"/>
        <item x="137"/>
        <item x="4"/>
        <item x="83"/>
        <item x="34"/>
        <item x="107"/>
        <item x="69"/>
        <item x="82"/>
        <item x="11"/>
        <item x="44"/>
        <item x="40"/>
        <item x="85"/>
        <item x="1"/>
        <item x="8"/>
        <item x="123"/>
        <item x="71"/>
        <item x="64"/>
        <item x="70"/>
        <item x="67"/>
        <item x="7"/>
        <item x="144"/>
        <item x="122"/>
        <item x="79"/>
        <item x="2"/>
        <item x="115"/>
        <item x="131"/>
        <item x="66"/>
        <item x="112"/>
        <item x="99"/>
        <item x="39"/>
        <item x="28"/>
        <item x="43"/>
        <item x="135"/>
        <item x="45"/>
        <item x="141"/>
        <item x="111"/>
        <item x="53"/>
        <item x="22"/>
        <item x="57"/>
        <item x="33"/>
        <item x="98"/>
        <item x="13"/>
        <item x="12"/>
        <item x="127"/>
        <item x="27"/>
        <item x="21"/>
        <item x="90"/>
        <item x="58"/>
        <item x="68"/>
        <item x="110"/>
        <item x="60"/>
        <item x="81"/>
        <item x="77"/>
        <item x="51"/>
        <item x="72"/>
        <item x="152"/>
        <item x="147"/>
        <item x="97"/>
        <item x="50"/>
        <item x="139"/>
        <item x="91"/>
        <item x="133"/>
        <item x="23"/>
        <item x="125"/>
        <item x="73"/>
        <item x="108"/>
        <item x="38"/>
        <item x="18"/>
        <item x="153"/>
        <item x="5"/>
        <item x="140"/>
        <item x="151"/>
        <item x="116"/>
        <item x="6"/>
        <item x="54"/>
        <item x="154"/>
        <item x="52"/>
        <item x="93"/>
        <item t="default"/>
      </items>
    </pivotField>
    <pivotField showAll="0"/>
    <pivotField showAll="0"/>
    <pivotField showAll="0">
      <items count="154">
        <item x="15"/>
        <item x="143"/>
        <item x="91"/>
        <item x="146"/>
        <item x="43"/>
        <item x="147"/>
        <item x="134"/>
        <item x="63"/>
        <item x="120"/>
        <item x="65"/>
        <item x="61"/>
        <item x="23"/>
        <item x="112"/>
        <item x="49"/>
        <item x="0"/>
        <item x="31"/>
        <item x="72"/>
        <item x="100"/>
        <item x="111"/>
        <item x="55"/>
        <item x="24"/>
        <item x="68"/>
        <item x="16"/>
        <item x="34"/>
        <item x="50"/>
        <item x="135"/>
        <item x="117"/>
        <item x="126"/>
        <item x="97"/>
        <item x="138"/>
        <item x="29"/>
        <item x="128"/>
        <item x="25"/>
        <item x="74"/>
        <item x="96"/>
        <item x="110"/>
        <item x="123"/>
        <item x="124"/>
        <item x="56"/>
        <item x="76"/>
        <item x="101"/>
        <item x="42"/>
        <item x="145"/>
        <item x="30"/>
        <item x="78"/>
        <item x="9"/>
        <item x="36"/>
        <item x="18"/>
        <item x="87"/>
        <item x="84"/>
        <item x="141"/>
        <item x="28"/>
        <item x="99"/>
        <item x="48"/>
        <item x="107"/>
        <item x="3"/>
        <item x="47"/>
        <item x="106"/>
        <item x="35"/>
        <item x="102"/>
        <item x="115"/>
        <item x="59"/>
        <item x="4"/>
        <item x="41"/>
        <item x="83"/>
        <item x="86"/>
        <item x="33"/>
        <item x="62"/>
        <item x="21"/>
        <item x="13"/>
        <item x="82"/>
        <item x="10"/>
        <item x="14"/>
        <item x="45"/>
        <item x="129"/>
        <item x="39"/>
        <item x="137"/>
        <item x="108"/>
        <item x="67"/>
        <item x="114"/>
        <item x="8"/>
        <item x="136"/>
        <item x="1"/>
        <item x="118"/>
        <item x="70"/>
        <item x="64"/>
        <item x="66"/>
        <item x="85"/>
        <item x="113"/>
        <item x="79"/>
        <item x="2"/>
        <item x="7"/>
        <item x="71"/>
        <item x="105"/>
        <item x="127"/>
        <item x="46"/>
        <item x="44"/>
        <item x="54"/>
        <item x="139"/>
        <item x="122"/>
        <item x="40"/>
        <item x="95"/>
        <item x="32"/>
        <item x="27"/>
        <item x="88"/>
        <item x="103"/>
        <item x="26"/>
        <item x="38"/>
        <item x="148"/>
        <item x="57"/>
        <item x="58"/>
        <item x="104"/>
        <item x="11"/>
        <item x="12"/>
        <item x="116"/>
        <item x="130"/>
        <item x="20"/>
        <item x="119"/>
        <item x="121"/>
        <item x="94"/>
        <item x="77"/>
        <item x="69"/>
        <item x="150"/>
        <item x="133"/>
        <item x="19"/>
        <item x="60"/>
        <item x="75"/>
        <item x="81"/>
        <item x="98"/>
        <item x="142"/>
        <item x="144"/>
        <item x="131"/>
        <item x="93"/>
        <item x="140"/>
        <item x="73"/>
        <item x="125"/>
        <item x="5"/>
        <item x="92"/>
        <item x="37"/>
        <item x="52"/>
        <item x="80"/>
        <item x="109"/>
        <item x="51"/>
        <item x="89"/>
        <item x="151"/>
        <item x="17"/>
        <item x="22"/>
        <item x="53"/>
        <item x="149"/>
        <item x="132"/>
        <item x="90"/>
        <item x="6"/>
        <item x="152"/>
        <item t="default"/>
      </items>
    </pivotField>
    <pivotField showAll="0"/>
    <pivotField showAll="0"/>
    <pivotField axis="axisRow" showAll="0">
      <items count="7">
        <item x="1"/>
        <item x="5"/>
        <item x="0"/>
        <item x="4"/>
        <item x="2"/>
        <item x="3"/>
        <item t="default"/>
      </items>
    </pivotField>
    <pivotField showAll="0">
      <items count="9">
        <item x="2"/>
        <item x="3"/>
        <item m="1" x="7"/>
        <item x="1"/>
        <item x="4"/>
        <item x="0"/>
        <item m="1" x="6"/>
        <item x="5"/>
        <item t="default"/>
      </items>
    </pivotField>
    <pivotField showAll="0" defaultSubtotal="0"/>
    <pivotField showAll="0" defaultSubtotal="0">
      <items count="14">
        <item x="0"/>
        <item x="1"/>
        <item x="2"/>
        <item x="3"/>
        <item x="4"/>
        <item x="5"/>
        <item x="6"/>
        <item x="7"/>
        <item x="8"/>
        <item x="9"/>
        <item x="10"/>
        <item x="11"/>
        <item x="12"/>
        <item x="13"/>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axis="axisRow" showAll="0">
      <items count="15">
        <item x="0"/>
        <item x="1"/>
        <item x="2"/>
        <item x="3"/>
        <item x="4"/>
        <item x="5"/>
        <item x="6"/>
        <item x="7"/>
        <item x="8"/>
        <item x="9"/>
        <item x="10"/>
        <item x="11"/>
        <item x="12"/>
        <item x="13"/>
        <item t="default"/>
      </items>
    </pivotField>
    <pivotField axis="axisRow" showAll="0">
      <items count="129">
        <item x="0"/>
        <item h="1"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s>
  <rowFields count="3">
    <field x="27"/>
    <field x="26"/>
    <field x="19"/>
  </rowFields>
  <rowItems count="41">
    <i>
      <x v="125"/>
    </i>
    <i r="1">
      <x v="1"/>
    </i>
    <i r="2">
      <x v="2"/>
    </i>
    <i r="1">
      <x v="2"/>
    </i>
    <i r="2">
      <x v="2"/>
    </i>
    <i r="1">
      <x v="3"/>
    </i>
    <i r="2">
      <x v="2"/>
    </i>
    <i r="2">
      <x v="3"/>
    </i>
    <i r="1">
      <x v="4"/>
    </i>
    <i r="2">
      <x v="2"/>
    </i>
    <i r="1">
      <x v="5"/>
    </i>
    <i r="2">
      <x v="2"/>
    </i>
    <i r="1">
      <x v="6"/>
    </i>
    <i r="2">
      <x v="2"/>
    </i>
    <i r="1">
      <x v="7"/>
    </i>
    <i r="2">
      <x v="2"/>
    </i>
    <i r="1">
      <x v="8"/>
    </i>
    <i r="2">
      <x v="2"/>
    </i>
    <i r="2">
      <x v="5"/>
    </i>
    <i r="1">
      <x v="9"/>
    </i>
    <i r="2">
      <x v="2"/>
    </i>
    <i r="2">
      <x v="5"/>
    </i>
    <i r="1">
      <x v="10"/>
    </i>
    <i r="2">
      <x/>
    </i>
    <i r="2">
      <x v="2"/>
    </i>
    <i r="1">
      <x v="11"/>
    </i>
    <i r="2">
      <x/>
    </i>
    <i r="2">
      <x v="2"/>
    </i>
    <i r="1">
      <x v="12"/>
    </i>
    <i r="2">
      <x/>
    </i>
    <i r="2">
      <x v="2"/>
    </i>
    <i>
      <x v="126"/>
    </i>
    <i r="1">
      <x v="1"/>
    </i>
    <i r="2">
      <x v="2"/>
    </i>
    <i r="2">
      <x v="5"/>
    </i>
    <i r="1">
      <x v="2"/>
    </i>
    <i r="2">
      <x v="2"/>
    </i>
    <i r="1">
      <x v="3"/>
    </i>
    <i r="2">
      <x/>
    </i>
    <i r="2">
      <x v="2"/>
    </i>
    <i t="grand">
      <x/>
    </i>
  </rowItems>
  <colItems count="1">
    <i/>
  </colItems>
  <dataFields count="1">
    <dataField name="Count of Client ID" fld="0" subtotal="count"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912B9C9-73E8-A84A-B2CF-1591CE3DFC2C}" name="PivotTable3" cacheId="1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ounsellor">
  <location ref="X4:Y11" firstHeaderRow="1" firstDataRow="1" firstDataCol="1"/>
  <pivotFields count="28">
    <pivotField dataField="1" showAll="0"/>
    <pivotField numFmtId="14" showAll="0"/>
    <pivotField showAll="0"/>
    <pivotField showAll="0"/>
    <pivotField showAll="0"/>
    <pivotField showAll="0"/>
    <pivotField showAll="0"/>
    <pivotField showAll="0"/>
    <pivotField showAll="0"/>
    <pivotField showAll="0"/>
    <pivotField numFmtId="14" showAll="0">
      <items count="167">
        <item x="130"/>
        <item x="85"/>
        <item x="149"/>
        <item x="64"/>
        <item x="52"/>
        <item x="120"/>
        <item x="47"/>
        <item x="98"/>
        <item x="67"/>
        <item x="0"/>
        <item x="18"/>
        <item x="106"/>
        <item x="74"/>
        <item x="36"/>
        <item x="53"/>
        <item x="161"/>
        <item x="33"/>
        <item x="116"/>
        <item x="26"/>
        <item x="92"/>
        <item x="118"/>
        <item x="69"/>
        <item x="89"/>
        <item x="28"/>
        <item x="156"/>
        <item x="93"/>
        <item x="27"/>
        <item x="21"/>
        <item x="99"/>
        <item x="24"/>
        <item x="109"/>
        <item x="59"/>
        <item x="160"/>
        <item x="77"/>
        <item x="139"/>
        <item x="117"/>
        <item x="10"/>
        <item x="119"/>
        <item x="151"/>
        <item x="141"/>
        <item x="40"/>
        <item x="152"/>
        <item x="78"/>
        <item x="103"/>
        <item x="80"/>
        <item x="125"/>
        <item x="20"/>
        <item x="105"/>
        <item x="129"/>
        <item x="38"/>
        <item x="51"/>
        <item x="143"/>
        <item x="87"/>
        <item x="83"/>
        <item x="62"/>
        <item x="46"/>
        <item x="131"/>
        <item x="32"/>
        <item x="134"/>
        <item x="9"/>
        <item x="14"/>
        <item x="97"/>
        <item x="135"/>
        <item x="113"/>
        <item x="84"/>
        <item x="3"/>
        <item x="144"/>
        <item x="37"/>
        <item x="101"/>
        <item x="15"/>
        <item x="104"/>
        <item x="157"/>
        <item x="71"/>
        <item x="76"/>
        <item x="136"/>
        <item x="138"/>
        <item x="142"/>
        <item x="49"/>
        <item x="45"/>
        <item x="65"/>
        <item x="102"/>
        <item x="121"/>
        <item x="86"/>
        <item x="4"/>
        <item x="107"/>
        <item x="35"/>
        <item x="123"/>
        <item x="11"/>
        <item x="66"/>
        <item x="150"/>
        <item x="114"/>
        <item x="90"/>
        <item x="72"/>
        <item x="153"/>
        <item x="73"/>
        <item x="1"/>
        <item x="43"/>
        <item x="8"/>
        <item x="2"/>
        <item x="7"/>
        <item x="126"/>
        <item x="79"/>
        <item x="68"/>
        <item x="147"/>
        <item x="30"/>
        <item x="122"/>
        <item x="96"/>
        <item x="42"/>
        <item x="133"/>
        <item x="48"/>
        <item x="148"/>
        <item x="112"/>
        <item x="140"/>
        <item x="13"/>
        <item x="127"/>
        <item x="34"/>
        <item x="57"/>
        <item x="132"/>
        <item x="60"/>
        <item x="95"/>
        <item x="111"/>
        <item x="50"/>
        <item x="12"/>
        <item x="22"/>
        <item x="23"/>
        <item x="17"/>
        <item x="44"/>
        <item x="75"/>
        <item x="70"/>
        <item x="155"/>
        <item x="128"/>
        <item x="63"/>
        <item x="124"/>
        <item x="29"/>
        <item x="100"/>
        <item x="61"/>
        <item x="55"/>
        <item x="41"/>
        <item x="54"/>
        <item x="81"/>
        <item x="110"/>
        <item x="94"/>
        <item x="154"/>
        <item x="158"/>
        <item x="163"/>
        <item x="82"/>
        <item x="145"/>
        <item x="5"/>
        <item x="108"/>
        <item x="159"/>
        <item x="88"/>
        <item x="164"/>
        <item x="137"/>
        <item x="146"/>
        <item x="19"/>
        <item x="58"/>
        <item x="165"/>
        <item x="6"/>
        <item x="25"/>
        <item x="39"/>
        <item x="162"/>
        <item x="115"/>
        <item x="56"/>
        <item x="31"/>
        <item x="91"/>
        <item x="16"/>
        <item t="default"/>
      </items>
    </pivotField>
    <pivotField showAll="0"/>
    <pivotField showAll="0"/>
    <pivotField showAll="0">
      <items count="156">
        <item x="16"/>
        <item x="129"/>
        <item x="142"/>
        <item x="146"/>
        <item x="96"/>
        <item x="42"/>
        <item x="105"/>
        <item x="149"/>
        <item x="32"/>
        <item x="65"/>
        <item x="150"/>
        <item x="61"/>
        <item x="0"/>
        <item x="63"/>
        <item x="55"/>
        <item x="87"/>
        <item x="24"/>
        <item x="92"/>
        <item x="48"/>
        <item x="94"/>
        <item x="25"/>
        <item x="117"/>
        <item x="20"/>
        <item x="119"/>
        <item x="17"/>
        <item x="124"/>
        <item x="35"/>
        <item x="49"/>
        <item x="26"/>
        <item x="95"/>
        <item x="75"/>
        <item x="30"/>
        <item x="143"/>
        <item x="56"/>
        <item x="78"/>
        <item x="101"/>
        <item x="120"/>
        <item x="148"/>
        <item x="86"/>
        <item x="118"/>
        <item x="102"/>
        <item x="80"/>
        <item x="89"/>
        <item x="37"/>
        <item x="19"/>
        <item x="138"/>
        <item x="10"/>
        <item x="47"/>
        <item x="114"/>
        <item x="130"/>
        <item x="145"/>
        <item x="100"/>
        <item x="128"/>
        <item x="104"/>
        <item x="126"/>
        <item x="41"/>
        <item x="132"/>
        <item x="9"/>
        <item x="106"/>
        <item x="113"/>
        <item x="31"/>
        <item x="74"/>
        <item x="84"/>
        <item x="46"/>
        <item x="59"/>
        <item x="88"/>
        <item x="109"/>
        <item x="3"/>
        <item x="36"/>
        <item x="14"/>
        <item x="134"/>
        <item x="136"/>
        <item x="62"/>
        <item x="121"/>
        <item x="29"/>
        <item x="15"/>
        <item x="103"/>
        <item x="76"/>
        <item x="137"/>
        <item x="4"/>
        <item x="83"/>
        <item x="34"/>
        <item x="107"/>
        <item x="69"/>
        <item x="82"/>
        <item x="11"/>
        <item x="44"/>
        <item x="40"/>
        <item x="85"/>
        <item x="1"/>
        <item x="8"/>
        <item x="123"/>
        <item x="71"/>
        <item x="64"/>
        <item x="70"/>
        <item x="67"/>
        <item x="7"/>
        <item x="144"/>
        <item x="122"/>
        <item x="79"/>
        <item x="2"/>
        <item x="115"/>
        <item x="131"/>
        <item x="66"/>
        <item x="112"/>
        <item x="99"/>
        <item x="39"/>
        <item x="28"/>
        <item x="43"/>
        <item x="135"/>
        <item x="45"/>
        <item x="141"/>
        <item x="111"/>
        <item x="53"/>
        <item x="22"/>
        <item x="57"/>
        <item x="33"/>
        <item x="98"/>
        <item x="13"/>
        <item x="12"/>
        <item x="127"/>
        <item x="27"/>
        <item x="21"/>
        <item x="90"/>
        <item x="58"/>
        <item x="68"/>
        <item x="110"/>
        <item x="60"/>
        <item x="81"/>
        <item x="77"/>
        <item x="51"/>
        <item x="72"/>
        <item x="152"/>
        <item x="147"/>
        <item x="97"/>
        <item x="50"/>
        <item x="139"/>
        <item x="91"/>
        <item x="133"/>
        <item x="23"/>
        <item x="125"/>
        <item x="73"/>
        <item x="108"/>
        <item x="38"/>
        <item x="18"/>
        <item x="153"/>
        <item x="5"/>
        <item x="140"/>
        <item x="151"/>
        <item x="116"/>
        <item x="6"/>
        <item x="54"/>
        <item x="154"/>
        <item x="52"/>
        <item x="93"/>
        <item t="default"/>
      </items>
    </pivotField>
    <pivotField showAll="0"/>
    <pivotField showAll="0"/>
    <pivotField showAll="0">
      <items count="154">
        <item x="15"/>
        <item x="143"/>
        <item x="91"/>
        <item x="146"/>
        <item x="43"/>
        <item x="147"/>
        <item x="134"/>
        <item x="63"/>
        <item x="120"/>
        <item x="65"/>
        <item x="61"/>
        <item x="23"/>
        <item x="112"/>
        <item x="49"/>
        <item x="0"/>
        <item x="31"/>
        <item x="72"/>
        <item x="100"/>
        <item x="111"/>
        <item x="55"/>
        <item x="24"/>
        <item x="68"/>
        <item x="16"/>
        <item x="34"/>
        <item x="50"/>
        <item x="135"/>
        <item x="117"/>
        <item x="126"/>
        <item x="97"/>
        <item x="138"/>
        <item x="29"/>
        <item x="128"/>
        <item x="25"/>
        <item x="74"/>
        <item x="96"/>
        <item x="110"/>
        <item x="123"/>
        <item x="124"/>
        <item x="56"/>
        <item x="76"/>
        <item x="101"/>
        <item x="42"/>
        <item x="145"/>
        <item x="30"/>
        <item x="78"/>
        <item x="9"/>
        <item x="36"/>
        <item x="18"/>
        <item x="87"/>
        <item x="84"/>
        <item x="141"/>
        <item x="28"/>
        <item x="99"/>
        <item x="48"/>
        <item x="107"/>
        <item x="3"/>
        <item x="47"/>
        <item x="106"/>
        <item x="35"/>
        <item x="102"/>
        <item x="115"/>
        <item x="59"/>
        <item x="4"/>
        <item x="41"/>
        <item x="83"/>
        <item x="86"/>
        <item x="33"/>
        <item x="62"/>
        <item x="21"/>
        <item x="13"/>
        <item x="82"/>
        <item x="10"/>
        <item x="14"/>
        <item x="45"/>
        <item x="129"/>
        <item x="39"/>
        <item x="137"/>
        <item x="108"/>
        <item x="67"/>
        <item x="114"/>
        <item x="8"/>
        <item x="136"/>
        <item x="1"/>
        <item x="118"/>
        <item x="70"/>
        <item x="64"/>
        <item x="66"/>
        <item x="85"/>
        <item x="113"/>
        <item x="79"/>
        <item x="2"/>
        <item x="7"/>
        <item x="71"/>
        <item x="105"/>
        <item x="127"/>
        <item x="46"/>
        <item x="44"/>
        <item x="54"/>
        <item x="139"/>
        <item x="122"/>
        <item x="40"/>
        <item x="95"/>
        <item x="32"/>
        <item x="27"/>
        <item x="88"/>
        <item x="103"/>
        <item x="26"/>
        <item x="38"/>
        <item x="148"/>
        <item x="57"/>
        <item x="58"/>
        <item x="104"/>
        <item x="11"/>
        <item x="12"/>
        <item x="116"/>
        <item x="130"/>
        <item x="20"/>
        <item x="119"/>
        <item x="121"/>
        <item x="94"/>
        <item x="77"/>
        <item x="69"/>
        <item x="150"/>
        <item x="133"/>
        <item x="19"/>
        <item x="60"/>
        <item x="75"/>
        <item x="81"/>
        <item x="98"/>
        <item x="142"/>
        <item x="144"/>
        <item x="131"/>
        <item x="93"/>
        <item x="140"/>
        <item x="73"/>
        <item x="125"/>
        <item x="5"/>
        <item x="92"/>
        <item x="37"/>
        <item x="52"/>
        <item x="80"/>
        <item x="109"/>
        <item x="51"/>
        <item x="89"/>
        <item x="151"/>
        <item x="17"/>
        <item x="22"/>
        <item x="53"/>
        <item x="149"/>
        <item x="132"/>
        <item x="90"/>
        <item x="6"/>
        <item x="152"/>
        <item t="default"/>
      </items>
    </pivotField>
    <pivotField showAll="0"/>
    <pivotField showAll="0"/>
    <pivotField showAll="0">
      <items count="7">
        <item x="1"/>
        <item x="5"/>
        <item x="0"/>
        <item x="4"/>
        <item x="2"/>
        <item x="3"/>
        <item t="default"/>
      </items>
    </pivotField>
    <pivotField axis="axisRow" showAll="0">
      <items count="9">
        <item x="2"/>
        <item x="3"/>
        <item m="1" x="7"/>
        <item x="1"/>
        <item x="4"/>
        <item x="0"/>
        <item m="1" x="6"/>
        <item x="5"/>
        <item t="default"/>
      </items>
    </pivotField>
    <pivotField showAll="0" defaultSubtotal="0"/>
    <pivotField showAll="0" defaultSubtotal="0">
      <items count="14">
        <item x="0"/>
        <item x="1"/>
        <item x="2"/>
        <item x="3"/>
        <item x="4"/>
        <item x="5"/>
        <item x="6"/>
        <item x="7"/>
        <item x="8"/>
        <item x="9"/>
        <item x="10"/>
        <item x="11"/>
        <item x="12"/>
        <item x="13"/>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items count="15">
        <item x="0"/>
        <item x="1"/>
        <item x="2"/>
        <item x="3"/>
        <item x="4"/>
        <item x="5"/>
        <item x="6"/>
        <item x="7"/>
        <item x="8"/>
        <item x="9"/>
        <item x="10"/>
        <item x="11"/>
        <item x="12"/>
        <item x="13"/>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s>
  <rowFields count="1">
    <field x="20"/>
  </rowFields>
  <rowItems count="7">
    <i>
      <x/>
    </i>
    <i>
      <x v="1"/>
    </i>
    <i>
      <x v="3"/>
    </i>
    <i>
      <x v="4"/>
    </i>
    <i>
      <x v="5"/>
    </i>
    <i>
      <x v="7"/>
    </i>
    <i t="grand">
      <x/>
    </i>
  </rowItems>
  <colItems count="1">
    <i/>
  </colItems>
  <dataFields count="1">
    <dataField name="Count of Client ID" fld="0" subtotal="count"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3524E9-CB39-5D40-8D06-66FAF5E55992}" name="PivotTable9" cacheId="1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Date">
  <location ref="X20:Y38" firstHeaderRow="1" firstDataRow="1" firstDataCol="1"/>
  <pivotFields count="28">
    <pivotField dataField="1" showAll="0"/>
    <pivotField numFmtId="14" showAll="0"/>
    <pivotField showAll="0"/>
    <pivotField showAll="0"/>
    <pivotField showAll="0"/>
    <pivotField showAll="0"/>
    <pivotField showAll="0"/>
    <pivotField showAll="0"/>
    <pivotField showAll="0"/>
    <pivotField showAll="0"/>
    <pivotField numFmtId="14" showAll="0">
      <items count="167">
        <item x="130"/>
        <item x="85"/>
        <item x="149"/>
        <item x="64"/>
        <item x="52"/>
        <item x="120"/>
        <item x="47"/>
        <item x="98"/>
        <item x="67"/>
        <item x="0"/>
        <item x="18"/>
        <item x="106"/>
        <item x="74"/>
        <item x="36"/>
        <item x="53"/>
        <item x="161"/>
        <item x="33"/>
        <item x="116"/>
        <item x="26"/>
        <item x="92"/>
        <item x="118"/>
        <item x="69"/>
        <item x="89"/>
        <item x="28"/>
        <item x="156"/>
        <item x="93"/>
        <item x="27"/>
        <item x="21"/>
        <item x="99"/>
        <item x="24"/>
        <item x="109"/>
        <item x="59"/>
        <item x="160"/>
        <item x="77"/>
        <item x="139"/>
        <item x="117"/>
        <item x="10"/>
        <item x="119"/>
        <item x="151"/>
        <item x="141"/>
        <item x="40"/>
        <item x="152"/>
        <item x="78"/>
        <item x="103"/>
        <item x="80"/>
        <item x="125"/>
        <item x="20"/>
        <item x="105"/>
        <item x="129"/>
        <item x="38"/>
        <item x="51"/>
        <item x="143"/>
        <item x="87"/>
        <item x="83"/>
        <item x="62"/>
        <item x="46"/>
        <item x="131"/>
        <item x="32"/>
        <item x="134"/>
        <item x="9"/>
        <item x="14"/>
        <item x="97"/>
        <item x="135"/>
        <item x="113"/>
        <item x="84"/>
        <item x="3"/>
        <item x="144"/>
        <item x="37"/>
        <item x="101"/>
        <item x="15"/>
        <item x="104"/>
        <item x="157"/>
        <item x="71"/>
        <item x="76"/>
        <item x="136"/>
        <item x="138"/>
        <item x="142"/>
        <item x="49"/>
        <item x="45"/>
        <item x="65"/>
        <item x="102"/>
        <item x="121"/>
        <item x="86"/>
        <item x="4"/>
        <item x="107"/>
        <item x="35"/>
        <item x="123"/>
        <item x="11"/>
        <item x="66"/>
        <item x="150"/>
        <item x="114"/>
        <item x="90"/>
        <item x="72"/>
        <item x="153"/>
        <item x="73"/>
        <item x="1"/>
        <item x="43"/>
        <item x="8"/>
        <item x="2"/>
        <item x="7"/>
        <item x="126"/>
        <item x="79"/>
        <item x="68"/>
        <item x="147"/>
        <item x="30"/>
        <item x="122"/>
        <item x="96"/>
        <item x="42"/>
        <item x="133"/>
        <item x="48"/>
        <item x="148"/>
        <item x="112"/>
        <item x="140"/>
        <item x="13"/>
        <item x="127"/>
        <item x="34"/>
        <item x="57"/>
        <item x="132"/>
        <item x="60"/>
        <item x="95"/>
        <item x="111"/>
        <item x="50"/>
        <item x="12"/>
        <item x="22"/>
        <item x="23"/>
        <item x="17"/>
        <item x="44"/>
        <item x="75"/>
        <item x="70"/>
        <item x="155"/>
        <item x="128"/>
        <item x="63"/>
        <item x="124"/>
        <item x="29"/>
        <item x="100"/>
        <item x="61"/>
        <item x="55"/>
        <item x="41"/>
        <item x="54"/>
        <item x="81"/>
        <item x="110"/>
        <item x="94"/>
        <item x="154"/>
        <item x="158"/>
        <item x="163"/>
        <item x="82"/>
        <item x="145"/>
        <item x="5"/>
        <item x="108"/>
        <item x="159"/>
        <item x="88"/>
        <item x="164"/>
        <item x="137"/>
        <item x="146"/>
        <item x="19"/>
        <item x="58"/>
        <item x="165"/>
        <item x="6"/>
        <item x="25"/>
        <item x="39"/>
        <item x="162"/>
        <item x="115"/>
        <item x="56"/>
        <item x="31"/>
        <item x="91"/>
        <item x="16"/>
        <item t="default"/>
      </items>
    </pivotField>
    <pivotField showAll="0"/>
    <pivotField showAll="0"/>
    <pivotField showAll="0">
      <items count="156">
        <item x="16"/>
        <item x="129"/>
        <item x="142"/>
        <item x="146"/>
        <item x="96"/>
        <item x="42"/>
        <item x="105"/>
        <item x="149"/>
        <item x="32"/>
        <item x="65"/>
        <item x="150"/>
        <item x="61"/>
        <item x="0"/>
        <item x="63"/>
        <item x="55"/>
        <item x="87"/>
        <item x="24"/>
        <item x="92"/>
        <item x="48"/>
        <item x="94"/>
        <item x="25"/>
        <item x="117"/>
        <item x="20"/>
        <item x="119"/>
        <item x="17"/>
        <item x="124"/>
        <item x="35"/>
        <item x="49"/>
        <item x="26"/>
        <item x="95"/>
        <item x="75"/>
        <item x="30"/>
        <item x="143"/>
        <item x="56"/>
        <item x="78"/>
        <item x="101"/>
        <item x="120"/>
        <item x="148"/>
        <item x="86"/>
        <item x="118"/>
        <item x="102"/>
        <item x="80"/>
        <item x="89"/>
        <item x="37"/>
        <item x="19"/>
        <item x="138"/>
        <item x="10"/>
        <item x="47"/>
        <item x="114"/>
        <item x="130"/>
        <item x="145"/>
        <item x="100"/>
        <item x="128"/>
        <item x="104"/>
        <item x="126"/>
        <item x="41"/>
        <item x="132"/>
        <item x="9"/>
        <item x="106"/>
        <item x="113"/>
        <item x="31"/>
        <item x="74"/>
        <item x="84"/>
        <item x="46"/>
        <item x="59"/>
        <item x="88"/>
        <item x="109"/>
        <item x="3"/>
        <item x="36"/>
        <item x="14"/>
        <item x="134"/>
        <item x="136"/>
        <item x="62"/>
        <item x="121"/>
        <item x="29"/>
        <item x="15"/>
        <item x="103"/>
        <item x="76"/>
        <item x="137"/>
        <item x="4"/>
        <item x="83"/>
        <item x="34"/>
        <item x="107"/>
        <item x="69"/>
        <item x="82"/>
        <item x="11"/>
        <item x="44"/>
        <item x="40"/>
        <item x="85"/>
        <item x="1"/>
        <item x="8"/>
        <item x="123"/>
        <item x="71"/>
        <item x="64"/>
        <item x="70"/>
        <item x="67"/>
        <item x="7"/>
        <item x="144"/>
        <item x="122"/>
        <item x="79"/>
        <item x="2"/>
        <item x="115"/>
        <item x="131"/>
        <item x="66"/>
        <item x="112"/>
        <item x="99"/>
        <item x="39"/>
        <item x="28"/>
        <item x="43"/>
        <item x="135"/>
        <item x="45"/>
        <item x="141"/>
        <item x="111"/>
        <item x="53"/>
        <item x="22"/>
        <item x="57"/>
        <item x="33"/>
        <item x="98"/>
        <item x="13"/>
        <item x="12"/>
        <item x="127"/>
        <item x="27"/>
        <item x="21"/>
        <item x="90"/>
        <item x="58"/>
        <item x="68"/>
        <item x="110"/>
        <item x="60"/>
        <item x="81"/>
        <item x="77"/>
        <item x="51"/>
        <item x="72"/>
        <item x="152"/>
        <item x="147"/>
        <item x="97"/>
        <item x="50"/>
        <item x="139"/>
        <item x="91"/>
        <item x="133"/>
        <item x="23"/>
        <item x="125"/>
        <item x="73"/>
        <item x="108"/>
        <item x="38"/>
        <item x="18"/>
        <item x="153"/>
        <item x="5"/>
        <item x="140"/>
        <item x="151"/>
        <item x="116"/>
        <item x="6"/>
        <item x="54"/>
        <item x="154"/>
        <item x="52"/>
        <item x="93"/>
        <item t="default"/>
      </items>
    </pivotField>
    <pivotField showAll="0"/>
    <pivotField showAll="0"/>
    <pivotField showAll="0">
      <items count="154">
        <item x="15"/>
        <item x="143"/>
        <item x="91"/>
        <item x="146"/>
        <item x="43"/>
        <item x="147"/>
        <item x="134"/>
        <item x="63"/>
        <item x="120"/>
        <item x="65"/>
        <item x="61"/>
        <item x="23"/>
        <item x="112"/>
        <item x="49"/>
        <item x="0"/>
        <item x="31"/>
        <item x="72"/>
        <item x="100"/>
        <item x="111"/>
        <item x="55"/>
        <item x="24"/>
        <item x="68"/>
        <item x="16"/>
        <item x="34"/>
        <item x="50"/>
        <item x="135"/>
        <item x="117"/>
        <item x="126"/>
        <item x="97"/>
        <item x="138"/>
        <item x="29"/>
        <item x="128"/>
        <item x="25"/>
        <item x="74"/>
        <item x="96"/>
        <item x="110"/>
        <item x="123"/>
        <item x="124"/>
        <item x="56"/>
        <item x="76"/>
        <item x="101"/>
        <item x="42"/>
        <item x="145"/>
        <item x="30"/>
        <item x="78"/>
        <item x="9"/>
        <item x="36"/>
        <item x="18"/>
        <item x="87"/>
        <item x="84"/>
        <item x="141"/>
        <item x="28"/>
        <item x="99"/>
        <item x="48"/>
        <item x="107"/>
        <item x="3"/>
        <item x="47"/>
        <item x="106"/>
        <item x="35"/>
        <item x="102"/>
        <item x="115"/>
        <item x="59"/>
        <item x="4"/>
        <item x="41"/>
        <item x="83"/>
        <item x="86"/>
        <item x="33"/>
        <item x="62"/>
        <item x="21"/>
        <item x="13"/>
        <item x="82"/>
        <item x="10"/>
        <item x="14"/>
        <item x="45"/>
        <item x="129"/>
        <item x="39"/>
        <item x="137"/>
        <item x="108"/>
        <item x="67"/>
        <item x="114"/>
        <item x="8"/>
        <item x="136"/>
        <item x="1"/>
        <item x="118"/>
        <item x="70"/>
        <item x="64"/>
        <item x="66"/>
        <item x="85"/>
        <item x="113"/>
        <item x="79"/>
        <item x="2"/>
        <item x="7"/>
        <item x="71"/>
        <item x="105"/>
        <item x="127"/>
        <item x="46"/>
        <item x="44"/>
        <item x="54"/>
        <item x="139"/>
        <item x="122"/>
        <item x="40"/>
        <item x="95"/>
        <item x="32"/>
        <item x="27"/>
        <item x="88"/>
        <item x="103"/>
        <item x="26"/>
        <item x="38"/>
        <item x="148"/>
        <item x="57"/>
        <item x="58"/>
        <item x="104"/>
        <item x="11"/>
        <item x="12"/>
        <item x="116"/>
        <item x="130"/>
        <item x="20"/>
        <item x="119"/>
        <item x="121"/>
        <item x="94"/>
        <item x="77"/>
        <item x="69"/>
        <item x="150"/>
        <item x="133"/>
        <item x="19"/>
        <item x="60"/>
        <item x="75"/>
        <item x="81"/>
        <item x="98"/>
        <item x="142"/>
        <item x="144"/>
        <item x="131"/>
        <item x="93"/>
        <item x="140"/>
        <item x="73"/>
        <item x="125"/>
        <item x="5"/>
        <item x="92"/>
        <item x="37"/>
        <item x="52"/>
        <item x="80"/>
        <item x="109"/>
        <item x="51"/>
        <item x="89"/>
        <item x="151"/>
        <item x="17"/>
        <item x="22"/>
        <item x="53"/>
        <item x="149"/>
        <item x="132"/>
        <item x="90"/>
        <item x="6"/>
        <item x="152"/>
        <item t="default"/>
      </items>
    </pivotField>
    <pivotField showAll="0"/>
    <pivotField showAll="0"/>
    <pivotField showAll="0">
      <items count="7">
        <item x="1"/>
        <item x="5"/>
        <item x="0"/>
        <item x="4"/>
        <item x="2"/>
        <item x="3"/>
        <item t="default"/>
      </items>
    </pivotField>
    <pivotField showAll="0">
      <items count="9">
        <item x="2"/>
        <item x="3"/>
        <item m="1" x="7"/>
        <item x="1"/>
        <item x="4"/>
        <item x="0"/>
        <item m="1" x="6"/>
        <item x="5"/>
        <item t="default"/>
      </items>
    </pivotField>
    <pivotField showAll="0" defaultSubtotal="0"/>
    <pivotField showAll="0" defaultSubtotal="0">
      <items count="14">
        <item x="0"/>
        <item x="1"/>
        <item x="2"/>
        <item x="3"/>
        <item x="4"/>
        <item x="5"/>
        <item x="6"/>
        <item x="7"/>
        <item x="8"/>
        <item x="9"/>
        <item x="10"/>
        <item x="11"/>
        <item x="12"/>
        <item x="13"/>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axis="axisRow" showAll="0">
      <items count="15">
        <item x="0"/>
        <item x="1"/>
        <item x="2"/>
        <item x="3"/>
        <item x="4"/>
        <item x="5"/>
        <item x="6"/>
        <item x="7"/>
        <item x="8"/>
        <item x="9"/>
        <item x="10"/>
        <item x="11"/>
        <item x="12"/>
        <item x="13"/>
        <item t="default"/>
      </items>
    </pivotField>
    <pivotField axis="axisRow" showAll="0">
      <items count="129">
        <item x="0"/>
        <item h="1"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s>
  <rowFields count="2">
    <field x="27"/>
    <field x="26"/>
  </rowFields>
  <rowItems count="18">
    <i>
      <x v="125"/>
    </i>
    <i r="1">
      <x v="1"/>
    </i>
    <i r="1">
      <x v="2"/>
    </i>
    <i r="1">
      <x v="3"/>
    </i>
    <i r="1">
      <x v="4"/>
    </i>
    <i r="1">
      <x v="5"/>
    </i>
    <i r="1">
      <x v="6"/>
    </i>
    <i r="1">
      <x v="7"/>
    </i>
    <i r="1">
      <x v="8"/>
    </i>
    <i r="1">
      <x v="9"/>
    </i>
    <i r="1">
      <x v="10"/>
    </i>
    <i r="1">
      <x v="11"/>
    </i>
    <i r="1">
      <x v="12"/>
    </i>
    <i>
      <x v="126"/>
    </i>
    <i r="1">
      <x v="1"/>
    </i>
    <i r="1">
      <x v="2"/>
    </i>
    <i r="1">
      <x v="3"/>
    </i>
    <i t="grand">
      <x/>
    </i>
  </rowItems>
  <colItems count="1">
    <i/>
  </colItems>
  <dataFields count="1">
    <dataField name="Count of Client ID" fld="0" subtotal="count"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6457C5-D01E-C048-A296-560277CD976E}" name="PivotTable22" cacheId="1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rowHeaderCaption="Ethnicity">
  <location ref="Q25:R30" firstHeaderRow="1" firstDataRow="1" firstDataCol="1"/>
  <pivotFields count="28">
    <pivotField dataField="1" showAll="0"/>
    <pivotField numFmtId="14" showAll="0"/>
    <pivotField showAll="0"/>
    <pivotField showAll="0"/>
    <pivotField showAll="0">
      <items count="4">
        <item x="0"/>
        <item x="1"/>
        <item x="2"/>
        <item t="default"/>
      </items>
    </pivotField>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10">
        <item m="1" x="7"/>
        <item x="1"/>
        <item x="0"/>
        <item x="3"/>
        <item m="1" x="5"/>
        <item x="2"/>
        <item m="1" x="6"/>
        <item m="1" x="8"/>
        <item m="1" x="4"/>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2"/>
        <item x="5"/>
        <item x="0"/>
        <item x="1"/>
        <item x="4"/>
        <item x="3"/>
        <item t="default"/>
      </items>
    </pivotField>
    <pivotField numFmtId="14" showAll="0" sortType="ascending">
      <items count="167">
        <item x="130"/>
        <item x="85"/>
        <item x="149"/>
        <item x="64"/>
        <item x="52"/>
        <item x="120"/>
        <item x="47"/>
        <item x="98"/>
        <item x="67"/>
        <item x="0"/>
        <item x="18"/>
        <item x="106"/>
        <item x="74"/>
        <item x="36"/>
        <item x="53"/>
        <item x="161"/>
        <item x="33"/>
        <item x="116"/>
        <item x="26"/>
        <item x="92"/>
        <item x="118"/>
        <item x="69"/>
        <item x="89"/>
        <item x="28"/>
        <item x="156"/>
        <item x="93"/>
        <item x="27"/>
        <item x="21"/>
        <item x="99"/>
        <item x="24"/>
        <item x="109"/>
        <item x="59"/>
        <item x="160"/>
        <item x="77"/>
        <item x="139"/>
        <item x="117"/>
        <item x="10"/>
        <item x="119"/>
        <item x="151"/>
        <item x="141"/>
        <item x="40"/>
        <item x="152"/>
        <item x="78"/>
        <item x="103"/>
        <item x="80"/>
        <item x="125"/>
        <item x="20"/>
        <item x="105"/>
        <item x="129"/>
        <item x="38"/>
        <item x="51"/>
        <item x="143"/>
        <item x="87"/>
        <item x="83"/>
        <item x="62"/>
        <item x="46"/>
        <item x="131"/>
        <item x="32"/>
        <item x="134"/>
        <item x="9"/>
        <item x="14"/>
        <item x="97"/>
        <item x="135"/>
        <item x="113"/>
        <item x="84"/>
        <item x="3"/>
        <item x="144"/>
        <item x="37"/>
        <item x="101"/>
        <item x="15"/>
        <item x="104"/>
        <item x="157"/>
        <item x="71"/>
        <item x="76"/>
        <item x="136"/>
        <item x="138"/>
        <item x="142"/>
        <item x="49"/>
        <item x="45"/>
        <item x="65"/>
        <item x="102"/>
        <item x="121"/>
        <item x="86"/>
        <item x="4"/>
        <item x="107"/>
        <item x="35"/>
        <item x="123"/>
        <item x="11"/>
        <item x="66"/>
        <item x="150"/>
        <item x="114"/>
        <item x="90"/>
        <item x="72"/>
        <item x="153"/>
        <item x="73"/>
        <item x="1"/>
        <item x="43"/>
        <item x="8"/>
        <item x="2"/>
        <item x="7"/>
        <item x="126"/>
        <item x="79"/>
        <item x="68"/>
        <item x="147"/>
        <item x="30"/>
        <item x="122"/>
        <item x="96"/>
        <item x="42"/>
        <item x="133"/>
        <item x="48"/>
        <item x="148"/>
        <item x="112"/>
        <item x="140"/>
        <item x="13"/>
        <item x="127"/>
        <item x="34"/>
        <item x="57"/>
        <item x="132"/>
        <item x="60"/>
        <item x="95"/>
        <item x="111"/>
        <item x="50"/>
        <item x="12"/>
        <item x="22"/>
        <item x="23"/>
        <item x="17"/>
        <item x="44"/>
        <item x="75"/>
        <item x="70"/>
        <item x="155"/>
        <item x="128"/>
        <item x="63"/>
        <item x="124"/>
        <item x="29"/>
        <item x="100"/>
        <item x="61"/>
        <item x="55"/>
        <item x="41"/>
        <item x="54"/>
        <item x="81"/>
        <item x="110"/>
        <item x="94"/>
        <item x="154"/>
        <item x="158"/>
        <item x="163"/>
        <item x="82"/>
        <item x="145"/>
        <item x="5"/>
        <item x="108"/>
        <item x="159"/>
        <item x="88"/>
        <item x="164"/>
        <item x="137"/>
        <item x="146"/>
        <item x="19"/>
        <item x="58"/>
        <item x="165"/>
        <item x="6"/>
        <item x="25"/>
        <item x="39"/>
        <item x="162"/>
        <item x="115"/>
        <item x="56"/>
        <item x="31"/>
        <item x="91"/>
        <item x="16"/>
        <item t="default"/>
      </items>
    </pivotField>
    <pivotField showAll="0"/>
    <pivotField showAll="0"/>
    <pivotField showAll="0">
      <items count="156">
        <item x="16"/>
        <item x="129"/>
        <item x="142"/>
        <item x="146"/>
        <item x="96"/>
        <item x="42"/>
        <item x="105"/>
        <item x="149"/>
        <item x="32"/>
        <item x="65"/>
        <item x="150"/>
        <item x="61"/>
        <item x="0"/>
        <item x="63"/>
        <item x="55"/>
        <item x="87"/>
        <item x="24"/>
        <item x="92"/>
        <item x="48"/>
        <item x="94"/>
        <item x="25"/>
        <item x="117"/>
        <item x="20"/>
        <item x="119"/>
        <item x="17"/>
        <item x="124"/>
        <item x="35"/>
        <item x="49"/>
        <item x="26"/>
        <item x="95"/>
        <item x="75"/>
        <item x="30"/>
        <item x="143"/>
        <item x="56"/>
        <item x="78"/>
        <item x="101"/>
        <item x="120"/>
        <item x="148"/>
        <item x="86"/>
        <item x="118"/>
        <item x="102"/>
        <item x="80"/>
        <item x="89"/>
        <item x="37"/>
        <item x="19"/>
        <item x="138"/>
        <item x="10"/>
        <item x="47"/>
        <item x="114"/>
        <item x="130"/>
        <item x="145"/>
        <item x="100"/>
        <item x="128"/>
        <item x="104"/>
        <item x="126"/>
        <item x="41"/>
        <item x="132"/>
        <item x="9"/>
        <item x="106"/>
        <item x="113"/>
        <item x="31"/>
        <item x="74"/>
        <item x="84"/>
        <item x="46"/>
        <item x="59"/>
        <item x="88"/>
        <item x="109"/>
        <item x="3"/>
        <item x="36"/>
        <item x="14"/>
        <item x="134"/>
        <item x="136"/>
        <item x="62"/>
        <item x="121"/>
        <item x="29"/>
        <item x="15"/>
        <item x="103"/>
        <item x="76"/>
        <item x="137"/>
        <item x="4"/>
        <item x="83"/>
        <item x="34"/>
        <item x="107"/>
        <item x="69"/>
        <item x="82"/>
        <item x="11"/>
        <item x="44"/>
        <item x="40"/>
        <item x="85"/>
        <item x="1"/>
        <item x="8"/>
        <item x="123"/>
        <item x="71"/>
        <item x="64"/>
        <item x="70"/>
        <item x="67"/>
        <item x="7"/>
        <item x="144"/>
        <item x="122"/>
        <item x="79"/>
        <item x="2"/>
        <item x="115"/>
        <item x="131"/>
        <item x="66"/>
        <item x="112"/>
        <item x="99"/>
        <item x="39"/>
        <item x="28"/>
        <item x="43"/>
        <item x="135"/>
        <item x="45"/>
        <item x="141"/>
        <item x="111"/>
        <item x="53"/>
        <item x="22"/>
        <item x="57"/>
        <item x="33"/>
        <item x="98"/>
        <item x="13"/>
        <item x="12"/>
        <item x="127"/>
        <item x="27"/>
        <item x="21"/>
        <item x="90"/>
        <item x="58"/>
        <item x="68"/>
        <item x="110"/>
        <item x="60"/>
        <item x="81"/>
        <item x="77"/>
        <item x="51"/>
        <item x="72"/>
        <item x="152"/>
        <item x="147"/>
        <item x="97"/>
        <item x="50"/>
        <item x="139"/>
        <item x="91"/>
        <item x="133"/>
        <item x="23"/>
        <item x="125"/>
        <item x="73"/>
        <item x="108"/>
        <item x="38"/>
        <item x="18"/>
        <item x="153"/>
        <item x="5"/>
        <item x="140"/>
        <item x="151"/>
        <item x="116"/>
        <item x="6"/>
        <item x="54"/>
        <item x="154"/>
        <item x="52"/>
        <item x="93"/>
        <item t="default"/>
      </items>
    </pivotField>
    <pivotField showAll="0"/>
    <pivotField showAll="0"/>
    <pivotField showAll="0">
      <items count="154">
        <item x="15"/>
        <item x="143"/>
        <item x="91"/>
        <item x="146"/>
        <item x="43"/>
        <item x="147"/>
        <item x="134"/>
        <item x="63"/>
        <item x="120"/>
        <item x="65"/>
        <item x="61"/>
        <item x="23"/>
        <item x="112"/>
        <item x="49"/>
        <item x="0"/>
        <item x="31"/>
        <item x="72"/>
        <item x="100"/>
        <item x="111"/>
        <item x="55"/>
        <item x="24"/>
        <item x="68"/>
        <item x="16"/>
        <item x="34"/>
        <item x="50"/>
        <item x="135"/>
        <item x="117"/>
        <item x="126"/>
        <item x="97"/>
        <item x="138"/>
        <item x="29"/>
        <item x="128"/>
        <item x="25"/>
        <item x="74"/>
        <item x="96"/>
        <item x="110"/>
        <item x="123"/>
        <item x="124"/>
        <item x="56"/>
        <item x="76"/>
        <item x="101"/>
        <item x="42"/>
        <item x="145"/>
        <item x="30"/>
        <item x="78"/>
        <item x="9"/>
        <item x="36"/>
        <item x="18"/>
        <item x="87"/>
        <item x="84"/>
        <item x="141"/>
        <item x="28"/>
        <item x="99"/>
        <item x="48"/>
        <item x="107"/>
        <item x="3"/>
        <item x="47"/>
        <item x="106"/>
        <item x="35"/>
        <item x="102"/>
        <item x="115"/>
        <item x="59"/>
        <item x="4"/>
        <item x="41"/>
        <item x="83"/>
        <item x="86"/>
        <item x="33"/>
        <item x="62"/>
        <item x="21"/>
        <item x="13"/>
        <item x="82"/>
        <item x="10"/>
        <item x="14"/>
        <item x="45"/>
        <item x="129"/>
        <item x="39"/>
        <item x="137"/>
        <item x="108"/>
        <item x="67"/>
        <item x="114"/>
        <item x="8"/>
        <item x="136"/>
        <item x="1"/>
        <item x="118"/>
        <item x="70"/>
        <item x="64"/>
        <item x="66"/>
        <item x="85"/>
        <item x="113"/>
        <item x="79"/>
        <item x="2"/>
        <item x="7"/>
        <item x="71"/>
        <item x="105"/>
        <item x="127"/>
        <item x="46"/>
        <item x="44"/>
        <item x="54"/>
        <item x="139"/>
        <item x="122"/>
        <item x="40"/>
        <item x="95"/>
        <item x="32"/>
        <item x="27"/>
        <item x="88"/>
        <item x="103"/>
        <item x="26"/>
        <item x="38"/>
        <item x="148"/>
        <item x="57"/>
        <item x="58"/>
        <item x="104"/>
        <item x="11"/>
        <item x="12"/>
        <item x="116"/>
        <item x="130"/>
        <item x="20"/>
        <item x="119"/>
        <item x="121"/>
        <item x="94"/>
        <item x="77"/>
        <item x="69"/>
        <item x="150"/>
        <item x="133"/>
        <item x="19"/>
        <item x="60"/>
        <item x="75"/>
        <item x="81"/>
        <item x="98"/>
        <item x="142"/>
        <item x="144"/>
        <item x="131"/>
        <item x="93"/>
        <item x="140"/>
        <item x="73"/>
        <item x="125"/>
        <item x="5"/>
        <item x="92"/>
        <item x="37"/>
        <item x="52"/>
        <item x="80"/>
        <item x="109"/>
        <item x="51"/>
        <item x="89"/>
        <item x="151"/>
        <item x="17"/>
        <item x="22"/>
        <item x="53"/>
        <item x="149"/>
        <item x="132"/>
        <item x="90"/>
        <item x="6"/>
        <item x="152"/>
        <item t="default"/>
      </items>
    </pivotField>
    <pivotField showAll="0"/>
    <pivotField showAll="0"/>
    <pivotField showAll="0">
      <items count="7">
        <item x="1"/>
        <item x="5"/>
        <item x="0"/>
        <item x="4"/>
        <item x="2"/>
        <item x="3"/>
        <item t="default"/>
      </items>
    </pivotField>
    <pivotField showAll="0">
      <items count="9">
        <item x="2"/>
        <item x="3"/>
        <item m="1" x="7"/>
        <item x="1"/>
        <item x="4"/>
        <item x="0"/>
        <item m="1" x="6"/>
        <item x="5"/>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items count="15">
        <item x="0"/>
        <item x="1"/>
        <item x="2"/>
        <item x="3"/>
        <item x="4"/>
        <item x="5"/>
        <item x="6"/>
        <item x="7"/>
        <item x="8"/>
        <item x="9"/>
        <item x="10"/>
        <item x="11"/>
        <item x="12"/>
        <item x="13"/>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s>
  <rowFields count="1">
    <field x="6"/>
  </rowFields>
  <rowItems count="5">
    <i>
      <x v="3"/>
    </i>
    <i>
      <x v="5"/>
    </i>
    <i>
      <x v="1"/>
    </i>
    <i>
      <x v="2"/>
    </i>
    <i t="grand">
      <x/>
    </i>
  </rowItems>
  <colItems count="1">
    <i/>
  </colItems>
  <dataFields count="1">
    <dataField name="Count" fld="0" subtotal="count" baseField="0" baseItem="0"/>
  </dataFields>
  <formats count="1">
    <format dxfId="144">
      <pivotArea outline="0" collapsedLevelsAreSubtotals="1" fieldPosition="0"/>
    </format>
  </formats>
  <chartFormats count="11">
    <chartFormat chart="28" format="0" series="1">
      <pivotArea type="data" outline="0" fieldPosition="0">
        <references count="1">
          <reference field="4294967294" count="1" selected="0">
            <x v="0"/>
          </reference>
        </references>
      </pivotArea>
    </chartFormat>
    <chartFormat chart="39" format="1" series="1">
      <pivotArea type="data" outline="0" fieldPosition="0">
        <references count="1">
          <reference field="4294967294" count="1" selected="0">
            <x v="0"/>
          </reference>
        </references>
      </pivotArea>
    </chartFormat>
    <chartFormat chart="39" format="2">
      <pivotArea type="data" outline="0" fieldPosition="0">
        <references count="2">
          <reference field="4294967294" count="1" selected="0">
            <x v="0"/>
          </reference>
          <reference field="6" count="1" selected="0">
            <x v="1"/>
          </reference>
        </references>
      </pivotArea>
    </chartFormat>
    <chartFormat chart="39" format="3">
      <pivotArea type="data" outline="0" fieldPosition="0">
        <references count="2">
          <reference field="4294967294" count="1" selected="0">
            <x v="0"/>
          </reference>
          <reference field="6" count="1" selected="0">
            <x v="2"/>
          </reference>
        </references>
      </pivotArea>
    </chartFormat>
    <chartFormat chart="39" format="4">
      <pivotArea type="data" outline="0" fieldPosition="0">
        <references count="2">
          <reference field="4294967294" count="1" selected="0">
            <x v="0"/>
          </reference>
          <reference field="6" count="1" selected="0">
            <x v="3"/>
          </reference>
        </references>
      </pivotArea>
    </chartFormat>
    <chartFormat chart="39" format="5">
      <pivotArea type="data" outline="0" fieldPosition="0">
        <references count="2">
          <reference field="4294967294" count="1" selected="0">
            <x v="0"/>
          </reference>
          <reference field="6" count="1" selected="0">
            <x v="5"/>
          </reference>
        </references>
      </pivotArea>
    </chartFormat>
    <chartFormat chart="40" format="6" series="1">
      <pivotArea type="data" outline="0" fieldPosition="0">
        <references count="1">
          <reference field="4294967294" count="1" selected="0">
            <x v="0"/>
          </reference>
        </references>
      </pivotArea>
    </chartFormat>
    <chartFormat chart="40" format="7">
      <pivotArea type="data" outline="0" fieldPosition="0">
        <references count="2">
          <reference field="4294967294" count="1" selected="0">
            <x v="0"/>
          </reference>
          <reference field="6" count="1" selected="0">
            <x v="1"/>
          </reference>
        </references>
      </pivotArea>
    </chartFormat>
    <chartFormat chart="40" format="8">
      <pivotArea type="data" outline="0" fieldPosition="0">
        <references count="2">
          <reference field="4294967294" count="1" selected="0">
            <x v="0"/>
          </reference>
          <reference field="6" count="1" selected="0">
            <x v="2"/>
          </reference>
        </references>
      </pivotArea>
    </chartFormat>
    <chartFormat chart="40" format="9">
      <pivotArea type="data" outline="0" fieldPosition="0">
        <references count="2">
          <reference field="4294967294" count="1" selected="0">
            <x v="0"/>
          </reference>
          <reference field="6" count="1" selected="0">
            <x v="3"/>
          </reference>
        </references>
      </pivotArea>
    </chartFormat>
    <chartFormat chart="40" format="10">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4915CC-1DC8-2845-AD07-498F788CDF51}" name="Client Gender" cacheId="1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7" firstHeaderRow="1" firstDataRow="1" firstDataCol="1"/>
  <pivotFields count="28">
    <pivotField dataField="1" showAll="0"/>
    <pivotField numFmtId="14" showAll="0"/>
    <pivotField showAll="0"/>
    <pivotField showAll="0"/>
    <pivotField axis="axisRow" showAll="0">
      <items count="4">
        <item x="0"/>
        <item x="1"/>
        <item x="2"/>
        <item t="default"/>
      </items>
    </pivotField>
    <pivotField showAll="0"/>
    <pivotField showAll="0"/>
    <pivotField showAll="0"/>
    <pivotField showAll="0"/>
    <pivotField showAll="0">
      <items count="7">
        <item x="2"/>
        <item x="5"/>
        <item x="0"/>
        <item x="1"/>
        <item x="4"/>
        <item x="3"/>
        <item t="default"/>
      </items>
    </pivotField>
    <pivotField numFmtId="14" showAll="0">
      <items count="167">
        <item x="130"/>
        <item x="85"/>
        <item x="149"/>
        <item x="64"/>
        <item x="52"/>
        <item x="120"/>
        <item x="47"/>
        <item x="98"/>
        <item x="67"/>
        <item x="0"/>
        <item x="18"/>
        <item x="106"/>
        <item x="74"/>
        <item x="36"/>
        <item x="53"/>
        <item x="161"/>
        <item x="33"/>
        <item x="116"/>
        <item x="26"/>
        <item x="92"/>
        <item x="118"/>
        <item x="69"/>
        <item x="89"/>
        <item x="28"/>
        <item x="156"/>
        <item x="93"/>
        <item x="27"/>
        <item x="21"/>
        <item x="99"/>
        <item x="24"/>
        <item x="109"/>
        <item x="59"/>
        <item x="160"/>
        <item x="77"/>
        <item x="139"/>
        <item x="117"/>
        <item x="10"/>
        <item x="119"/>
        <item x="151"/>
        <item x="141"/>
        <item x="40"/>
        <item x="152"/>
        <item x="78"/>
        <item x="103"/>
        <item x="80"/>
        <item x="125"/>
        <item x="20"/>
        <item x="105"/>
        <item x="129"/>
        <item x="38"/>
        <item x="51"/>
        <item x="143"/>
        <item x="87"/>
        <item x="83"/>
        <item x="62"/>
        <item x="46"/>
        <item x="131"/>
        <item x="32"/>
        <item x="134"/>
        <item x="9"/>
        <item x="14"/>
        <item x="97"/>
        <item x="135"/>
        <item x="113"/>
        <item x="84"/>
        <item x="3"/>
        <item x="144"/>
        <item x="37"/>
        <item x="101"/>
        <item x="15"/>
        <item x="104"/>
        <item x="157"/>
        <item x="71"/>
        <item x="76"/>
        <item x="136"/>
        <item x="138"/>
        <item x="142"/>
        <item x="49"/>
        <item x="45"/>
        <item x="65"/>
        <item x="102"/>
        <item x="121"/>
        <item x="86"/>
        <item x="4"/>
        <item x="107"/>
        <item x="35"/>
        <item x="123"/>
        <item x="11"/>
        <item x="66"/>
        <item x="150"/>
        <item x="114"/>
        <item x="90"/>
        <item x="72"/>
        <item x="153"/>
        <item x="73"/>
        <item x="1"/>
        <item x="43"/>
        <item x="8"/>
        <item x="2"/>
        <item x="7"/>
        <item x="126"/>
        <item x="79"/>
        <item x="68"/>
        <item x="147"/>
        <item x="30"/>
        <item x="122"/>
        <item x="96"/>
        <item x="42"/>
        <item x="133"/>
        <item x="48"/>
        <item x="148"/>
        <item x="112"/>
        <item x="140"/>
        <item x="13"/>
        <item x="127"/>
        <item x="34"/>
        <item x="57"/>
        <item x="132"/>
        <item x="60"/>
        <item x="95"/>
        <item x="111"/>
        <item x="50"/>
        <item x="12"/>
        <item x="22"/>
        <item x="23"/>
        <item x="17"/>
        <item x="44"/>
        <item x="75"/>
        <item x="70"/>
        <item x="155"/>
        <item x="128"/>
        <item x="63"/>
        <item x="124"/>
        <item x="29"/>
        <item x="100"/>
        <item x="61"/>
        <item x="55"/>
        <item x="41"/>
        <item x="54"/>
        <item x="81"/>
        <item x="110"/>
        <item x="94"/>
        <item x="154"/>
        <item x="158"/>
        <item x="163"/>
        <item x="82"/>
        <item x="145"/>
        <item x="5"/>
        <item x="108"/>
        <item x="159"/>
        <item x="88"/>
        <item x="164"/>
        <item x="137"/>
        <item x="146"/>
        <item x="19"/>
        <item x="58"/>
        <item x="165"/>
        <item x="6"/>
        <item x="25"/>
        <item x="39"/>
        <item x="162"/>
        <item x="115"/>
        <item x="56"/>
        <item x="31"/>
        <item x="91"/>
        <item x="16"/>
        <item t="default"/>
      </items>
    </pivotField>
    <pivotField showAll="0"/>
    <pivotField showAll="0"/>
    <pivotField showAll="0">
      <items count="156">
        <item x="16"/>
        <item x="129"/>
        <item x="142"/>
        <item x="146"/>
        <item x="96"/>
        <item x="42"/>
        <item x="105"/>
        <item x="149"/>
        <item x="32"/>
        <item x="65"/>
        <item x="150"/>
        <item x="61"/>
        <item x="0"/>
        <item x="63"/>
        <item x="55"/>
        <item x="87"/>
        <item x="24"/>
        <item x="92"/>
        <item x="48"/>
        <item x="94"/>
        <item x="25"/>
        <item x="117"/>
        <item x="20"/>
        <item x="119"/>
        <item x="17"/>
        <item x="124"/>
        <item x="35"/>
        <item x="49"/>
        <item x="26"/>
        <item x="95"/>
        <item x="75"/>
        <item x="30"/>
        <item x="143"/>
        <item x="56"/>
        <item x="78"/>
        <item x="101"/>
        <item x="120"/>
        <item x="148"/>
        <item x="86"/>
        <item x="118"/>
        <item x="102"/>
        <item x="80"/>
        <item x="89"/>
        <item x="37"/>
        <item x="19"/>
        <item x="138"/>
        <item x="10"/>
        <item x="47"/>
        <item x="114"/>
        <item x="130"/>
        <item x="145"/>
        <item x="100"/>
        <item x="128"/>
        <item x="104"/>
        <item x="126"/>
        <item x="41"/>
        <item x="132"/>
        <item x="9"/>
        <item x="106"/>
        <item x="113"/>
        <item x="31"/>
        <item x="74"/>
        <item x="84"/>
        <item x="46"/>
        <item x="59"/>
        <item x="88"/>
        <item x="109"/>
        <item x="3"/>
        <item x="36"/>
        <item x="14"/>
        <item x="134"/>
        <item x="136"/>
        <item x="62"/>
        <item x="121"/>
        <item x="29"/>
        <item x="15"/>
        <item x="103"/>
        <item x="76"/>
        <item x="137"/>
        <item x="4"/>
        <item x="83"/>
        <item x="34"/>
        <item x="107"/>
        <item x="69"/>
        <item x="82"/>
        <item x="11"/>
        <item x="44"/>
        <item x="40"/>
        <item x="85"/>
        <item x="1"/>
        <item x="8"/>
        <item x="123"/>
        <item x="71"/>
        <item x="64"/>
        <item x="70"/>
        <item x="67"/>
        <item x="7"/>
        <item x="144"/>
        <item x="122"/>
        <item x="79"/>
        <item x="2"/>
        <item x="115"/>
        <item x="131"/>
        <item x="66"/>
        <item x="112"/>
        <item x="99"/>
        <item x="39"/>
        <item x="28"/>
        <item x="43"/>
        <item x="135"/>
        <item x="45"/>
        <item x="141"/>
        <item x="111"/>
        <item x="53"/>
        <item x="22"/>
        <item x="57"/>
        <item x="33"/>
        <item x="98"/>
        <item x="13"/>
        <item x="12"/>
        <item x="127"/>
        <item x="27"/>
        <item x="21"/>
        <item x="90"/>
        <item x="58"/>
        <item x="68"/>
        <item x="110"/>
        <item x="60"/>
        <item x="81"/>
        <item x="77"/>
        <item x="51"/>
        <item x="72"/>
        <item x="152"/>
        <item x="147"/>
        <item x="97"/>
        <item x="50"/>
        <item x="139"/>
        <item x="91"/>
        <item x="133"/>
        <item x="23"/>
        <item x="125"/>
        <item x="73"/>
        <item x="108"/>
        <item x="38"/>
        <item x="18"/>
        <item x="153"/>
        <item x="5"/>
        <item x="140"/>
        <item x="151"/>
        <item x="116"/>
        <item x="6"/>
        <item x="54"/>
        <item x="154"/>
        <item x="52"/>
        <item x="93"/>
        <item t="default"/>
      </items>
    </pivotField>
    <pivotField showAll="0"/>
    <pivotField showAll="0"/>
    <pivotField showAll="0">
      <items count="154">
        <item x="15"/>
        <item x="143"/>
        <item x="91"/>
        <item x="146"/>
        <item x="43"/>
        <item x="147"/>
        <item x="134"/>
        <item x="63"/>
        <item x="120"/>
        <item x="65"/>
        <item x="61"/>
        <item x="23"/>
        <item x="112"/>
        <item x="49"/>
        <item x="0"/>
        <item x="31"/>
        <item x="72"/>
        <item x="100"/>
        <item x="111"/>
        <item x="55"/>
        <item x="24"/>
        <item x="68"/>
        <item x="16"/>
        <item x="34"/>
        <item x="50"/>
        <item x="135"/>
        <item x="117"/>
        <item x="126"/>
        <item x="97"/>
        <item x="138"/>
        <item x="29"/>
        <item x="128"/>
        <item x="25"/>
        <item x="74"/>
        <item x="96"/>
        <item x="110"/>
        <item x="123"/>
        <item x="124"/>
        <item x="56"/>
        <item x="76"/>
        <item x="101"/>
        <item x="42"/>
        <item x="145"/>
        <item x="30"/>
        <item x="78"/>
        <item x="9"/>
        <item x="36"/>
        <item x="18"/>
        <item x="87"/>
        <item x="84"/>
        <item x="141"/>
        <item x="28"/>
        <item x="99"/>
        <item x="48"/>
        <item x="107"/>
        <item x="3"/>
        <item x="47"/>
        <item x="106"/>
        <item x="35"/>
        <item x="102"/>
        <item x="115"/>
        <item x="59"/>
        <item x="4"/>
        <item x="41"/>
        <item x="83"/>
        <item x="86"/>
        <item x="33"/>
        <item x="62"/>
        <item x="21"/>
        <item x="13"/>
        <item x="82"/>
        <item x="10"/>
        <item x="14"/>
        <item x="45"/>
        <item x="129"/>
        <item x="39"/>
        <item x="137"/>
        <item x="108"/>
        <item x="67"/>
        <item x="114"/>
        <item x="8"/>
        <item x="136"/>
        <item x="1"/>
        <item x="118"/>
        <item x="70"/>
        <item x="64"/>
        <item x="66"/>
        <item x="85"/>
        <item x="113"/>
        <item x="79"/>
        <item x="2"/>
        <item x="7"/>
        <item x="71"/>
        <item x="105"/>
        <item x="127"/>
        <item x="46"/>
        <item x="44"/>
        <item x="54"/>
        <item x="139"/>
        <item x="122"/>
        <item x="40"/>
        <item x="95"/>
        <item x="32"/>
        <item x="27"/>
        <item x="88"/>
        <item x="103"/>
        <item x="26"/>
        <item x="38"/>
        <item x="148"/>
        <item x="57"/>
        <item x="58"/>
        <item x="104"/>
        <item x="11"/>
        <item x="12"/>
        <item x="116"/>
        <item x="130"/>
        <item x="20"/>
        <item x="119"/>
        <item x="121"/>
        <item x="94"/>
        <item x="77"/>
        <item x="69"/>
        <item x="150"/>
        <item x="133"/>
        <item x="19"/>
        <item x="60"/>
        <item x="75"/>
        <item x="81"/>
        <item x="98"/>
        <item x="142"/>
        <item x="144"/>
        <item x="131"/>
        <item x="93"/>
        <item x="140"/>
        <item x="73"/>
        <item x="125"/>
        <item x="5"/>
        <item x="92"/>
        <item x="37"/>
        <item x="52"/>
        <item x="80"/>
        <item x="109"/>
        <item x="51"/>
        <item x="89"/>
        <item x="151"/>
        <item x="17"/>
        <item x="22"/>
        <item x="53"/>
        <item x="149"/>
        <item x="132"/>
        <item x="90"/>
        <item x="6"/>
        <item x="152"/>
        <item t="default"/>
      </items>
    </pivotField>
    <pivotField showAll="0"/>
    <pivotField showAll="0"/>
    <pivotField showAll="0">
      <items count="7">
        <item x="1"/>
        <item x="5"/>
        <item x="0"/>
        <item x="4"/>
        <item x="2"/>
        <item x="3"/>
        <item t="default"/>
      </items>
    </pivotField>
    <pivotField showAll="0">
      <items count="9">
        <item x="2"/>
        <item x="3"/>
        <item m="1" x="7"/>
        <item x="1"/>
        <item x="4"/>
        <item x="0"/>
        <item m="1" x="6"/>
        <item x="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items count="15">
        <item x="0"/>
        <item x="1"/>
        <item x="2"/>
        <item x="3"/>
        <item x="4"/>
        <item x="5"/>
        <item x="6"/>
        <item x="7"/>
        <item x="8"/>
        <item x="9"/>
        <item x="10"/>
        <item x="11"/>
        <item x="12"/>
        <item x="13"/>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s>
  <rowFields count="1">
    <field x="4"/>
  </rowFields>
  <rowItems count="4">
    <i>
      <x/>
    </i>
    <i>
      <x v="1"/>
    </i>
    <i>
      <x v="2"/>
    </i>
    <i t="grand">
      <x/>
    </i>
  </rowItems>
  <colItems count="1">
    <i/>
  </colItems>
  <dataFields count="1">
    <dataField name="Count of Clien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9552A3-1FF2-CC4C-8B2E-03496921BEBE}" name="PivotTable23" cacheId="1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Ethnicity">
  <location ref="Q38:R45" firstHeaderRow="1" firstDataRow="1" firstDataCol="1"/>
  <pivotFields count="28">
    <pivotField dataField="1" showAll="0"/>
    <pivotField numFmtId="14" showAll="0"/>
    <pivotField showAll="0"/>
    <pivotField showAll="0"/>
    <pivotField showAll="0">
      <items count="4">
        <item x="0"/>
        <item x="1"/>
        <item x="2"/>
        <item t="default"/>
      </items>
    </pivotField>
    <pivotField showAll="0" sortType="descending">
      <autoSortScope>
        <pivotArea dataOnly="0" outline="0" fieldPosition="0">
          <references count="1">
            <reference field="4294967294" count="1" selected="0">
              <x v="0"/>
            </reference>
          </references>
        </pivotArea>
      </autoSortScope>
    </pivotField>
    <pivotField axis="axisRow" showAll="0">
      <items count="10">
        <item x="1"/>
        <item m="1" x="7"/>
        <item x="3"/>
        <item m="1" x="5"/>
        <item x="0"/>
        <item x="2"/>
        <item m="1" x="6"/>
        <item m="1" x="8"/>
        <item m="1" x="4"/>
        <item t="default"/>
      </items>
    </pivotField>
    <pivotField axis="axisRow" showAll="0">
      <items count="3">
        <item x="0"/>
        <item x="1"/>
        <item t="default"/>
      </items>
    </pivotField>
    <pivotField showAll="0"/>
    <pivotField showAll="0">
      <items count="7">
        <item x="2"/>
        <item x="5"/>
        <item x="0"/>
        <item x="1"/>
        <item x="4"/>
        <item x="3"/>
        <item t="default"/>
      </items>
    </pivotField>
    <pivotField numFmtId="14" showAll="0" sortType="ascending">
      <items count="167">
        <item x="130"/>
        <item x="85"/>
        <item x="149"/>
        <item x="64"/>
        <item x="52"/>
        <item x="120"/>
        <item x="47"/>
        <item x="98"/>
        <item x="67"/>
        <item x="0"/>
        <item x="18"/>
        <item x="106"/>
        <item x="74"/>
        <item x="36"/>
        <item x="53"/>
        <item x="161"/>
        <item x="33"/>
        <item x="116"/>
        <item x="26"/>
        <item x="92"/>
        <item x="118"/>
        <item x="69"/>
        <item x="89"/>
        <item x="28"/>
        <item x="156"/>
        <item x="93"/>
        <item x="27"/>
        <item x="21"/>
        <item x="99"/>
        <item x="24"/>
        <item x="109"/>
        <item x="59"/>
        <item x="160"/>
        <item x="77"/>
        <item x="139"/>
        <item x="117"/>
        <item x="10"/>
        <item x="119"/>
        <item x="151"/>
        <item x="141"/>
        <item x="40"/>
        <item x="152"/>
        <item x="78"/>
        <item x="103"/>
        <item x="80"/>
        <item x="125"/>
        <item x="20"/>
        <item x="105"/>
        <item x="129"/>
        <item x="38"/>
        <item x="51"/>
        <item x="143"/>
        <item x="87"/>
        <item x="83"/>
        <item x="62"/>
        <item x="46"/>
        <item x="131"/>
        <item x="32"/>
        <item x="134"/>
        <item x="9"/>
        <item x="14"/>
        <item x="97"/>
        <item x="135"/>
        <item x="113"/>
        <item x="84"/>
        <item x="3"/>
        <item x="144"/>
        <item x="37"/>
        <item x="101"/>
        <item x="15"/>
        <item x="104"/>
        <item x="157"/>
        <item x="71"/>
        <item x="76"/>
        <item x="136"/>
        <item x="138"/>
        <item x="142"/>
        <item x="49"/>
        <item x="45"/>
        <item x="65"/>
        <item x="102"/>
        <item x="121"/>
        <item x="86"/>
        <item x="4"/>
        <item x="107"/>
        <item x="35"/>
        <item x="123"/>
        <item x="11"/>
        <item x="66"/>
        <item x="150"/>
        <item x="114"/>
        <item x="90"/>
        <item x="72"/>
        <item x="153"/>
        <item x="73"/>
        <item x="1"/>
        <item x="43"/>
        <item x="8"/>
        <item x="2"/>
        <item x="7"/>
        <item x="126"/>
        <item x="79"/>
        <item x="68"/>
        <item x="147"/>
        <item x="30"/>
        <item x="122"/>
        <item x="96"/>
        <item x="42"/>
        <item x="133"/>
        <item x="48"/>
        <item x="148"/>
        <item x="112"/>
        <item x="140"/>
        <item x="13"/>
        <item x="127"/>
        <item x="34"/>
        <item x="57"/>
        <item x="132"/>
        <item x="60"/>
        <item x="95"/>
        <item x="111"/>
        <item x="50"/>
        <item x="12"/>
        <item x="22"/>
        <item x="23"/>
        <item x="17"/>
        <item x="44"/>
        <item x="75"/>
        <item x="70"/>
        <item x="155"/>
        <item x="128"/>
        <item x="63"/>
        <item x="124"/>
        <item x="29"/>
        <item x="100"/>
        <item x="61"/>
        <item x="55"/>
        <item x="41"/>
        <item x="54"/>
        <item x="81"/>
        <item x="110"/>
        <item x="94"/>
        <item x="154"/>
        <item x="158"/>
        <item x="163"/>
        <item x="82"/>
        <item x="145"/>
        <item x="5"/>
        <item x="108"/>
        <item x="159"/>
        <item x="88"/>
        <item x="164"/>
        <item x="137"/>
        <item x="146"/>
        <item x="19"/>
        <item x="58"/>
        <item x="165"/>
        <item x="6"/>
        <item x="25"/>
        <item x="39"/>
        <item x="162"/>
        <item x="115"/>
        <item x="56"/>
        <item x="31"/>
        <item x="91"/>
        <item x="16"/>
        <item t="default"/>
      </items>
    </pivotField>
    <pivotField showAll="0"/>
    <pivotField showAll="0"/>
    <pivotField showAll="0">
      <items count="156">
        <item x="16"/>
        <item x="129"/>
        <item x="142"/>
        <item x="146"/>
        <item x="96"/>
        <item x="42"/>
        <item x="105"/>
        <item x="149"/>
        <item x="32"/>
        <item x="65"/>
        <item x="150"/>
        <item x="61"/>
        <item x="0"/>
        <item x="63"/>
        <item x="55"/>
        <item x="87"/>
        <item x="24"/>
        <item x="92"/>
        <item x="48"/>
        <item x="94"/>
        <item x="25"/>
        <item x="117"/>
        <item x="20"/>
        <item x="119"/>
        <item x="17"/>
        <item x="124"/>
        <item x="35"/>
        <item x="49"/>
        <item x="26"/>
        <item x="95"/>
        <item x="75"/>
        <item x="30"/>
        <item x="143"/>
        <item x="56"/>
        <item x="78"/>
        <item x="101"/>
        <item x="120"/>
        <item x="148"/>
        <item x="86"/>
        <item x="118"/>
        <item x="102"/>
        <item x="80"/>
        <item x="89"/>
        <item x="37"/>
        <item x="19"/>
        <item x="138"/>
        <item x="10"/>
        <item x="47"/>
        <item x="114"/>
        <item x="130"/>
        <item x="145"/>
        <item x="100"/>
        <item x="128"/>
        <item x="104"/>
        <item x="126"/>
        <item x="41"/>
        <item x="132"/>
        <item x="9"/>
        <item x="106"/>
        <item x="113"/>
        <item x="31"/>
        <item x="74"/>
        <item x="84"/>
        <item x="46"/>
        <item x="59"/>
        <item x="88"/>
        <item x="109"/>
        <item x="3"/>
        <item x="36"/>
        <item x="14"/>
        <item x="134"/>
        <item x="136"/>
        <item x="62"/>
        <item x="121"/>
        <item x="29"/>
        <item x="15"/>
        <item x="103"/>
        <item x="76"/>
        <item x="137"/>
        <item x="4"/>
        <item x="83"/>
        <item x="34"/>
        <item x="107"/>
        <item x="69"/>
        <item x="82"/>
        <item x="11"/>
        <item x="44"/>
        <item x="40"/>
        <item x="85"/>
        <item x="1"/>
        <item x="8"/>
        <item x="123"/>
        <item x="71"/>
        <item x="64"/>
        <item x="70"/>
        <item x="67"/>
        <item x="7"/>
        <item x="144"/>
        <item x="122"/>
        <item x="79"/>
        <item x="2"/>
        <item x="115"/>
        <item x="131"/>
        <item x="66"/>
        <item x="112"/>
        <item x="99"/>
        <item x="39"/>
        <item x="28"/>
        <item x="43"/>
        <item x="135"/>
        <item x="45"/>
        <item x="141"/>
        <item x="111"/>
        <item x="53"/>
        <item x="22"/>
        <item x="57"/>
        <item x="33"/>
        <item x="98"/>
        <item x="13"/>
        <item x="12"/>
        <item x="127"/>
        <item x="27"/>
        <item x="21"/>
        <item x="90"/>
        <item x="58"/>
        <item x="68"/>
        <item x="110"/>
        <item x="60"/>
        <item x="81"/>
        <item x="77"/>
        <item x="51"/>
        <item x="72"/>
        <item x="152"/>
        <item x="147"/>
        <item x="97"/>
        <item x="50"/>
        <item x="139"/>
        <item x="91"/>
        <item x="133"/>
        <item x="23"/>
        <item x="125"/>
        <item x="73"/>
        <item x="108"/>
        <item x="38"/>
        <item x="18"/>
        <item x="153"/>
        <item x="5"/>
        <item x="140"/>
        <item x="151"/>
        <item x="116"/>
        <item x="6"/>
        <item x="54"/>
        <item x="154"/>
        <item x="52"/>
        <item x="93"/>
        <item t="default"/>
      </items>
    </pivotField>
    <pivotField showAll="0"/>
    <pivotField showAll="0"/>
    <pivotField showAll="0">
      <items count="154">
        <item x="15"/>
        <item x="143"/>
        <item x="91"/>
        <item x="146"/>
        <item x="43"/>
        <item x="147"/>
        <item x="134"/>
        <item x="63"/>
        <item x="120"/>
        <item x="65"/>
        <item x="61"/>
        <item x="23"/>
        <item x="112"/>
        <item x="49"/>
        <item x="0"/>
        <item x="31"/>
        <item x="72"/>
        <item x="100"/>
        <item x="111"/>
        <item x="55"/>
        <item x="24"/>
        <item x="68"/>
        <item x="16"/>
        <item x="34"/>
        <item x="50"/>
        <item x="135"/>
        <item x="117"/>
        <item x="126"/>
        <item x="97"/>
        <item x="138"/>
        <item x="29"/>
        <item x="128"/>
        <item x="25"/>
        <item x="74"/>
        <item x="96"/>
        <item x="110"/>
        <item x="123"/>
        <item x="124"/>
        <item x="56"/>
        <item x="76"/>
        <item x="101"/>
        <item x="42"/>
        <item x="145"/>
        <item x="30"/>
        <item x="78"/>
        <item x="9"/>
        <item x="36"/>
        <item x="18"/>
        <item x="87"/>
        <item x="84"/>
        <item x="141"/>
        <item x="28"/>
        <item x="99"/>
        <item x="48"/>
        <item x="107"/>
        <item x="3"/>
        <item x="47"/>
        <item x="106"/>
        <item x="35"/>
        <item x="102"/>
        <item x="115"/>
        <item x="59"/>
        <item x="4"/>
        <item x="41"/>
        <item x="83"/>
        <item x="86"/>
        <item x="33"/>
        <item x="62"/>
        <item x="21"/>
        <item x="13"/>
        <item x="82"/>
        <item x="10"/>
        <item x="14"/>
        <item x="45"/>
        <item x="129"/>
        <item x="39"/>
        <item x="137"/>
        <item x="108"/>
        <item x="67"/>
        <item x="114"/>
        <item x="8"/>
        <item x="136"/>
        <item x="1"/>
        <item x="118"/>
        <item x="70"/>
        <item x="64"/>
        <item x="66"/>
        <item x="85"/>
        <item x="113"/>
        <item x="79"/>
        <item x="2"/>
        <item x="7"/>
        <item x="71"/>
        <item x="105"/>
        <item x="127"/>
        <item x="46"/>
        <item x="44"/>
        <item x="54"/>
        <item x="139"/>
        <item x="122"/>
        <item x="40"/>
        <item x="95"/>
        <item x="32"/>
        <item x="27"/>
        <item x="88"/>
        <item x="103"/>
        <item x="26"/>
        <item x="38"/>
        <item x="148"/>
        <item x="57"/>
        <item x="58"/>
        <item x="104"/>
        <item x="11"/>
        <item x="12"/>
        <item x="116"/>
        <item x="130"/>
        <item x="20"/>
        <item x="119"/>
        <item x="121"/>
        <item x="94"/>
        <item x="77"/>
        <item x="69"/>
        <item x="150"/>
        <item x="133"/>
        <item x="19"/>
        <item x="60"/>
        <item x="75"/>
        <item x="81"/>
        <item x="98"/>
        <item x="142"/>
        <item x="144"/>
        <item x="131"/>
        <item x="93"/>
        <item x="140"/>
        <item x="73"/>
        <item x="125"/>
        <item x="5"/>
        <item x="92"/>
        <item x="37"/>
        <item x="52"/>
        <item x="80"/>
        <item x="109"/>
        <item x="51"/>
        <item x="89"/>
        <item x="151"/>
        <item x="17"/>
        <item x="22"/>
        <item x="53"/>
        <item x="149"/>
        <item x="132"/>
        <item x="90"/>
        <item x="6"/>
        <item x="152"/>
        <item t="default"/>
      </items>
    </pivotField>
    <pivotField showAll="0"/>
    <pivotField showAll="0"/>
    <pivotField showAll="0">
      <items count="7">
        <item x="1"/>
        <item x="5"/>
        <item x="0"/>
        <item x="4"/>
        <item x="2"/>
        <item x="3"/>
        <item t="default"/>
      </items>
    </pivotField>
    <pivotField showAll="0">
      <items count="9">
        <item x="2"/>
        <item x="3"/>
        <item m="1" x="7"/>
        <item x="1"/>
        <item x="4"/>
        <item x="0"/>
        <item m="1" x="6"/>
        <item x="5"/>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items count="15">
        <item x="0"/>
        <item x="1"/>
        <item x="2"/>
        <item x="3"/>
        <item x="4"/>
        <item x="5"/>
        <item x="6"/>
        <item x="7"/>
        <item x="8"/>
        <item x="9"/>
        <item x="10"/>
        <item x="11"/>
        <item x="12"/>
        <item x="13"/>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s>
  <rowFields count="2">
    <field x="7"/>
    <field x="6"/>
  </rowFields>
  <rowItems count="7">
    <i>
      <x/>
    </i>
    <i r="1">
      <x/>
    </i>
    <i r="1">
      <x v="2"/>
    </i>
    <i r="1">
      <x v="4"/>
    </i>
    <i>
      <x v="1"/>
    </i>
    <i r="1">
      <x v="5"/>
    </i>
    <i t="grand">
      <x/>
    </i>
  </rowItems>
  <colItems count="1">
    <i/>
  </colItems>
  <dataFields count="1">
    <dataField name="Count" fld="0" subtotal="count" baseField="0" baseItem="0"/>
  </dataFields>
  <formats count="1">
    <format dxfId="14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2AA616-E805-034F-A1D7-4595AF4BEA87}" name="PivotTable17" cacheId="1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Age Group">
  <location ref="E43:G44" firstHeaderRow="0" firstDataRow="1" firstDataCol="0"/>
  <pivotFields count="28">
    <pivotField showAll="0"/>
    <pivotField numFmtId="14" showAll="0"/>
    <pivotField dataField="1" showAll="0"/>
    <pivotField showAll="0"/>
    <pivotField showAll="0">
      <items count="4">
        <item x="0"/>
        <item x="1"/>
        <item x="2"/>
        <item t="default"/>
      </items>
    </pivotField>
    <pivotField showAll="0"/>
    <pivotField showAll="0"/>
    <pivotField showAll="0"/>
    <pivotField showAll="0"/>
    <pivotField showAll="0">
      <items count="7">
        <item x="2"/>
        <item x="5"/>
        <item x="0"/>
        <item x="1"/>
        <item x="4"/>
        <item x="3"/>
        <item t="default"/>
      </items>
    </pivotField>
    <pivotField numFmtId="14" showAll="0">
      <items count="167">
        <item x="130"/>
        <item x="85"/>
        <item x="149"/>
        <item x="64"/>
        <item x="52"/>
        <item x="120"/>
        <item x="47"/>
        <item x="98"/>
        <item x="67"/>
        <item x="0"/>
        <item x="18"/>
        <item x="106"/>
        <item x="74"/>
        <item x="36"/>
        <item x="53"/>
        <item x="161"/>
        <item x="33"/>
        <item x="116"/>
        <item x="26"/>
        <item x="92"/>
        <item x="118"/>
        <item x="69"/>
        <item x="89"/>
        <item x="28"/>
        <item x="156"/>
        <item x="93"/>
        <item x="27"/>
        <item x="21"/>
        <item x="99"/>
        <item x="24"/>
        <item x="109"/>
        <item x="59"/>
        <item x="160"/>
        <item x="77"/>
        <item x="139"/>
        <item x="117"/>
        <item x="10"/>
        <item x="119"/>
        <item x="151"/>
        <item x="141"/>
        <item x="40"/>
        <item x="152"/>
        <item x="78"/>
        <item x="103"/>
        <item x="80"/>
        <item x="125"/>
        <item x="20"/>
        <item x="105"/>
        <item x="129"/>
        <item x="38"/>
        <item x="51"/>
        <item x="143"/>
        <item x="87"/>
        <item x="83"/>
        <item x="62"/>
        <item x="46"/>
        <item x="131"/>
        <item x="32"/>
        <item x="134"/>
        <item x="9"/>
        <item x="14"/>
        <item x="97"/>
        <item x="135"/>
        <item x="113"/>
        <item x="84"/>
        <item x="3"/>
        <item x="144"/>
        <item x="37"/>
        <item x="101"/>
        <item x="15"/>
        <item x="104"/>
        <item x="157"/>
        <item x="71"/>
        <item x="76"/>
        <item x="136"/>
        <item x="138"/>
        <item x="142"/>
        <item x="49"/>
        <item x="45"/>
        <item x="65"/>
        <item x="102"/>
        <item x="121"/>
        <item x="86"/>
        <item x="4"/>
        <item x="107"/>
        <item x="35"/>
        <item x="123"/>
        <item x="11"/>
        <item x="66"/>
        <item x="150"/>
        <item x="114"/>
        <item x="90"/>
        <item x="72"/>
        <item x="153"/>
        <item x="73"/>
        <item x="1"/>
        <item x="43"/>
        <item x="8"/>
        <item x="2"/>
        <item x="7"/>
        <item x="126"/>
        <item x="79"/>
        <item x="68"/>
        <item x="147"/>
        <item x="30"/>
        <item x="122"/>
        <item x="96"/>
        <item x="42"/>
        <item x="133"/>
        <item x="48"/>
        <item x="148"/>
        <item x="112"/>
        <item x="140"/>
        <item x="13"/>
        <item x="127"/>
        <item x="34"/>
        <item x="57"/>
        <item x="132"/>
        <item x="60"/>
        <item x="95"/>
        <item x="111"/>
        <item x="50"/>
        <item x="12"/>
        <item x="22"/>
        <item x="23"/>
        <item x="17"/>
        <item x="44"/>
        <item x="75"/>
        <item x="70"/>
        <item x="155"/>
        <item x="128"/>
        <item x="63"/>
        <item x="124"/>
        <item x="29"/>
        <item x="100"/>
        <item x="61"/>
        <item x="55"/>
        <item x="41"/>
        <item x="54"/>
        <item x="81"/>
        <item x="110"/>
        <item x="94"/>
        <item x="154"/>
        <item x="158"/>
        <item x="163"/>
        <item x="82"/>
        <item x="145"/>
        <item x="5"/>
        <item x="108"/>
        <item x="159"/>
        <item x="88"/>
        <item x="164"/>
        <item x="137"/>
        <item x="146"/>
        <item x="19"/>
        <item x="58"/>
        <item x="165"/>
        <item x="6"/>
        <item x="25"/>
        <item x="39"/>
        <item x="162"/>
        <item x="115"/>
        <item x="56"/>
        <item x="31"/>
        <item x="91"/>
        <item x="16"/>
        <item t="default"/>
      </items>
    </pivotField>
    <pivotField showAll="0"/>
    <pivotField showAll="0"/>
    <pivotField showAll="0">
      <items count="156">
        <item x="16"/>
        <item x="129"/>
        <item x="142"/>
        <item x="146"/>
        <item x="96"/>
        <item x="42"/>
        <item x="105"/>
        <item x="149"/>
        <item x="32"/>
        <item x="65"/>
        <item x="150"/>
        <item x="61"/>
        <item x="0"/>
        <item x="63"/>
        <item x="55"/>
        <item x="87"/>
        <item x="24"/>
        <item x="92"/>
        <item x="48"/>
        <item x="94"/>
        <item x="25"/>
        <item x="117"/>
        <item x="20"/>
        <item x="119"/>
        <item x="17"/>
        <item x="124"/>
        <item x="35"/>
        <item x="49"/>
        <item x="26"/>
        <item x="95"/>
        <item x="75"/>
        <item x="30"/>
        <item x="143"/>
        <item x="56"/>
        <item x="78"/>
        <item x="101"/>
        <item x="120"/>
        <item x="148"/>
        <item x="86"/>
        <item x="118"/>
        <item x="102"/>
        <item x="80"/>
        <item x="89"/>
        <item x="37"/>
        <item x="19"/>
        <item x="138"/>
        <item x="10"/>
        <item x="47"/>
        <item x="114"/>
        <item x="130"/>
        <item x="145"/>
        <item x="100"/>
        <item x="128"/>
        <item x="104"/>
        <item x="126"/>
        <item x="41"/>
        <item x="132"/>
        <item x="9"/>
        <item x="106"/>
        <item x="113"/>
        <item x="31"/>
        <item x="74"/>
        <item x="84"/>
        <item x="46"/>
        <item x="59"/>
        <item x="88"/>
        <item x="109"/>
        <item x="3"/>
        <item x="36"/>
        <item x="14"/>
        <item x="134"/>
        <item x="136"/>
        <item x="62"/>
        <item x="121"/>
        <item x="29"/>
        <item x="15"/>
        <item x="103"/>
        <item x="76"/>
        <item x="137"/>
        <item x="4"/>
        <item x="83"/>
        <item x="34"/>
        <item x="107"/>
        <item x="69"/>
        <item x="82"/>
        <item x="11"/>
        <item x="44"/>
        <item x="40"/>
        <item x="85"/>
        <item x="1"/>
        <item x="8"/>
        <item x="123"/>
        <item x="71"/>
        <item x="64"/>
        <item x="70"/>
        <item x="67"/>
        <item x="7"/>
        <item x="144"/>
        <item x="122"/>
        <item x="79"/>
        <item x="2"/>
        <item x="115"/>
        <item x="131"/>
        <item x="66"/>
        <item x="112"/>
        <item x="99"/>
        <item x="39"/>
        <item x="28"/>
        <item x="43"/>
        <item x="135"/>
        <item x="45"/>
        <item x="141"/>
        <item x="111"/>
        <item x="53"/>
        <item x="22"/>
        <item x="57"/>
        <item x="33"/>
        <item x="98"/>
        <item x="13"/>
        <item x="12"/>
        <item x="127"/>
        <item x="27"/>
        <item x="21"/>
        <item x="90"/>
        <item x="58"/>
        <item x="68"/>
        <item x="110"/>
        <item x="60"/>
        <item x="81"/>
        <item x="77"/>
        <item x="51"/>
        <item x="72"/>
        <item x="152"/>
        <item x="147"/>
        <item x="97"/>
        <item x="50"/>
        <item x="139"/>
        <item x="91"/>
        <item x="133"/>
        <item x="23"/>
        <item x="125"/>
        <item x="73"/>
        <item x="108"/>
        <item x="38"/>
        <item x="18"/>
        <item x="153"/>
        <item x="5"/>
        <item x="140"/>
        <item x="151"/>
        <item x="116"/>
        <item x="6"/>
        <item x="54"/>
        <item x="154"/>
        <item x="52"/>
        <item x="93"/>
        <item t="default"/>
      </items>
    </pivotField>
    <pivotField showAll="0"/>
    <pivotField showAll="0"/>
    <pivotField showAll="0">
      <items count="154">
        <item x="15"/>
        <item x="143"/>
        <item x="91"/>
        <item x="146"/>
        <item x="43"/>
        <item x="147"/>
        <item x="134"/>
        <item x="63"/>
        <item x="120"/>
        <item x="65"/>
        <item x="61"/>
        <item x="23"/>
        <item x="112"/>
        <item x="49"/>
        <item x="0"/>
        <item x="31"/>
        <item x="72"/>
        <item x="100"/>
        <item x="111"/>
        <item x="55"/>
        <item x="24"/>
        <item x="68"/>
        <item x="16"/>
        <item x="34"/>
        <item x="50"/>
        <item x="135"/>
        <item x="117"/>
        <item x="126"/>
        <item x="97"/>
        <item x="138"/>
        <item x="29"/>
        <item x="128"/>
        <item x="25"/>
        <item x="74"/>
        <item x="96"/>
        <item x="110"/>
        <item x="123"/>
        <item x="124"/>
        <item x="56"/>
        <item x="76"/>
        <item x="101"/>
        <item x="42"/>
        <item x="145"/>
        <item x="30"/>
        <item x="78"/>
        <item x="9"/>
        <item x="36"/>
        <item x="18"/>
        <item x="87"/>
        <item x="84"/>
        <item x="141"/>
        <item x="28"/>
        <item x="99"/>
        <item x="48"/>
        <item x="107"/>
        <item x="3"/>
        <item x="47"/>
        <item x="106"/>
        <item x="35"/>
        <item x="102"/>
        <item x="115"/>
        <item x="59"/>
        <item x="4"/>
        <item x="41"/>
        <item x="83"/>
        <item x="86"/>
        <item x="33"/>
        <item x="62"/>
        <item x="21"/>
        <item x="13"/>
        <item x="82"/>
        <item x="10"/>
        <item x="14"/>
        <item x="45"/>
        <item x="129"/>
        <item x="39"/>
        <item x="137"/>
        <item x="108"/>
        <item x="67"/>
        <item x="114"/>
        <item x="8"/>
        <item x="136"/>
        <item x="1"/>
        <item x="118"/>
        <item x="70"/>
        <item x="64"/>
        <item x="66"/>
        <item x="85"/>
        <item x="113"/>
        <item x="79"/>
        <item x="2"/>
        <item x="7"/>
        <item x="71"/>
        <item x="105"/>
        <item x="127"/>
        <item x="46"/>
        <item x="44"/>
        <item x="54"/>
        <item x="139"/>
        <item x="122"/>
        <item x="40"/>
        <item x="95"/>
        <item x="32"/>
        <item x="27"/>
        <item x="88"/>
        <item x="103"/>
        <item x="26"/>
        <item x="38"/>
        <item x="148"/>
        <item x="57"/>
        <item x="58"/>
        <item x="104"/>
        <item x="11"/>
        <item x="12"/>
        <item x="116"/>
        <item x="130"/>
        <item x="20"/>
        <item x="119"/>
        <item x="121"/>
        <item x="94"/>
        <item x="77"/>
        <item x="69"/>
        <item x="150"/>
        <item x="133"/>
        <item x="19"/>
        <item x="60"/>
        <item x="75"/>
        <item x="81"/>
        <item x="98"/>
        <item x="142"/>
        <item x="144"/>
        <item x="131"/>
        <item x="93"/>
        <item x="140"/>
        <item x="73"/>
        <item x="125"/>
        <item x="5"/>
        <item x="92"/>
        <item x="37"/>
        <item x="52"/>
        <item x="80"/>
        <item x="109"/>
        <item x="51"/>
        <item x="89"/>
        <item x="151"/>
        <item x="17"/>
        <item x="22"/>
        <item x="53"/>
        <item x="149"/>
        <item x="132"/>
        <item x="90"/>
        <item x="6"/>
        <item x="152"/>
        <item t="default"/>
      </items>
    </pivotField>
    <pivotField showAll="0"/>
    <pivotField showAll="0"/>
    <pivotField showAll="0">
      <items count="7">
        <item x="1"/>
        <item x="5"/>
        <item x="0"/>
        <item x="4"/>
        <item x="2"/>
        <item x="3"/>
        <item t="default"/>
      </items>
    </pivotField>
    <pivotField showAll="0">
      <items count="9">
        <item x="2"/>
        <item x="3"/>
        <item m="1" x="7"/>
        <item x="1"/>
        <item x="4"/>
        <item x="0"/>
        <item m="1" x="6"/>
        <item x="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items count="15">
        <item x="0"/>
        <item x="1"/>
        <item x="2"/>
        <item x="3"/>
        <item x="4"/>
        <item x="5"/>
        <item x="6"/>
        <item x="7"/>
        <item x="8"/>
        <item x="9"/>
        <item x="10"/>
        <item x="11"/>
        <item x="12"/>
        <item x="13"/>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s>
  <rowItems count="1">
    <i/>
  </rowItems>
  <colFields count="1">
    <field x="-2"/>
  </colFields>
  <colItems count="3">
    <i>
      <x/>
    </i>
    <i i="1">
      <x v="1"/>
    </i>
    <i i="2">
      <x v="2"/>
    </i>
  </colItems>
  <dataFields count="3">
    <dataField name="Average of Age" fld="2" subtotal="average" baseField="0" baseItem="0" numFmtId="41"/>
    <dataField name="Max. of Age" fld="2" subtotal="max" baseField="0" baseItem="0"/>
    <dataField name="Min. of Age" fld="2" subtotal="min" baseField="0" baseItem="0"/>
  </dataFields>
  <formats count="1">
    <format dxfId="142">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10E75F-6F67-E04F-AFE7-E9D25C30A8E9}" name="Average Client wait time" cacheId="1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8:F29" firstHeaderRow="0" firstDataRow="1" firstDataCol="0"/>
  <pivotFields count="28">
    <pivotField showAll="0"/>
    <pivotField numFmtId="14" showAll="0"/>
    <pivotField showAll="0"/>
    <pivotField showAll="0"/>
    <pivotField showAll="0">
      <items count="4">
        <item x="0"/>
        <item x="1"/>
        <item x="2"/>
        <item t="default"/>
      </items>
    </pivotField>
    <pivotField showAll="0"/>
    <pivotField showAll="0"/>
    <pivotField showAll="0"/>
    <pivotField showAll="0"/>
    <pivotField showAll="0">
      <items count="7">
        <item x="2"/>
        <item x="5"/>
        <item x="0"/>
        <item x="1"/>
        <item x="4"/>
        <item x="3"/>
        <item t="default"/>
      </items>
    </pivotField>
    <pivotField numFmtId="14" showAll="0">
      <items count="167">
        <item x="130"/>
        <item x="85"/>
        <item x="149"/>
        <item x="64"/>
        <item x="52"/>
        <item x="120"/>
        <item x="47"/>
        <item x="98"/>
        <item x="67"/>
        <item x="0"/>
        <item x="18"/>
        <item x="106"/>
        <item x="74"/>
        <item x="36"/>
        <item x="53"/>
        <item x="161"/>
        <item x="33"/>
        <item x="116"/>
        <item x="26"/>
        <item x="92"/>
        <item x="118"/>
        <item x="69"/>
        <item x="89"/>
        <item x="28"/>
        <item x="156"/>
        <item x="93"/>
        <item x="27"/>
        <item x="21"/>
        <item x="99"/>
        <item x="24"/>
        <item x="109"/>
        <item x="59"/>
        <item x="160"/>
        <item x="77"/>
        <item x="139"/>
        <item x="117"/>
        <item x="10"/>
        <item x="119"/>
        <item x="151"/>
        <item x="141"/>
        <item x="40"/>
        <item x="152"/>
        <item x="78"/>
        <item x="103"/>
        <item x="80"/>
        <item x="125"/>
        <item x="20"/>
        <item x="105"/>
        <item x="129"/>
        <item x="38"/>
        <item x="51"/>
        <item x="143"/>
        <item x="87"/>
        <item x="83"/>
        <item x="62"/>
        <item x="46"/>
        <item x="131"/>
        <item x="32"/>
        <item x="134"/>
        <item x="9"/>
        <item x="14"/>
        <item x="97"/>
        <item x="135"/>
        <item x="113"/>
        <item x="84"/>
        <item x="3"/>
        <item x="144"/>
        <item x="37"/>
        <item x="101"/>
        <item x="15"/>
        <item x="104"/>
        <item x="157"/>
        <item x="71"/>
        <item x="76"/>
        <item x="136"/>
        <item x="138"/>
        <item x="142"/>
        <item x="49"/>
        <item x="45"/>
        <item x="65"/>
        <item x="102"/>
        <item x="121"/>
        <item x="86"/>
        <item x="4"/>
        <item x="107"/>
        <item x="35"/>
        <item x="123"/>
        <item x="11"/>
        <item x="66"/>
        <item x="150"/>
        <item x="114"/>
        <item x="90"/>
        <item x="72"/>
        <item x="153"/>
        <item x="73"/>
        <item x="1"/>
        <item x="43"/>
        <item x="8"/>
        <item x="2"/>
        <item x="7"/>
        <item x="126"/>
        <item x="79"/>
        <item x="68"/>
        <item x="147"/>
        <item x="30"/>
        <item x="122"/>
        <item x="96"/>
        <item x="42"/>
        <item x="133"/>
        <item x="48"/>
        <item x="148"/>
        <item x="112"/>
        <item x="140"/>
        <item x="13"/>
        <item x="127"/>
        <item x="34"/>
        <item x="57"/>
        <item x="132"/>
        <item x="60"/>
        <item x="95"/>
        <item x="111"/>
        <item x="50"/>
        <item x="12"/>
        <item x="22"/>
        <item x="23"/>
        <item x="17"/>
        <item x="44"/>
        <item x="75"/>
        <item x="70"/>
        <item x="155"/>
        <item x="128"/>
        <item x="63"/>
        <item x="124"/>
        <item x="29"/>
        <item x="100"/>
        <item x="61"/>
        <item x="55"/>
        <item x="41"/>
        <item x="54"/>
        <item x="81"/>
        <item x="110"/>
        <item x="94"/>
        <item x="154"/>
        <item x="158"/>
        <item x="163"/>
        <item x="82"/>
        <item x="145"/>
        <item x="5"/>
        <item x="108"/>
        <item x="159"/>
        <item x="88"/>
        <item x="164"/>
        <item x="137"/>
        <item x="146"/>
        <item x="19"/>
        <item x="58"/>
        <item x="165"/>
        <item x="6"/>
        <item x="25"/>
        <item x="39"/>
        <item x="162"/>
        <item x="115"/>
        <item x="56"/>
        <item x="31"/>
        <item x="91"/>
        <item x="16"/>
        <item t="default"/>
      </items>
    </pivotField>
    <pivotField showAll="0"/>
    <pivotField showAll="0"/>
    <pivotField showAll="0">
      <items count="156">
        <item x="16"/>
        <item x="129"/>
        <item x="142"/>
        <item x="146"/>
        <item x="96"/>
        <item x="42"/>
        <item x="105"/>
        <item x="149"/>
        <item x="32"/>
        <item x="65"/>
        <item x="150"/>
        <item x="61"/>
        <item x="0"/>
        <item x="63"/>
        <item x="55"/>
        <item x="87"/>
        <item x="24"/>
        <item x="92"/>
        <item x="48"/>
        <item x="94"/>
        <item x="25"/>
        <item x="117"/>
        <item x="20"/>
        <item x="119"/>
        <item x="17"/>
        <item x="124"/>
        <item x="35"/>
        <item x="49"/>
        <item x="26"/>
        <item x="95"/>
        <item x="75"/>
        <item x="30"/>
        <item x="143"/>
        <item x="56"/>
        <item x="78"/>
        <item x="101"/>
        <item x="120"/>
        <item x="148"/>
        <item x="86"/>
        <item x="118"/>
        <item x="102"/>
        <item x="80"/>
        <item x="89"/>
        <item x="37"/>
        <item x="19"/>
        <item x="138"/>
        <item x="10"/>
        <item x="47"/>
        <item x="114"/>
        <item x="130"/>
        <item x="145"/>
        <item x="100"/>
        <item x="128"/>
        <item x="104"/>
        <item x="126"/>
        <item x="41"/>
        <item x="132"/>
        <item x="9"/>
        <item x="106"/>
        <item x="113"/>
        <item x="31"/>
        <item x="74"/>
        <item x="84"/>
        <item x="46"/>
        <item x="59"/>
        <item x="88"/>
        <item x="109"/>
        <item x="3"/>
        <item x="36"/>
        <item x="14"/>
        <item x="134"/>
        <item x="136"/>
        <item x="62"/>
        <item x="121"/>
        <item x="29"/>
        <item x="15"/>
        <item x="103"/>
        <item x="76"/>
        <item x="137"/>
        <item x="4"/>
        <item x="83"/>
        <item x="34"/>
        <item x="107"/>
        <item x="69"/>
        <item x="82"/>
        <item x="11"/>
        <item x="44"/>
        <item x="40"/>
        <item x="85"/>
        <item x="1"/>
        <item x="8"/>
        <item x="123"/>
        <item x="71"/>
        <item x="64"/>
        <item x="70"/>
        <item x="67"/>
        <item x="7"/>
        <item x="144"/>
        <item x="122"/>
        <item x="79"/>
        <item x="2"/>
        <item x="115"/>
        <item x="131"/>
        <item x="66"/>
        <item x="112"/>
        <item x="99"/>
        <item x="39"/>
        <item x="28"/>
        <item x="43"/>
        <item x="135"/>
        <item x="45"/>
        <item x="141"/>
        <item x="111"/>
        <item x="53"/>
        <item x="22"/>
        <item x="57"/>
        <item x="33"/>
        <item x="98"/>
        <item x="13"/>
        <item x="12"/>
        <item x="127"/>
        <item x="27"/>
        <item x="21"/>
        <item x="90"/>
        <item x="58"/>
        <item x="68"/>
        <item x="110"/>
        <item x="60"/>
        <item x="81"/>
        <item x="77"/>
        <item x="51"/>
        <item x="72"/>
        <item x="152"/>
        <item x="147"/>
        <item x="97"/>
        <item x="50"/>
        <item x="139"/>
        <item x="91"/>
        <item x="133"/>
        <item x="23"/>
        <item x="125"/>
        <item x="73"/>
        <item x="108"/>
        <item x="38"/>
        <item x="18"/>
        <item x="153"/>
        <item x="5"/>
        <item x="140"/>
        <item x="151"/>
        <item x="116"/>
        <item x="6"/>
        <item x="54"/>
        <item x="154"/>
        <item x="52"/>
        <item x="93"/>
        <item t="default"/>
      </items>
    </pivotField>
    <pivotField dataField="1" showAll="0"/>
    <pivotField showAll="0"/>
    <pivotField showAll="0">
      <items count="154">
        <item x="15"/>
        <item x="143"/>
        <item x="91"/>
        <item x="146"/>
        <item x="43"/>
        <item x="147"/>
        <item x="134"/>
        <item x="63"/>
        <item x="120"/>
        <item x="65"/>
        <item x="61"/>
        <item x="23"/>
        <item x="112"/>
        <item x="49"/>
        <item x="0"/>
        <item x="31"/>
        <item x="72"/>
        <item x="100"/>
        <item x="111"/>
        <item x="55"/>
        <item x="24"/>
        <item x="68"/>
        <item x="16"/>
        <item x="34"/>
        <item x="50"/>
        <item x="135"/>
        <item x="117"/>
        <item x="126"/>
        <item x="97"/>
        <item x="138"/>
        <item x="29"/>
        <item x="128"/>
        <item x="25"/>
        <item x="74"/>
        <item x="96"/>
        <item x="110"/>
        <item x="123"/>
        <item x="124"/>
        <item x="56"/>
        <item x="76"/>
        <item x="101"/>
        <item x="42"/>
        <item x="145"/>
        <item x="30"/>
        <item x="78"/>
        <item x="9"/>
        <item x="36"/>
        <item x="18"/>
        <item x="87"/>
        <item x="84"/>
        <item x="141"/>
        <item x="28"/>
        <item x="99"/>
        <item x="48"/>
        <item x="107"/>
        <item x="3"/>
        <item x="47"/>
        <item x="106"/>
        <item x="35"/>
        <item x="102"/>
        <item x="115"/>
        <item x="59"/>
        <item x="4"/>
        <item x="41"/>
        <item x="83"/>
        <item x="86"/>
        <item x="33"/>
        <item x="62"/>
        <item x="21"/>
        <item x="13"/>
        <item x="82"/>
        <item x="10"/>
        <item x="14"/>
        <item x="45"/>
        <item x="129"/>
        <item x="39"/>
        <item x="137"/>
        <item x="108"/>
        <item x="67"/>
        <item x="114"/>
        <item x="8"/>
        <item x="136"/>
        <item x="1"/>
        <item x="118"/>
        <item x="70"/>
        <item x="64"/>
        <item x="66"/>
        <item x="85"/>
        <item x="113"/>
        <item x="79"/>
        <item x="2"/>
        <item x="7"/>
        <item x="71"/>
        <item x="105"/>
        <item x="127"/>
        <item x="46"/>
        <item x="44"/>
        <item x="54"/>
        <item x="139"/>
        <item x="122"/>
        <item x="40"/>
        <item x="95"/>
        <item x="32"/>
        <item x="27"/>
        <item x="88"/>
        <item x="103"/>
        <item x="26"/>
        <item x="38"/>
        <item x="148"/>
        <item x="57"/>
        <item x="58"/>
        <item x="104"/>
        <item x="11"/>
        <item x="12"/>
        <item x="116"/>
        <item x="130"/>
        <item x="20"/>
        <item x="119"/>
        <item x="121"/>
        <item x="94"/>
        <item x="77"/>
        <item x="69"/>
        <item x="150"/>
        <item x="133"/>
        <item x="19"/>
        <item x="60"/>
        <item x="75"/>
        <item x="81"/>
        <item x="98"/>
        <item x="142"/>
        <item x="144"/>
        <item x="131"/>
        <item x="93"/>
        <item x="140"/>
        <item x="73"/>
        <item x="125"/>
        <item x="5"/>
        <item x="92"/>
        <item x="37"/>
        <item x="52"/>
        <item x="80"/>
        <item x="109"/>
        <item x="51"/>
        <item x="89"/>
        <item x="151"/>
        <item x="17"/>
        <item x="22"/>
        <item x="53"/>
        <item x="149"/>
        <item x="132"/>
        <item x="90"/>
        <item x="6"/>
        <item x="152"/>
        <item t="default"/>
      </items>
    </pivotField>
    <pivotField dataField="1" showAll="0"/>
    <pivotField showAll="0"/>
    <pivotField showAll="0">
      <items count="7">
        <item x="1"/>
        <item x="5"/>
        <item x="0"/>
        <item x="4"/>
        <item x="2"/>
        <item x="3"/>
        <item t="default"/>
      </items>
    </pivotField>
    <pivotField showAll="0">
      <items count="9">
        <item x="2"/>
        <item x="3"/>
        <item m="1" x="7"/>
        <item x="1"/>
        <item x="4"/>
        <item x="0"/>
        <item m="1" x="6"/>
        <item x="5"/>
        <item t="default"/>
      </items>
    </pivotField>
    <pivotField showAll="0" defaultSubtotal="0"/>
    <pivotField showAll="0" defaultSubtotal="0">
      <items count="14">
        <item x="0"/>
        <item x="1"/>
        <item x="2"/>
        <item x="3"/>
        <item x="4"/>
        <item x="5"/>
        <item x="6"/>
        <item x="7"/>
        <item x="8"/>
        <item x="9"/>
        <item x="10"/>
        <item x="11"/>
        <item x="12"/>
        <item x="13"/>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items count="15">
        <item x="0"/>
        <item x="1"/>
        <item x="2"/>
        <item x="3"/>
        <item x="4"/>
        <item x="5"/>
        <item x="6"/>
        <item x="7"/>
        <item x="8"/>
        <item x="9"/>
        <item x="10"/>
        <item x="11"/>
        <item x="12"/>
        <item x="13"/>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s>
  <rowItems count="1">
    <i/>
  </rowItems>
  <colFields count="1">
    <field x="-2"/>
  </colFields>
  <colItems count="2">
    <i>
      <x/>
    </i>
    <i i="1">
      <x v="1"/>
    </i>
  </colItems>
  <dataFields count="2">
    <dataField name="Average of Days before allocation" fld="17" subtotal="average" baseField="0" baseItem="0" numFmtId="1"/>
    <dataField name="Average of Days before assessment" fld="14" subtotal="average" baseField="0" baseItem="0" numFmtId="1"/>
  </dataFields>
  <formats count="2">
    <format dxfId="140">
      <pivotArea outline="0" collapsedLevelsAreSubtotals="1" fieldPosition="0">
        <references count="1">
          <reference field="4294967294" count="1" selected="0">
            <x v="1"/>
          </reference>
        </references>
      </pivotArea>
    </format>
    <format dxfId="141">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64274B4-E37C-C945-B396-7FFF756F4F33}" name="PivotTable18" cacheId="1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Month (2024)">
  <location ref="L4:M17" firstHeaderRow="1" firstDataRow="1" firstDataCol="1"/>
  <pivotFields count="28">
    <pivotField showAll="0"/>
    <pivotField numFmtId="14" showAll="0"/>
    <pivotField dataField="1" showAll="0"/>
    <pivotField showAll="0"/>
    <pivotField showAll="0">
      <items count="4">
        <item x="0"/>
        <item x="1"/>
        <item x="2"/>
        <item t="default"/>
      </items>
    </pivotField>
    <pivotField showAll="0"/>
    <pivotField showAll="0"/>
    <pivotField showAll="0"/>
    <pivotField showAll="0"/>
    <pivotField showAll="0">
      <items count="7">
        <item x="2"/>
        <item x="5"/>
        <item x="0"/>
        <item x="1"/>
        <item x="4"/>
        <item x="3"/>
        <item t="default"/>
      </items>
    </pivotField>
    <pivotField numFmtId="14" showAll="0" sortType="ascending">
      <items count="167">
        <item x="130"/>
        <item x="85"/>
        <item x="149"/>
        <item x="64"/>
        <item x="52"/>
        <item x="120"/>
        <item x="47"/>
        <item x="98"/>
        <item x="67"/>
        <item x="0"/>
        <item x="18"/>
        <item x="106"/>
        <item x="74"/>
        <item x="36"/>
        <item x="53"/>
        <item x="161"/>
        <item x="33"/>
        <item x="116"/>
        <item x="26"/>
        <item x="92"/>
        <item x="118"/>
        <item x="69"/>
        <item x="89"/>
        <item x="28"/>
        <item x="156"/>
        <item x="93"/>
        <item x="27"/>
        <item x="21"/>
        <item x="99"/>
        <item x="24"/>
        <item x="109"/>
        <item x="59"/>
        <item x="160"/>
        <item x="77"/>
        <item x="139"/>
        <item x="117"/>
        <item x="10"/>
        <item x="119"/>
        <item x="151"/>
        <item x="141"/>
        <item x="40"/>
        <item x="152"/>
        <item x="78"/>
        <item x="103"/>
        <item x="80"/>
        <item x="125"/>
        <item x="20"/>
        <item x="105"/>
        <item x="129"/>
        <item x="38"/>
        <item x="51"/>
        <item x="143"/>
        <item x="87"/>
        <item x="83"/>
        <item x="62"/>
        <item x="46"/>
        <item x="131"/>
        <item x="32"/>
        <item x="134"/>
        <item x="9"/>
        <item x="14"/>
        <item x="97"/>
        <item x="135"/>
        <item x="113"/>
        <item x="84"/>
        <item x="3"/>
        <item x="144"/>
        <item x="37"/>
        <item x="101"/>
        <item x="15"/>
        <item x="104"/>
        <item x="157"/>
        <item x="71"/>
        <item x="76"/>
        <item x="136"/>
        <item x="138"/>
        <item x="142"/>
        <item x="49"/>
        <item x="45"/>
        <item x="65"/>
        <item x="102"/>
        <item x="121"/>
        <item x="86"/>
        <item x="4"/>
        <item x="107"/>
        <item x="35"/>
        <item x="123"/>
        <item x="11"/>
        <item x="66"/>
        <item x="150"/>
        <item x="114"/>
        <item x="90"/>
        <item x="72"/>
        <item x="153"/>
        <item x="73"/>
        <item x="1"/>
        <item x="43"/>
        <item x="8"/>
        <item x="2"/>
        <item x="7"/>
        <item x="126"/>
        <item x="79"/>
        <item x="68"/>
        <item x="147"/>
        <item x="30"/>
        <item x="122"/>
        <item x="96"/>
        <item x="42"/>
        <item x="133"/>
        <item x="48"/>
        <item x="148"/>
        <item x="112"/>
        <item x="140"/>
        <item x="13"/>
        <item x="127"/>
        <item x="34"/>
        <item x="57"/>
        <item x="132"/>
        <item x="60"/>
        <item x="95"/>
        <item x="111"/>
        <item x="50"/>
        <item x="12"/>
        <item x="22"/>
        <item x="23"/>
        <item x="17"/>
        <item x="44"/>
        <item x="75"/>
        <item x="70"/>
        <item x="155"/>
        <item x="128"/>
        <item x="63"/>
        <item x="124"/>
        <item x="29"/>
        <item x="100"/>
        <item x="61"/>
        <item x="55"/>
        <item x="41"/>
        <item x="54"/>
        <item x="81"/>
        <item x="110"/>
        <item x="94"/>
        <item x="154"/>
        <item x="158"/>
        <item x="163"/>
        <item x="82"/>
        <item x="145"/>
        <item x="5"/>
        <item x="108"/>
        <item x="159"/>
        <item x="88"/>
        <item x="164"/>
        <item x="137"/>
        <item x="146"/>
        <item x="19"/>
        <item x="58"/>
        <item x="165"/>
        <item x="6"/>
        <item x="25"/>
        <item x="39"/>
        <item x="162"/>
        <item x="115"/>
        <item x="56"/>
        <item x="31"/>
        <item x="91"/>
        <item x="16"/>
        <item t="default"/>
      </items>
    </pivotField>
    <pivotField showAll="0"/>
    <pivotField showAll="0"/>
    <pivotField showAll="0">
      <items count="156">
        <item x="16"/>
        <item x="129"/>
        <item x="142"/>
        <item x="146"/>
        <item x="96"/>
        <item x="42"/>
        <item x="105"/>
        <item x="149"/>
        <item x="32"/>
        <item x="65"/>
        <item x="150"/>
        <item x="61"/>
        <item x="0"/>
        <item x="63"/>
        <item x="55"/>
        <item x="87"/>
        <item x="24"/>
        <item x="92"/>
        <item x="48"/>
        <item x="94"/>
        <item x="25"/>
        <item x="117"/>
        <item x="20"/>
        <item x="119"/>
        <item x="17"/>
        <item x="124"/>
        <item x="35"/>
        <item x="49"/>
        <item x="26"/>
        <item x="95"/>
        <item x="75"/>
        <item x="30"/>
        <item x="143"/>
        <item x="56"/>
        <item x="78"/>
        <item x="101"/>
        <item x="120"/>
        <item x="148"/>
        <item x="86"/>
        <item x="118"/>
        <item x="102"/>
        <item x="80"/>
        <item x="89"/>
        <item x="37"/>
        <item x="19"/>
        <item x="138"/>
        <item x="10"/>
        <item x="47"/>
        <item x="114"/>
        <item x="130"/>
        <item x="145"/>
        <item x="100"/>
        <item x="128"/>
        <item x="104"/>
        <item x="126"/>
        <item x="41"/>
        <item x="132"/>
        <item x="9"/>
        <item x="106"/>
        <item x="113"/>
        <item x="31"/>
        <item x="74"/>
        <item x="84"/>
        <item x="46"/>
        <item x="59"/>
        <item x="88"/>
        <item x="109"/>
        <item x="3"/>
        <item x="36"/>
        <item x="14"/>
        <item x="134"/>
        <item x="136"/>
        <item x="62"/>
        <item x="121"/>
        <item x="29"/>
        <item x="15"/>
        <item x="103"/>
        <item x="76"/>
        <item x="137"/>
        <item x="4"/>
        <item x="83"/>
        <item x="34"/>
        <item x="107"/>
        <item x="69"/>
        <item x="82"/>
        <item x="11"/>
        <item x="44"/>
        <item x="40"/>
        <item x="85"/>
        <item x="1"/>
        <item x="8"/>
        <item x="123"/>
        <item x="71"/>
        <item x="64"/>
        <item x="70"/>
        <item x="67"/>
        <item x="7"/>
        <item x="144"/>
        <item x="122"/>
        <item x="79"/>
        <item x="2"/>
        <item x="115"/>
        <item x="131"/>
        <item x="66"/>
        <item x="112"/>
        <item x="99"/>
        <item x="39"/>
        <item x="28"/>
        <item x="43"/>
        <item x="135"/>
        <item x="45"/>
        <item x="141"/>
        <item x="111"/>
        <item x="53"/>
        <item x="22"/>
        <item x="57"/>
        <item x="33"/>
        <item x="98"/>
        <item x="13"/>
        <item x="12"/>
        <item x="127"/>
        <item x="27"/>
        <item x="21"/>
        <item x="90"/>
        <item x="58"/>
        <item x="68"/>
        <item x="110"/>
        <item x="60"/>
        <item x="81"/>
        <item x="77"/>
        <item x="51"/>
        <item x="72"/>
        <item x="152"/>
        <item x="147"/>
        <item x="97"/>
        <item x="50"/>
        <item x="139"/>
        <item x="91"/>
        <item x="133"/>
        <item x="23"/>
        <item x="125"/>
        <item x="73"/>
        <item x="108"/>
        <item x="38"/>
        <item x="18"/>
        <item x="153"/>
        <item x="5"/>
        <item x="140"/>
        <item x="151"/>
        <item x="116"/>
        <item x="6"/>
        <item x="54"/>
        <item x="154"/>
        <item x="52"/>
        <item x="93"/>
        <item t="default"/>
      </items>
    </pivotField>
    <pivotField showAll="0"/>
    <pivotField showAll="0"/>
    <pivotField showAll="0">
      <items count="154">
        <item x="15"/>
        <item x="143"/>
        <item x="91"/>
        <item x="146"/>
        <item x="43"/>
        <item x="147"/>
        <item x="134"/>
        <item x="63"/>
        <item x="120"/>
        <item x="65"/>
        <item x="61"/>
        <item x="23"/>
        <item x="112"/>
        <item x="49"/>
        <item x="0"/>
        <item x="31"/>
        <item x="72"/>
        <item x="100"/>
        <item x="111"/>
        <item x="55"/>
        <item x="24"/>
        <item x="68"/>
        <item x="16"/>
        <item x="34"/>
        <item x="50"/>
        <item x="135"/>
        <item x="117"/>
        <item x="126"/>
        <item x="97"/>
        <item x="138"/>
        <item x="29"/>
        <item x="128"/>
        <item x="25"/>
        <item x="74"/>
        <item x="96"/>
        <item x="110"/>
        <item x="123"/>
        <item x="124"/>
        <item x="56"/>
        <item x="76"/>
        <item x="101"/>
        <item x="42"/>
        <item x="145"/>
        <item x="30"/>
        <item x="78"/>
        <item x="9"/>
        <item x="36"/>
        <item x="18"/>
        <item x="87"/>
        <item x="84"/>
        <item x="141"/>
        <item x="28"/>
        <item x="99"/>
        <item x="48"/>
        <item x="107"/>
        <item x="3"/>
        <item x="47"/>
        <item x="106"/>
        <item x="35"/>
        <item x="102"/>
        <item x="115"/>
        <item x="59"/>
        <item x="4"/>
        <item x="41"/>
        <item x="83"/>
        <item x="86"/>
        <item x="33"/>
        <item x="62"/>
        <item x="21"/>
        <item x="13"/>
        <item x="82"/>
        <item x="10"/>
        <item x="14"/>
        <item x="45"/>
        <item x="129"/>
        <item x="39"/>
        <item x="137"/>
        <item x="108"/>
        <item x="67"/>
        <item x="114"/>
        <item x="8"/>
        <item x="136"/>
        <item x="1"/>
        <item x="118"/>
        <item x="70"/>
        <item x="64"/>
        <item x="66"/>
        <item x="85"/>
        <item x="113"/>
        <item x="79"/>
        <item x="2"/>
        <item x="7"/>
        <item x="71"/>
        <item x="105"/>
        <item x="127"/>
        <item x="46"/>
        <item x="44"/>
        <item x="54"/>
        <item x="139"/>
        <item x="122"/>
        <item x="40"/>
        <item x="95"/>
        <item x="32"/>
        <item x="27"/>
        <item x="88"/>
        <item x="103"/>
        <item x="26"/>
        <item x="38"/>
        <item x="148"/>
        <item x="57"/>
        <item x="58"/>
        <item x="104"/>
        <item x="11"/>
        <item x="12"/>
        <item x="116"/>
        <item x="130"/>
        <item x="20"/>
        <item x="119"/>
        <item x="121"/>
        <item x="94"/>
        <item x="77"/>
        <item x="69"/>
        <item x="150"/>
        <item x="133"/>
        <item x="19"/>
        <item x="60"/>
        <item x="75"/>
        <item x="81"/>
        <item x="98"/>
        <item x="142"/>
        <item x="144"/>
        <item x="131"/>
        <item x="93"/>
        <item x="140"/>
        <item x="73"/>
        <item x="125"/>
        <item x="5"/>
        <item x="92"/>
        <item x="37"/>
        <item x="52"/>
        <item x="80"/>
        <item x="109"/>
        <item x="51"/>
        <item x="89"/>
        <item x="151"/>
        <item x="17"/>
        <item x="22"/>
        <item x="53"/>
        <item x="149"/>
        <item x="132"/>
        <item x="90"/>
        <item x="6"/>
        <item x="152"/>
        <item t="default"/>
      </items>
    </pivotField>
    <pivotField showAll="0"/>
    <pivotField showAll="0"/>
    <pivotField showAll="0">
      <items count="7">
        <item x="1"/>
        <item x="5"/>
        <item x="0"/>
        <item x="4"/>
        <item x="2"/>
        <item x="3"/>
        <item t="default"/>
      </items>
    </pivotField>
    <pivotField showAll="0">
      <items count="9">
        <item x="2"/>
        <item x="3"/>
        <item m="1" x="7"/>
        <item x="1"/>
        <item x="4"/>
        <item x="0"/>
        <item m="1" x="6"/>
        <item x="5"/>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showAll="0" defaultSubtotal="0">
      <items count="14">
        <item x="0"/>
        <item x="1"/>
        <item x="2"/>
        <item x="3"/>
        <item x="4"/>
        <item x="5"/>
        <item x="6"/>
        <item x="7"/>
        <item x="8"/>
        <item x="9"/>
        <item x="10"/>
        <item x="11"/>
        <item x="12"/>
        <item x="13"/>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items count="15">
        <item x="0"/>
        <item x="1"/>
        <item x="2"/>
        <item x="3"/>
        <item x="4"/>
        <item x="5"/>
        <item x="6"/>
        <item x="7"/>
        <item x="8"/>
        <item x="9"/>
        <item x="10"/>
        <item x="11"/>
        <item x="12"/>
        <item x="13"/>
        <item t="default"/>
      </items>
    </pivotField>
    <pivotField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s>
  <rowFields count="1">
    <field x="22"/>
  </rowFields>
  <rowItems count="13">
    <i>
      <x v="1"/>
    </i>
    <i>
      <x v="2"/>
    </i>
    <i>
      <x v="3"/>
    </i>
    <i>
      <x v="4"/>
    </i>
    <i>
      <x v="5"/>
    </i>
    <i>
      <x v="6"/>
    </i>
    <i>
      <x v="7"/>
    </i>
    <i>
      <x v="8"/>
    </i>
    <i>
      <x v="9"/>
    </i>
    <i>
      <x v="10"/>
    </i>
    <i>
      <x v="11"/>
    </i>
    <i>
      <x v="12"/>
    </i>
    <i t="grand">
      <x/>
    </i>
  </rowItems>
  <colItems count="1">
    <i/>
  </colItems>
  <dataFields count="1">
    <dataField name="Average of Age" fld="2" subtotal="average" baseField="0" baseItem="0" numFmtId="1"/>
  </dataFields>
  <formats count="1">
    <format dxfId="139">
      <pivotArea outline="0" collapsedLevelsAreSubtotals="1" fieldPosition="0"/>
    </format>
  </formats>
  <chartFormats count="3">
    <chartFormat chart="10" format="5"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FA2195C-3D03-0E46-B8AE-8026DABE23E2}" sourceName="Gender">
  <pivotTables>
    <pivotTable tabId="10" name="Total Clients"/>
    <pivotTable tabId="10" name="Client Gender"/>
    <pivotTable tabId="10" name="Average Client Age"/>
    <pivotTable tabId="10" name="Average Client wait time"/>
    <pivotTable tabId="10" name="Client Age Group"/>
    <pivotTable tabId="10" name="Client Status"/>
    <pivotTable tabId="10" name="Referring Org"/>
    <pivotTable tabId="10" name="PivotTable15"/>
    <pivotTable tabId="10" name="PivotTable17"/>
    <pivotTable tabId="10" name="Monthly referrals"/>
    <pivotTable tabId="10" name="PivotTable18"/>
    <pivotTable tabId="10" name="PivotTable19"/>
    <pivotTable tabId="10" name="PivotTable20"/>
    <pivotTable tabId="10" name="PivotTable22"/>
    <pivotTable tabId="10" name="PivotTable23"/>
  </pivotTables>
  <data>
    <tabular pivotCacheId="114865167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ring_Organisation" xr10:uid="{86A18368-5D6B-DC4A-93D5-CD00757E57F0}" sourceName="Referring Organisation">
  <pivotTables>
    <pivotTable tabId="10" name="Referring Org"/>
    <pivotTable tabId="10" name="Total Clients"/>
    <pivotTable tabId="10" name="Average Client Age"/>
    <pivotTable tabId="10" name="Average Client wait time"/>
    <pivotTable tabId="10" name="Client Age Group"/>
    <pivotTable tabId="10" name="Client Gender"/>
    <pivotTable tabId="10" name="Client Status"/>
    <pivotTable tabId="10" name="Monthly referrals"/>
    <pivotTable tabId="10" name="PivotTable15"/>
    <pivotTable tabId="10" name="PivotTable17"/>
    <pivotTable tabId="10" name="PivotTable18"/>
    <pivotTable tabId="10" name="PivotTable19"/>
    <pivotTable tabId="10" name="PivotTable20"/>
    <pivotTable tabId="10" name="PivotTable22"/>
    <pivotTable tabId="10" name="PivotTable23"/>
  </pivotTables>
  <data>
    <tabular pivotCacheId="1148651677">
      <items count="6">
        <i x="2" s="1"/>
        <i x="5" s="1"/>
        <i x="0" s="1"/>
        <i x="1"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_Referred" xr10:uid="{E499805B-5A94-3647-9DF9-1E826CC9798C}" sourceName="Months (Date Referred)">
  <pivotTables>
    <pivotTable tabId="10" name="Monthly referrals"/>
    <pivotTable tabId="10" name="Average Client Age"/>
    <pivotTable tabId="10" name="Average Client wait time"/>
    <pivotTable tabId="10" name="Client Age Group"/>
    <pivotTable tabId="10" name="Client Gender"/>
    <pivotTable tabId="10" name="Client Status"/>
    <pivotTable tabId="10" name="Referring Org"/>
    <pivotTable tabId="10" name="Total Clients"/>
    <pivotTable tabId="10" name="PivotTable15"/>
    <pivotTable tabId="10" name="PivotTable17"/>
    <pivotTable tabId="10" name="PivotTable18"/>
    <pivotTable tabId="10" name="PivotTable19"/>
    <pivotTable tabId="10" name="PivotTable20"/>
    <pivotTable tabId="10" name="PivotTable22"/>
    <pivotTable tabId="10" name="PivotTable23"/>
  </pivotTables>
  <data>
    <tabular pivotCacheId="1148651677">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999CA0BC-D6BA-6E48-B463-0613894C9E7B}" sourceName="Status">
  <pivotTables>
    <pivotTable tabId="10" name="Average Client Age"/>
    <pivotTable tabId="10" name="Average Client wait time"/>
    <pivotTable tabId="10" name="Client Age Group"/>
    <pivotTable tabId="10" name="Client Gender"/>
    <pivotTable tabId="10" name="Client Status"/>
    <pivotTable tabId="10" name="Monthly referrals"/>
    <pivotTable tabId="10" name="PivotTable15"/>
    <pivotTable tabId="10" name="PivotTable17"/>
    <pivotTable tabId="10" name="PivotTable18"/>
    <pivotTable tabId="10" name="PivotTable19"/>
    <pivotTable tabId="10" name="PivotTable20"/>
    <pivotTable tabId="10" name="PivotTable22"/>
    <pivotTable tabId="10" name="PivotTable23"/>
    <pivotTable tabId="10" name="Referring Org"/>
    <pivotTable tabId="10" name="Total Clients"/>
    <pivotTable tabId="10" name="Total Counsellors"/>
    <pivotTable tabId="10" name="PivotTable3"/>
    <pivotTable tabId="10" name="PivotTable9"/>
    <pivotTable tabId="10" name="PivotTable10"/>
    <pivotTable tabId="10" name="PivotTable11"/>
  </pivotTables>
  <data>
    <tabular pivotCacheId="1148651677">
      <items count="6">
        <i x="1" s="1"/>
        <i x="5" s="1"/>
        <i x="0" s="1"/>
        <i x="4"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sellor" xr10:uid="{16EC42B3-CF58-864C-9AEB-23B80836C479}" sourceName="Counsellor ">
  <pivotTables>
    <pivotTable tabId="10" name="PivotTable3"/>
    <pivotTable tabId="10" name="Average Client Age"/>
    <pivotTable tabId="10" name="Average Client wait time"/>
    <pivotTable tabId="10" name="Client Age Group"/>
    <pivotTable tabId="10" name="Client Gender"/>
    <pivotTable tabId="10" name="Client Status"/>
    <pivotTable tabId="10" name="Monthly referrals"/>
    <pivotTable tabId="10" name="PivotTable15"/>
    <pivotTable tabId="10" name="PivotTable17"/>
    <pivotTable tabId="10" name="PivotTable18"/>
    <pivotTable tabId="10" name="PivotTable19"/>
    <pivotTable tabId="10" name="PivotTable20"/>
    <pivotTable tabId="10" name="PivotTable22"/>
    <pivotTable tabId="10" name="PivotTable23"/>
    <pivotTable tabId="10" name="Referring Org"/>
    <pivotTable tabId="10" name="Total Clients"/>
    <pivotTable tabId="10" name="Total Counsellors"/>
    <pivotTable tabId="10" name="PivotTable9"/>
    <pivotTable tabId="10" name="PivotTable10"/>
    <pivotTable tabId="10" name="PivotTable11"/>
  </pivotTables>
  <data>
    <tabular pivotCacheId="1148651677">
      <items count="8">
        <i x="2" s="1"/>
        <i x="3" s="1"/>
        <i x="1" s="1"/>
        <i x="4" s="1"/>
        <i x="0" s="1"/>
        <i x="5" s="1"/>
        <i x="7" s="1" nd="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1C06216-25F1-D147-A3F7-0C7FE7D33990}" cache="Slicer_Gender" caption="Gender" style="1" rowHeight="256032"/>
  <slicer name="Referring Organisation 1" xr10:uid="{E16A65C7-6AAF-F94C-864E-F5D4421C4F84}" cache="Slicer_Referring_Organisation" caption="Referring Organisation" style="1" rowHeight="251883"/>
  <slicer name="Months (Date Referred) 1" xr10:uid="{4B8EBBED-C18F-A34B-B793-092B3D30CBE2}" cache="Slicer_Months__Date_Referred" caption="Months (Date Referred)" style="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0359374D-F7BA-0D4B-9042-8E8EDF9B3462}" cache="Slicer_Gender" caption="Gender" style="1" rowHeight="256032"/>
  <slicer name="Referring Organisation 2" xr10:uid="{7E0B12E8-9E38-5D41-A658-5B2D3FB1F539}" cache="Slicer_Referring_Organisation" caption="Referring Organisation" style="1" rowHeight="251883"/>
  <slicer name="Months (Date Referred) 2" xr10:uid="{81B0FBF8-7CF5-5A47-B6B6-4809A59B4447}" cache="Slicer_Months__Date_Referred" caption="Months (Date Referred)" style="1"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29B706F8-1401-BC40-9A36-EE5BD9F5D601}" cache="Slicer_Gender" caption="Gender" style="1" rowHeight="256032"/>
  <slicer name="Referring Organisation 3" xr10:uid="{5D45505A-C01B-D248-8747-687E4A1D8A07}" cache="Slicer_Referring_Organisation" caption="Referring Organisation" style="1" rowHeight="251883"/>
  <slicer name="Months (Date Referred) 3" xr10:uid="{C779769A-AD7D-F84B-9683-236FC7FAC22B}" cache="Slicer_Months__Date_Referred" caption="Months (Date Referred)" style="1"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Referred) 4" xr10:uid="{11CAD722-7478-B043-AABE-42BD67A50429}" cache="Slicer_Months__Date_Referred" caption="Months (Date Referred)" style="1" rowHeight="251883"/>
  <slicer name="Status 1" xr10:uid="{4067BB87-4C20-7047-BF0F-5ECB11021445}" cache="Slicer_Status" caption="Status" rowHeight="251883"/>
  <slicer name="Counsellor  1" xr10:uid="{3DDA1DE8-C9DF-334D-A5DC-D4D42C7A370C}" cache="Slicer_Counsellor" caption="Counsellor "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288885C-66C0-2443-8400-166745CCE0B1}" name="Table3" displayName="Table3" ref="A3:N213" totalsRowShown="0">
  <autoFilter ref="A3:N213" xr:uid="{3288885C-66C0-2443-8400-166745CCE0B1}"/>
  <tableColumns count="14">
    <tableColumn id="1" xr3:uid="{65037D99-3F72-7742-8321-0BD796B6C25D}" name="Client ID" dataDxfId="173"/>
    <tableColumn id="2" xr3:uid="{1339F377-38E2-A841-9D0E-32A766126045}" name="DOB" dataDxfId="172"/>
    <tableColumn id="3" xr3:uid="{55205C54-384E-7547-9788-A344BE645446}" name="Age" dataDxfId="171">
      <calculatedColumnFormula>INT((TODAY()-B4)/365.25)</calculatedColumnFormula>
    </tableColumn>
    <tableColumn id="5" xr3:uid="{0963E49E-77DB-FA41-87BD-E140DF0E8CF2}" name="Gender"/>
    <tableColumn id="6" xr3:uid="{914D6D56-0D82-2144-A90A-6FE2E2225C3D}" name="Nationality" dataDxfId="170"/>
    <tableColumn id="7" xr3:uid="{5F894564-D74B-F64D-9E1A-5D7EDB855A92}" name="Ethnicity" dataDxfId="169"/>
    <tableColumn id="9" xr3:uid="{02A41075-C5BE-C245-A997-07AF9B3B1230}" name="Sexuality" dataDxfId="168"/>
    <tableColumn id="4" xr3:uid="{491A3FF6-2977-EA42-AD82-15ADA42F2EC4}" name="Referring Organisation" dataDxfId="167"/>
    <tableColumn id="10" xr3:uid="{EB57C28E-A70D-7443-9117-FBDA10E1939B}" name="Date Referred" dataDxfId="166"/>
    <tableColumn id="12" xr3:uid="{52331914-812E-5D40-A6A9-79CAD14ED250}" name="Date Assessed" dataDxfId="165"/>
    <tableColumn id="14" xr3:uid="{6D7895A2-65F8-9644-BD36-2B804903BB83}" name="Date Allocated" dataDxfId="164"/>
    <tableColumn id="16" xr3:uid="{2FC8A206-E5DD-8943-B812-493A8B58C107}" name="Date Sessions Completed" dataDxfId="163"/>
    <tableColumn id="18" xr3:uid="{D581E544-C6D5-8B44-B08B-67A9DD0354FF}" name="Status"/>
    <tableColumn id="19" xr3:uid="{BEC9367D-1F7C-B744-9270-7FCF950BA363}" name="Counsellor " dataDxfId="1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4046A6-77EB-284F-9BC6-4F716F4F1738}" name="Table32" displayName="Table32" ref="A3:U214" totalsRowCount="1">
  <autoFilter ref="A3:U213" xr:uid="{3288885C-66C0-2443-8400-166745CCE0B1}"/>
  <tableColumns count="21">
    <tableColumn id="1" xr3:uid="{7452AB62-316E-A542-B686-A9E00270296A}" name="Client ID" dataDxfId="161" totalsRowDxfId="131"/>
    <tableColumn id="2" xr3:uid="{729E64BB-D9CA-C041-A5AF-4D9FD8849F3C}" name="DOB" dataDxfId="160" totalsRowDxfId="130"/>
    <tableColumn id="3" xr3:uid="{8807274C-66BC-9A4C-8552-0204B6EEA81C}" name="Age" dataDxfId="159">
      <calculatedColumnFormula>INT((TODAY()-B4)/365.25)</calculatedColumnFormula>
    </tableColumn>
    <tableColumn id="11" xr3:uid="{D96922C1-AC16-7D46-8A74-A5CDBEF02BD2}" name="Age Group" dataDxfId="158">
      <calculatedColumnFormula>IF(OR(ISBLANK(C4), C4 ="N/A"), "N/A",
  IF(VALUE(C4) &lt; 18, "0–17",
    IF(VALUE(C4) &lt; 25, "18–24",
      IF(VALUE(C4) &lt; 35, "25–34",
        IF(VALUE(C4) &lt; 45, "35–44",
          IF(VALUE(C4) &lt; 55, "45–54",
            IF(VALUE(C4) &lt; 65, "55–64", "65+")
          )
        )
      )
    )
  )
)</calculatedColumnFormula>
    </tableColumn>
    <tableColumn id="5" xr3:uid="{46143FBC-8A94-4641-8E20-F5942C4D496A}" name="Gender"/>
    <tableColumn id="6" xr3:uid="{AEB38F4B-833B-6444-BADD-4FB88ECAC3F4}" name="Nationality" dataDxfId="157"/>
    <tableColumn id="7" xr3:uid="{6998DFC9-0089-AD4E-80BB-5B70DBB5A267}" name="Ethnicity" dataDxfId="156"/>
    <tableColumn id="8" xr3:uid="{BB9F49F8-DF0D-B54B-9F9A-E3D7754701EF}" name="Ethnicity Group" dataDxfId="155">
      <calculatedColumnFormula>IF(OR(G4="Other",G4="Black / African / Caribbean", G4="Asian"), "BAME", "White")</calculatedColumnFormula>
    </tableColumn>
    <tableColumn id="9" xr3:uid="{B2EC9E68-F713-094D-AB8E-FC0E4781A077}" name="Sexuality" dataDxfId="154"/>
    <tableColumn id="4" xr3:uid="{EAE5CFF6-3A23-EA45-A784-0A1D8129E4CD}" name="Referring Organisation" dataDxfId="153"/>
    <tableColumn id="10" xr3:uid="{C551D49F-6100-8948-9BF7-336AD562450C}" name="Date Referred" dataDxfId="152" totalsRowDxfId="129"/>
    <tableColumn id="13" xr3:uid="{6DE1B787-1AD2-C340-8240-4E34072E3638}" name="Referall Month" dataDxfId="151" totalsRowDxfId="128">
      <calculatedColumnFormula>TEXT(K4,"mmmm yyyyy")</calculatedColumnFormula>
    </tableColumn>
    <tableColumn id="12" xr3:uid="{CF491C2F-00C8-1343-B8EA-C635A03B8756}" name="Date Assessed" dataDxfId="150" totalsRowDxfId="127"/>
    <tableColumn id="20" xr3:uid="{1FE629F6-BF2C-9D4A-BB6E-A8E15F7CB923}" name="Assessment Date Clean" dataDxfId="132" totalsRowDxfId="126">
      <calculatedColumnFormula>IF(ISNUMBER(Table32[[#This Row],[Date Assessed]]),Table32[[#This Row],[Date Assessed]], DATE(1900,1,1))</calculatedColumnFormula>
    </tableColumn>
    <tableColumn id="21" xr3:uid="{E122F9A0-0E84-0146-A1E4-71A05333B826}" name="Days before assessment" dataDxfId="134" totalsRowDxfId="125">
      <calculatedColumnFormula>IF(OR(Table32[[#This Row],[Date Assessed]]="N/A",  Table32[[#This Row],[Date Referred]] = "N/A"), "N/A",  Table32[[#This Row],[Date Assessed]]-Table32[[#This Row],[Date Referred]])</calculatedColumnFormula>
    </tableColumn>
    <tableColumn id="14" xr3:uid="{22214B3F-2820-5343-9D1C-9EAE8B77B429}" name="Date Allocated" dataDxfId="133" totalsRowDxfId="124"/>
    <tableColumn id="23" xr3:uid="{1228DD11-5323-B64A-AECE-DDBB1A41F040}" name="Date Allocated Clean" dataDxfId="120" totalsRowDxfId="123">
      <calculatedColumnFormula>IF(ISNUMBER(Table32[[#This Row],[Date Allocated]]),Table32[[#This Row],[Date Allocated]],DATE(1900,1,1))</calculatedColumnFormula>
    </tableColumn>
    <tableColumn id="22" xr3:uid="{9298E457-C088-474A-AA2E-CE5842CFAAB1}" name="Days before allocation" dataDxfId="149" totalsRowDxfId="122">
      <calculatedColumnFormula>IF(OR(Table32[[#This Row],[Date Assessed]]="N/A",Table32[[#This Row],[Date Allocated]]="N/A"),"N/A",Table32[[#This Row],[Date Allocated]]-Table32[[#This Row],[Date Assessed]])</calculatedColumnFormula>
    </tableColumn>
    <tableColumn id="16" xr3:uid="{98457CA6-DB14-534D-BBA8-388CE5C085F2}" name="Date Sessions Completed" dataDxfId="148" totalsRowDxfId="121"/>
    <tableColumn id="18" xr3:uid="{CD2F1E97-89C8-1D48-A137-F944C96BAB74}" name="Status"/>
    <tableColumn id="19" xr3:uid="{F0874E7A-2D3D-6541-933B-51C50F104677}" name="Counsellor " dataDxfId="14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F5284A5-4205-F940-862D-FEF739FB7739}" name="Table8" displayName="Table8" ref="A34:C40" totalsRowShown="0">
  <autoFilter ref="A34:C40" xr:uid="{1F5284A5-4205-F940-862D-FEF739FB7739}"/>
  <tableColumns count="3">
    <tableColumn id="1" xr3:uid="{3E733001-0BCB-7945-BF86-5A2E49A2795F}" name="Client Status" dataDxfId="146"/>
    <tableColumn id="2" xr3:uid="{162E259A-8724-8344-A90E-F128394B86B3}" name="Percentage" dataDxfId="145" dataCellStyle="Per cent"/>
    <tableColumn id="3" xr3:uid="{FFA488CE-37AF-4B4F-A753-4633BA2BB0F4}"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table" Target="../tables/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675BF-C649-2C4C-B16A-5F6E89E398EF}">
  <dimension ref="A1:N213"/>
  <sheetViews>
    <sheetView topLeftCell="G4" zoomScale="90" zoomScaleNormal="90" workbookViewId="0">
      <selection activeCell="O9" sqref="O9"/>
    </sheetView>
  </sheetViews>
  <sheetFormatPr baseColWidth="10" defaultRowHeight="16" x14ac:dyDescent="0.2"/>
  <cols>
    <col min="1" max="4" width="11" customWidth="1"/>
    <col min="5" max="5" width="15" customWidth="1"/>
    <col min="6" max="6" width="30.83203125" customWidth="1"/>
    <col min="7" max="7" width="16" customWidth="1"/>
    <col min="8" max="8" width="20.83203125" customWidth="1"/>
    <col min="9" max="9" width="23.1640625" customWidth="1"/>
    <col min="10" max="10" width="22.33203125" customWidth="1"/>
    <col min="11" max="11" width="22.1640625" customWidth="1"/>
    <col min="12" max="12" width="27.6640625" customWidth="1"/>
    <col min="13" max="13" width="24.5" customWidth="1"/>
    <col min="14" max="14" width="22.6640625" customWidth="1"/>
  </cols>
  <sheetData>
    <row r="1" spans="1:14" ht="37" x14ac:dyDescent="0.45">
      <c r="G1" s="1" t="s">
        <v>1</v>
      </c>
      <c r="H1" s="1"/>
      <c r="I1" s="2"/>
      <c r="J1" s="2"/>
      <c r="K1" s="2"/>
    </row>
    <row r="3" spans="1:14" x14ac:dyDescent="0.2">
      <c r="A3" s="4" t="s">
        <v>0</v>
      </c>
      <c r="B3" s="5" t="s">
        <v>2</v>
      </c>
      <c r="C3" s="3" t="s">
        <v>3</v>
      </c>
      <c r="D3" t="s">
        <v>4</v>
      </c>
      <c r="E3" t="s">
        <v>5</v>
      </c>
      <c r="F3" t="s">
        <v>6</v>
      </c>
      <c r="G3" t="s">
        <v>7</v>
      </c>
      <c r="H3" t="s">
        <v>249</v>
      </c>
      <c r="I3" s="5" t="s">
        <v>8</v>
      </c>
      <c r="J3" t="s">
        <v>9</v>
      </c>
      <c r="K3" t="s">
        <v>10</v>
      </c>
      <c r="L3" t="s">
        <v>11</v>
      </c>
      <c r="M3" t="s">
        <v>12</v>
      </c>
      <c r="N3" t="s">
        <v>13</v>
      </c>
    </row>
    <row r="4" spans="1:14" x14ac:dyDescent="0.2">
      <c r="A4" s="4" t="s">
        <v>15</v>
      </c>
      <c r="B4" s="5">
        <v>31213</v>
      </c>
      <c r="C4">
        <f ca="1">INT((TODAY()-B4)/365.25)</f>
        <v>40</v>
      </c>
      <c r="D4" t="s">
        <v>225</v>
      </c>
      <c r="E4" t="s">
        <v>227</v>
      </c>
      <c r="F4" t="s">
        <v>227</v>
      </c>
      <c r="G4" t="s">
        <v>246</v>
      </c>
      <c r="H4" t="s">
        <v>250</v>
      </c>
      <c r="I4" s="5">
        <v>45311</v>
      </c>
      <c r="J4" s="5">
        <v>45335</v>
      </c>
      <c r="K4" s="5">
        <v>45362</v>
      </c>
      <c r="L4" s="5">
        <v>45528</v>
      </c>
      <c r="M4" t="s">
        <v>255</v>
      </c>
      <c r="N4" t="s">
        <v>262</v>
      </c>
    </row>
    <row r="5" spans="1:14" x14ac:dyDescent="0.2">
      <c r="A5" s="4" t="s">
        <v>14</v>
      </c>
      <c r="B5" s="5">
        <v>33516</v>
      </c>
      <c r="C5">
        <f t="shared" ref="C5:C67" ca="1" si="0">INT((TODAY()-B5)/365.25)</f>
        <v>33</v>
      </c>
      <c r="D5" t="s">
        <v>225</v>
      </c>
      <c r="E5" t="s">
        <v>228</v>
      </c>
      <c r="F5" t="s">
        <v>241</v>
      </c>
      <c r="G5" t="s">
        <v>247</v>
      </c>
      <c r="H5" t="s">
        <v>250</v>
      </c>
      <c r="I5" s="5">
        <v>45494</v>
      </c>
      <c r="J5" s="5">
        <v>45509</v>
      </c>
      <c r="K5" s="5">
        <v>45543</v>
      </c>
      <c r="L5" s="5">
        <v>45709</v>
      </c>
      <c r="M5" t="s">
        <v>255</v>
      </c>
      <c r="N5" t="s">
        <v>263</v>
      </c>
    </row>
    <row r="6" spans="1:14" x14ac:dyDescent="0.2">
      <c r="A6" s="4" t="s">
        <v>16</v>
      </c>
      <c r="B6" s="5">
        <v>21725</v>
      </c>
      <c r="C6">
        <f t="shared" ca="1" si="0"/>
        <v>66</v>
      </c>
      <c r="D6" t="s">
        <v>225</v>
      </c>
      <c r="E6" t="s">
        <v>228</v>
      </c>
      <c r="F6" t="s">
        <v>242</v>
      </c>
      <c r="G6" t="s">
        <v>247</v>
      </c>
      <c r="H6" t="s">
        <v>227</v>
      </c>
      <c r="I6" s="5">
        <v>45501</v>
      </c>
      <c r="J6" s="5">
        <v>45528</v>
      </c>
      <c r="K6" s="5">
        <v>45563</v>
      </c>
      <c r="L6" s="5">
        <v>45731</v>
      </c>
      <c r="M6" t="s">
        <v>255</v>
      </c>
      <c r="N6" t="s">
        <v>272</v>
      </c>
    </row>
    <row r="7" spans="1:14" x14ac:dyDescent="0.2">
      <c r="A7" s="4" t="s">
        <v>17</v>
      </c>
      <c r="B7" s="5">
        <v>37030</v>
      </c>
      <c r="C7">
        <f t="shared" ca="1" si="0"/>
        <v>24</v>
      </c>
      <c r="D7" t="s">
        <v>225</v>
      </c>
      <c r="E7" t="s">
        <v>229</v>
      </c>
      <c r="F7" t="s">
        <v>243</v>
      </c>
      <c r="G7" t="s">
        <v>247</v>
      </c>
      <c r="H7" t="s">
        <v>251</v>
      </c>
      <c r="I7" s="5">
        <v>45422</v>
      </c>
      <c r="J7" s="5">
        <v>45448</v>
      </c>
      <c r="K7" s="5">
        <v>45475</v>
      </c>
      <c r="L7" s="5">
        <v>45601</v>
      </c>
      <c r="M7" t="s">
        <v>255</v>
      </c>
      <c r="N7" t="s">
        <v>272</v>
      </c>
    </row>
    <row r="8" spans="1:14" x14ac:dyDescent="0.2">
      <c r="A8" s="4" t="s">
        <v>18</v>
      </c>
      <c r="B8" s="5">
        <v>33380</v>
      </c>
      <c r="C8">
        <f t="shared" ca="1" si="0"/>
        <v>34</v>
      </c>
      <c r="D8" t="s">
        <v>225</v>
      </c>
      <c r="E8" t="s">
        <v>228</v>
      </c>
      <c r="F8" t="s">
        <v>242</v>
      </c>
      <c r="G8" t="s">
        <v>247</v>
      </c>
      <c r="H8" t="s">
        <v>250</v>
      </c>
      <c r="I8" s="5">
        <v>45462</v>
      </c>
      <c r="J8" s="5">
        <v>45473</v>
      </c>
      <c r="K8" s="5">
        <v>45485</v>
      </c>
      <c r="L8" s="5">
        <v>45613</v>
      </c>
      <c r="M8" t="s">
        <v>255</v>
      </c>
      <c r="N8" t="s">
        <v>263</v>
      </c>
    </row>
    <row r="9" spans="1:14" x14ac:dyDescent="0.2">
      <c r="A9" s="4" t="s">
        <v>19</v>
      </c>
      <c r="B9" s="5">
        <v>24511</v>
      </c>
      <c r="C9">
        <f t="shared" ca="1" si="0"/>
        <v>58</v>
      </c>
      <c r="D9" t="s">
        <v>225</v>
      </c>
      <c r="E9" t="s">
        <v>229</v>
      </c>
      <c r="F9" t="s">
        <v>243</v>
      </c>
      <c r="G9" t="s">
        <v>247</v>
      </c>
      <c r="H9" t="s">
        <v>252</v>
      </c>
      <c r="I9" s="5">
        <v>45622</v>
      </c>
      <c r="J9" s="5">
        <v>45666</v>
      </c>
      <c r="K9" s="5">
        <v>45680</v>
      </c>
      <c r="L9" s="5">
        <v>45817</v>
      </c>
      <c r="M9" t="s">
        <v>255</v>
      </c>
      <c r="N9" t="s">
        <v>261</v>
      </c>
    </row>
    <row r="10" spans="1:14" x14ac:dyDescent="0.2">
      <c r="A10" s="4" t="s">
        <v>20</v>
      </c>
      <c r="B10" s="5">
        <v>22164</v>
      </c>
      <c r="C10">
        <f t="shared" ca="1" si="0"/>
        <v>65</v>
      </c>
      <c r="D10" t="s">
        <v>225</v>
      </c>
      <c r="E10" t="s">
        <v>230</v>
      </c>
      <c r="F10" t="s">
        <v>243</v>
      </c>
      <c r="G10" t="s">
        <v>247</v>
      </c>
      <c r="H10" t="s">
        <v>250</v>
      </c>
      <c r="I10" s="5">
        <v>45644</v>
      </c>
      <c r="J10" s="5">
        <v>45678</v>
      </c>
      <c r="K10" s="5">
        <v>45731</v>
      </c>
      <c r="L10" s="5"/>
      <c r="M10" t="s">
        <v>260</v>
      </c>
      <c r="N10" t="s">
        <v>262</v>
      </c>
    </row>
    <row r="11" spans="1:14" x14ac:dyDescent="0.2">
      <c r="A11" s="4" t="s">
        <v>21</v>
      </c>
      <c r="B11" s="5">
        <v>30515</v>
      </c>
      <c r="C11">
        <f t="shared" ca="1" si="0"/>
        <v>42</v>
      </c>
      <c r="D11" t="s">
        <v>225</v>
      </c>
      <c r="E11" t="s">
        <v>228</v>
      </c>
      <c r="F11" t="s">
        <v>242</v>
      </c>
      <c r="G11" t="s">
        <v>247</v>
      </c>
      <c r="H11" t="s">
        <v>252</v>
      </c>
      <c r="I11" s="5">
        <v>45502</v>
      </c>
      <c r="J11" s="5">
        <v>45522</v>
      </c>
      <c r="K11" s="5">
        <v>45570</v>
      </c>
      <c r="L11" s="5"/>
      <c r="M11" t="s">
        <v>260</v>
      </c>
      <c r="N11" t="s">
        <v>272</v>
      </c>
    </row>
    <row r="12" spans="1:14" x14ac:dyDescent="0.2">
      <c r="A12" s="4" t="s">
        <v>22</v>
      </c>
      <c r="B12" s="5">
        <v>30776</v>
      </c>
      <c r="C12">
        <f t="shared" ca="1" si="0"/>
        <v>41</v>
      </c>
      <c r="D12" t="s">
        <v>225</v>
      </c>
      <c r="E12" t="s">
        <v>230</v>
      </c>
      <c r="F12" t="s">
        <v>243</v>
      </c>
      <c r="G12" t="s">
        <v>247</v>
      </c>
      <c r="H12" t="s">
        <v>251</v>
      </c>
      <c r="I12" s="5">
        <v>45499</v>
      </c>
      <c r="J12" s="5">
        <v>45513</v>
      </c>
      <c r="K12" s="5">
        <v>45533</v>
      </c>
      <c r="L12" s="5">
        <v>45713</v>
      </c>
      <c r="M12" t="s">
        <v>255</v>
      </c>
      <c r="N12" t="s">
        <v>264</v>
      </c>
    </row>
    <row r="13" spans="1:14" x14ac:dyDescent="0.2">
      <c r="A13" s="4" t="s">
        <v>23</v>
      </c>
      <c r="B13" s="5">
        <v>33887</v>
      </c>
      <c r="C13">
        <f t="shared" ca="1" si="0"/>
        <v>32</v>
      </c>
      <c r="D13" t="s">
        <v>225</v>
      </c>
      <c r="E13" t="s">
        <v>228</v>
      </c>
      <c r="F13" t="s">
        <v>245</v>
      </c>
      <c r="G13" t="s">
        <v>247</v>
      </c>
      <c r="H13" t="s">
        <v>252</v>
      </c>
      <c r="I13" s="5">
        <v>45412</v>
      </c>
      <c r="J13" s="5">
        <v>45426</v>
      </c>
      <c r="K13" s="5">
        <v>45475</v>
      </c>
      <c r="L13" s="5">
        <v>45625</v>
      </c>
      <c r="M13" t="s">
        <v>255</v>
      </c>
      <c r="N13" t="s">
        <v>261</v>
      </c>
    </row>
    <row r="14" spans="1:14" x14ac:dyDescent="0.2">
      <c r="A14" s="4" t="s">
        <v>24</v>
      </c>
      <c r="B14" s="5">
        <v>32408</v>
      </c>
      <c r="C14">
        <f t="shared" ca="1" si="0"/>
        <v>37</v>
      </c>
      <c r="D14" t="s">
        <v>225</v>
      </c>
      <c r="E14" t="s">
        <v>231</v>
      </c>
      <c r="F14" t="s">
        <v>241</v>
      </c>
      <c r="G14" t="s">
        <v>247</v>
      </c>
      <c r="H14" t="s">
        <v>252</v>
      </c>
      <c r="I14" s="5">
        <v>45363</v>
      </c>
      <c r="J14" s="5">
        <v>45411</v>
      </c>
      <c r="K14" s="5">
        <v>45450</v>
      </c>
      <c r="L14" s="5">
        <v>45624</v>
      </c>
      <c r="M14" t="s">
        <v>255</v>
      </c>
      <c r="N14" t="s">
        <v>272</v>
      </c>
    </row>
    <row r="15" spans="1:14" x14ac:dyDescent="0.2">
      <c r="A15" s="4" t="s">
        <v>25</v>
      </c>
      <c r="B15" s="5">
        <v>31041</v>
      </c>
      <c r="C15">
        <f t="shared" ca="1" si="0"/>
        <v>40</v>
      </c>
      <c r="D15" t="s">
        <v>225</v>
      </c>
      <c r="E15" t="s">
        <v>231</v>
      </c>
      <c r="F15" t="s">
        <v>241</v>
      </c>
      <c r="G15" t="s">
        <v>247</v>
      </c>
      <c r="H15" t="s">
        <v>250</v>
      </c>
      <c r="I15" s="5">
        <v>45477</v>
      </c>
      <c r="J15" s="5">
        <v>45495</v>
      </c>
      <c r="K15" s="5">
        <v>45507</v>
      </c>
      <c r="L15" s="5">
        <v>45669</v>
      </c>
      <c r="M15" t="s">
        <v>255</v>
      </c>
      <c r="N15" t="s">
        <v>264</v>
      </c>
    </row>
    <row r="16" spans="1:14" x14ac:dyDescent="0.2">
      <c r="A16" s="4" t="s">
        <v>26</v>
      </c>
      <c r="B16" s="5">
        <v>33122</v>
      </c>
      <c r="C16">
        <f t="shared" ca="1" si="0"/>
        <v>35</v>
      </c>
      <c r="D16" t="s">
        <v>225</v>
      </c>
      <c r="E16" t="s">
        <v>228</v>
      </c>
      <c r="F16" t="s">
        <v>242</v>
      </c>
      <c r="G16" t="s">
        <v>247</v>
      </c>
      <c r="H16" t="s">
        <v>252</v>
      </c>
      <c r="I16" s="5">
        <v>45567</v>
      </c>
      <c r="J16" s="5">
        <v>45590</v>
      </c>
      <c r="K16" s="5">
        <v>45624</v>
      </c>
      <c r="L16" s="5"/>
      <c r="M16" t="s">
        <v>260</v>
      </c>
      <c r="N16" t="s">
        <v>272</v>
      </c>
    </row>
    <row r="17" spans="1:14" x14ac:dyDescent="0.2">
      <c r="A17" s="4" t="s">
        <v>27</v>
      </c>
      <c r="B17" s="5">
        <v>27623</v>
      </c>
      <c r="C17">
        <f t="shared" ca="1" si="0"/>
        <v>50</v>
      </c>
      <c r="D17" t="s">
        <v>225</v>
      </c>
      <c r="E17" t="s">
        <v>229</v>
      </c>
      <c r="F17" t="s">
        <v>243</v>
      </c>
      <c r="G17" t="s">
        <v>247</v>
      </c>
      <c r="H17" t="s">
        <v>250</v>
      </c>
      <c r="I17" s="5">
        <v>45539</v>
      </c>
      <c r="J17" s="5">
        <v>45588</v>
      </c>
      <c r="K17" s="5">
        <v>45628</v>
      </c>
      <c r="L17" s="5"/>
      <c r="M17" t="s">
        <v>260</v>
      </c>
      <c r="N17" t="s">
        <v>264</v>
      </c>
    </row>
    <row r="18" spans="1:14" x14ac:dyDescent="0.2">
      <c r="A18" s="4" t="s">
        <v>28</v>
      </c>
      <c r="B18" s="5">
        <v>31485</v>
      </c>
      <c r="C18">
        <f t="shared" ca="1" si="0"/>
        <v>39</v>
      </c>
      <c r="D18" t="s">
        <v>225</v>
      </c>
      <c r="E18" t="s">
        <v>228</v>
      </c>
      <c r="F18" t="s">
        <v>242</v>
      </c>
      <c r="G18" t="s">
        <v>246</v>
      </c>
      <c r="H18" t="s">
        <v>252</v>
      </c>
      <c r="I18" s="5">
        <v>45413</v>
      </c>
      <c r="J18" s="5">
        <v>45454</v>
      </c>
      <c r="K18" s="5">
        <v>45503</v>
      </c>
      <c r="L18" s="5">
        <v>45628</v>
      </c>
      <c r="M18" t="s">
        <v>255</v>
      </c>
      <c r="N18" t="s">
        <v>272</v>
      </c>
    </row>
    <row r="19" spans="1:14" x14ac:dyDescent="0.2">
      <c r="A19" s="4" t="s">
        <v>29</v>
      </c>
      <c r="B19" s="5">
        <v>29876</v>
      </c>
      <c r="C19">
        <f t="shared" ca="1" si="0"/>
        <v>43</v>
      </c>
      <c r="D19" t="s">
        <v>224</v>
      </c>
      <c r="E19" t="s">
        <v>229</v>
      </c>
      <c r="F19" t="s">
        <v>243</v>
      </c>
      <c r="G19" t="s">
        <v>247</v>
      </c>
      <c r="H19" t="s">
        <v>252</v>
      </c>
      <c r="I19" s="5">
        <v>45433</v>
      </c>
      <c r="J19" s="5">
        <v>45464</v>
      </c>
      <c r="K19" s="5">
        <v>45508</v>
      </c>
      <c r="L19" s="5">
        <v>45657</v>
      </c>
      <c r="M19" t="s">
        <v>255</v>
      </c>
      <c r="N19" t="s">
        <v>272</v>
      </c>
    </row>
    <row r="20" spans="1:14" x14ac:dyDescent="0.2">
      <c r="A20" s="4" t="s">
        <v>30</v>
      </c>
      <c r="B20" s="5">
        <v>27428</v>
      </c>
      <c r="C20">
        <f t="shared" ca="1" si="0"/>
        <v>50</v>
      </c>
      <c r="D20" t="s">
        <v>224</v>
      </c>
      <c r="E20" t="s">
        <v>230</v>
      </c>
      <c r="F20" t="s">
        <v>243</v>
      </c>
      <c r="G20" t="s">
        <v>247</v>
      </c>
      <c r="H20" t="s">
        <v>250</v>
      </c>
      <c r="I20" s="5">
        <v>45656</v>
      </c>
      <c r="J20" s="5"/>
      <c r="K20" s="5"/>
      <c r="L20" s="5"/>
      <c r="M20" t="s">
        <v>256</v>
      </c>
      <c r="N20" t="s">
        <v>263</v>
      </c>
    </row>
    <row r="21" spans="1:14" x14ac:dyDescent="0.2">
      <c r="A21" s="4" t="s">
        <v>31</v>
      </c>
      <c r="B21" s="5">
        <v>35616</v>
      </c>
      <c r="C21">
        <f t="shared" ca="1" si="0"/>
        <v>28</v>
      </c>
      <c r="D21" t="s">
        <v>225</v>
      </c>
      <c r="E21" t="s">
        <v>228</v>
      </c>
      <c r="F21" t="s">
        <v>241</v>
      </c>
      <c r="G21" t="s">
        <v>246</v>
      </c>
      <c r="H21" t="s">
        <v>253</v>
      </c>
      <c r="I21" s="5">
        <v>45575</v>
      </c>
      <c r="J21" s="5"/>
      <c r="K21" s="5"/>
      <c r="L21" s="5"/>
      <c r="M21" t="s">
        <v>256</v>
      </c>
      <c r="N21" t="s">
        <v>261</v>
      </c>
    </row>
    <row r="22" spans="1:14" x14ac:dyDescent="0.2">
      <c r="A22" s="4" t="s">
        <v>32</v>
      </c>
      <c r="B22" s="5">
        <v>23381</v>
      </c>
      <c r="C22">
        <f t="shared" ca="1" si="0"/>
        <v>61</v>
      </c>
      <c r="D22" t="s">
        <v>225</v>
      </c>
      <c r="E22" t="s">
        <v>236</v>
      </c>
      <c r="F22" t="s">
        <v>227</v>
      </c>
      <c r="G22" t="s">
        <v>246</v>
      </c>
      <c r="H22" t="s">
        <v>250</v>
      </c>
      <c r="I22" s="5">
        <v>45312</v>
      </c>
      <c r="J22" s="5">
        <v>45359</v>
      </c>
      <c r="K22" s="5">
        <v>45379</v>
      </c>
      <c r="L22" s="5">
        <v>45552</v>
      </c>
      <c r="M22" t="s">
        <v>255</v>
      </c>
      <c r="N22" t="s">
        <v>262</v>
      </c>
    </row>
    <row r="23" spans="1:14" x14ac:dyDescent="0.2">
      <c r="A23" s="4" t="s">
        <v>33</v>
      </c>
      <c r="B23" s="5">
        <v>38094</v>
      </c>
      <c r="C23">
        <f t="shared" ca="1" si="0"/>
        <v>21</v>
      </c>
      <c r="D23" t="s">
        <v>224</v>
      </c>
      <c r="E23" t="s">
        <v>228</v>
      </c>
      <c r="F23" t="s">
        <v>242</v>
      </c>
      <c r="G23" t="s">
        <v>247</v>
      </c>
      <c r="H23" t="s">
        <v>251</v>
      </c>
      <c r="I23" s="5">
        <v>45640</v>
      </c>
      <c r="J23" s="5">
        <v>45662</v>
      </c>
      <c r="K23" s="5">
        <v>45707</v>
      </c>
      <c r="L23" s="5">
        <v>45838</v>
      </c>
      <c r="M23" t="s">
        <v>255</v>
      </c>
      <c r="N23" t="s">
        <v>261</v>
      </c>
    </row>
    <row r="24" spans="1:14" x14ac:dyDescent="0.2">
      <c r="A24" s="4" t="s">
        <v>34</v>
      </c>
      <c r="B24" s="5">
        <v>29064</v>
      </c>
      <c r="C24">
        <f t="shared" ca="1" si="0"/>
        <v>46</v>
      </c>
      <c r="D24" t="s">
        <v>224</v>
      </c>
      <c r="E24" t="s">
        <v>230</v>
      </c>
      <c r="F24" t="s">
        <v>243</v>
      </c>
      <c r="G24" t="s">
        <v>247</v>
      </c>
      <c r="H24" t="s">
        <v>253</v>
      </c>
      <c r="I24" s="5">
        <v>45380</v>
      </c>
      <c r="J24" s="5">
        <v>45406</v>
      </c>
      <c r="K24" s="5">
        <v>45457</v>
      </c>
      <c r="L24" s="5">
        <v>45613</v>
      </c>
      <c r="M24" t="s">
        <v>255</v>
      </c>
      <c r="N24" t="s">
        <v>264</v>
      </c>
    </row>
    <row r="25" spans="1:14" x14ac:dyDescent="0.2">
      <c r="A25" s="4" t="s">
        <v>35</v>
      </c>
      <c r="B25" s="5">
        <v>24575</v>
      </c>
      <c r="C25">
        <f t="shared" ca="1" si="0"/>
        <v>58</v>
      </c>
      <c r="D25" t="s">
        <v>225</v>
      </c>
      <c r="E25" t="s">
        <v>231</v>
      </c>
      <c r="F25" t="s">
        <v>241</v>
      </c>
      <c r="G25" t="s">
        <v>247</v>
      </c>
      <c r="H25" t="s">
        <v>252</v>
      </c>
      <c r="I25" s="5">
        <v>45343</v>
      </c>
      <c r="J25" s="5">
        <v>45355</v>
      </c>
      <c r="K25" s="5">
        <v>45362</v>
      </c>
      <c r="L25" s="5">
        <v>45531</v>
      </c>
      <c r="M25" t="s">
        <v>255</v>
      </c>
      <c r="N25" t="s">
        <v>262</v>
      </c>
    </row>
    <row r="26" spans="1:14" x14ac:dyDescent="0.2">
      <c r="A26" s="4" t="s">
        <v>36</v>
      </c>
      <c r="B26" s="5">
        <v>28813</v>
      </c>
      <c r="C26">
        <f t="shared" ca="1" si="0"/>
        <v>46</v>
      </c>
      <c r="D26" t="s">
        <v>225</v>
      </c>
      <c r="E26" t="s">
        <v>230</v>
      </c>
      <c r="F26" t="s">
        <v>243</v>
      </c>
      <c r="G26" t="s">
        <v>246</v>
      </c>
      <c r="H26" t="s">
        <v>252</v>
      </c>
      <c r="I26" s="5">
        <v>45570</v>
      </c>
      <c r="J26" s="5">
        <v>45597</v>
      </c>
      <c r="K26" s="5">
        <v>45651</v>
      </c>
      <c r="L26" s="5">
        <v>45826</v>
      </c>
      <c r="M26" t="s">
        <v>255</v>
      </c>
      <c r="N26" t="s">
        <v>261</v>
      </c>
    </row>
    <row r="27" spans="1:14" x14ac:dyDescent="0.2">
      <c r="A27" s="4" t="s">
        <v>37</v>
      </c>
      <c r="B27" s="5">
        <v>26215</v>
      </c>
      <c r="C27">
        <f t="shared" ca="1" si="0"/>
        <v>53</v>
      </c>
      <c r="D27" t="s">
        <v>225</v>
      </c>
      <c r="E27" t="s">
        <v>230</v>
      </c>
      <c r="F27" t="s">
        <v>243</v>
      </c>
      <c r="G27" t="s">
        <v>247</v>
      </c>
      <c r="H27" t="s">
        <v>253</v>
      </c>
      <c r="I27" s="5">
        <v>45571</v>
      </c>
      <c r="J27" s="5">
        <v>45577</v>
      </c>
      <c r="K27" s="5">
        <v>45632</v>
      </c>
      <c r="L27" s="5">
        <v>45779</v>
      </c>
      <c r="M27" t="s">
        <v>255</v>
      </c>
      <c r="N27" t="s">
        <v>261</v>
      </c>
    </row>
    <row r="28" spans="1:14" x14ac:dyDescent="0.2">
      <c r="A28" s="4" t="s">
        <v>38</v>
      </c>
      <c r="B28" s="5">
        <v>35197</v>
      </c>
      <c r="C28">
        <f t="shared" ca="1" si="0"/>
        <v>29</v>
      </c>
      <c r="D28" t="s">
        <v>225</v>
      </c>
      <c r="E28" t="s">
        <v>228</v>
      </c>
      <c r="F28" t="s">
        <v>242</v>
      </c>
      <c r="G28" t="s">
        <v>247</v>
      </c>
      <c r="H28" t="s">
        <v>250</v>
      </c>
      <c r="I28" s="5">
        <v>45346</v>
      </c>
      <c r="J28" s="5"/>
      <c r="K28" s="5"/>
      <c r="L28" s="5"/>
      <c r="M28" t="s">
        <v>256</v>
      </c>
    </row>
    <row r="29" spans="1:14" x14ac:dyDescent="0.2">
      <c r="A29" s="4" t="s">
        <v>39</v>
      </c>
      <c r="B29" s="5">
        <v>30866</v>
      </c>
      <c r="C29">
        <f t="shared" ca="1" si="0"/>
        <v>41</v>
      </c>
      <c r="D29" t="s">
        <v>226</v>
      </c>
      <c r="E29" t="s">
        <v>229</v>
      </c>
      <c r="F29" t="s">
        <v>243</v>
      </c>
      <c r="G29" t="s">
        <v>247</v>
      </c>
      <c r="H29" t="s">
        <v>253</v>
      </c>
      <c r="I29" s="5">
        <v>45422</v>
      </c>
      <c r="J29" s="5">
        <v>45454</v>
      </c>
      <c r="K29" s="5">
        <v>45501</v>
      </c>
      <c r="L29" s="5">
        <v>45668</v>
      </c>
      <c r="M29" t="s">
        <v>255</v>
      </c>
      <c r="N29" t="s">
        <v>261</v>
      </c>
    </row>
    <row r="30" spans="1:14" x14ac:dyDescent="0.2">
      <c r="A30" s="4" t="s">
        <v>40</v>
      </c>
      <c r="B30" s="5">
        <v>34772</v>
      </c>
      <c r="C30">
        <f t="shared" ca="1" si="0"/>
        <v>30</v>
      </c>
      <c r="D30" t="s">
        <v>224</v>
      </c>
      <c r="E30" t="s">
        <v>231</v>
      </c>
      <c r="F30" t="s">
        <v>241</v>
      </c>
      <c r="G30" t="s">
        <v>246</v>
      </c>
      <c r="H30" t="s">
        <v>250</v>
      </c>
      <c r="I30" s="5">
        <v>45645</v>
      </c>
      <c r="J30" s="5">
        <v>45652</v>
      </c>
      <c r="K30" s="5">
        <v>45708</v>
      </c>
      <c r="L30" s="5">
        <v>45848</v>
      </c>
      <c r="M30" t="s">
        <v>255</v>
      </c>
      <c r="N30" t="s">
        <v>263</v>
      </c>
    </row>
    <row r="31" spans="1:14" x14ac:dyDescent="0.2">
      <c r="A31" s="4" t="s">
        <v>41</v>
      </c>
      <c r="B31" s="5">
        <v>31440</v>
      </c>
      <c r="C31">
        <f t="shared" ca="1" si="0"/>
        <v>39</v>
      </c>
      <c r="D31" t="s">
        <v>225</v>
      </c>
      <c r="E31" t="s">
        <v>233</v>
      </c>
      <c r="F31" t="s">
        <v>227</v>
      </c>
      <c r="G31" t="s">
        <v>247</v>
      </c>
      <c r="H31" t="s">
        <v>253</v>
      </c>
      <c r="I31" s="5">
        <v>45323</v>
      </c>
      <c r="J31" s="5">
        <v>45345</v>
      </c>
      <c r="K31" s="5">
        <v>45358</v>
      </c>
      <c r="L31" s="5">
        <v>45534</v>
      </c>
      <c r="M31" t="s">
        <v>255</v>
      </c>
      <c r="N31" t="s">
        <v>262</v>
      </c>
    </row>
    <row r="32" spans="1:14" x14ac:dyDescent="0.2">
      <c r="A32" s="4" t="s">
        <v>42</v>
      </c>
      <c r="B32" s="5">
        <v>26677</v>
      </c>
      <c r="C32">
        <f t="shared" ca="1" si="0"/>
        <v>52</v>
      </c>
      <c r="D32" t="s">
        <v>225</v>
      </c>
      <c r="E32" t="s">
        <v>229</v>
      </c>
      <c r="F32" t="s">
        <v>243</v>
      </c>
      <c r="G32" t="s">
        <v>247</v>
      </c>
      <c r="H32" t="s">
        <v>250</v>
      </c>
      <c r="I32" s="5">
        <v>45342</v>
      </c>
      <c r="J32" s="5">
        <v>45352</v>
      </c>
      <c r="K32" s="5">
        <v>45372</v>
      </c>
      <c r="L32" s="5">
        <v>45530</v>
      </c>
      <c r="M32" t="s">
        <v>255</v>
      </c>
      <c r="N32" t="s">
        <v>262</v>
      </c>
    </row>
    <row r="33" spans="1:14" x14ac:dyDescent="0.2">
      <c r="A33" s="4" t="s">
        <v>43</v>
      </c>
      <c r="B33" s="5">
        <v>34376</v>
      </c>
      <c r="C33">
        <f t="shared" ca="1" si="0"/>
        <v>31</v>
      </c>
      <c r="D33" t="s">
        <v>225</v>
      </c>
      <c r="E33" t="s">
        <v>229</v>
      </c>
      <c r="F33" t="s">
        <v>243</v>
      </c>
      <c r="G33" t="s">
        <v>246</v>
      </c>
      <c r="H33" t="s">
        <v>251</v>
      </c>
      <c r="I33" s="5">
        <v>45336</v>
      </c>
      <c r="J33" s="5">
        <v>45364</v>
      </c>
      <c r="K33" s="5">
        <v>45413</v>
      </c>
      <c r="L33" s="5">
        <v>45577</v>
      </c>
      <c r="M33" t="s">
        <v>255</v>
      </c>
      <c r="N33" t="s">
        <v>263</v>
      </c>
    </row>
    <row r="34" spans="1:14" x14ac:dyDescent="0.2">
      <c r="A34" s="4" t="s">
        <v>44</v>
      </c>
      <c r="B34" s="5">
        <v>37419</v>
      </c>
      <c r="C34">
        <f t="shared" ca="1" si="0"/>
        <v>23</v>
      </c>
      <c r="D34" t="s">
        <v>224</v>
      </c>
      <c r="E34" t="s">
        <v>228</v>
      </c>
      <c r="F34" t="s">
        <v>242</v>
      </c>
      <c r="G34" t="s">
        <v>247</v>
      </c>
      <c r="H34" t="s">
        <v>250</v>
      </c>
      <c r="I34" s="5">
        <v>45587</v>
      </c>
      <c r="J34" s="5">
        <v>45593</v>
      </c>
      <c r="K34" s="5">
        <v>45608</v>
      </c>
      <c r="L34" s="5">
        <v>45730</v>
      </c>
      <c r="M34" t="s">
        <v>255</v>
      </c>
      <c r="N34" t="s">
        <v>261</v>
      </c>
    </row>
    <row r="35" spans="1:14" x14ac:dyDescent="0.2">
      <c r="A35" s="4" t="s">
        <v>45</v>
      </c>
      <c r="B35" s="5">
        <v>28045</v>
      </c>
      <c r="C35">
        <f t="shared" ca="1" si="0"/>
        <v>48</v>
      </c>
      <c r="D35" t="s">
        <v>225</v>
      </c>
      <c r="E35" t="s">
        <v>230</v>
      </c>
      <c r="F35" t="s">
        <v>243</v>
      </c>
      <c r="G35" t="s">
        <v>247</v>
      </c>
      <c r="H35" t="s">
        <v>252</v>
      </c>
      <c r="I35" s="5">
        <v>45514</v>
      </c>
      <c r="J35" s="5">
        <v>45553</v>
      </c>
      <c r="K35" s="5">
        <v>45599</v>
      </c>
      <c r="L35" s="5">
        <v>45776</v>
      </c>
      <c r="M35" t="s">
        <v>255</v>
      </c>
      <c r="N35" t="s">
        <v>272</v>
      </c>
    </row>
    <row r="36" spans="1:14" x14ac:dyDescent="0.2">
      <c r="A36" s="4" t="s">
        <v>46</v>
      </c>
      <c r="B36" s="5">
        <v>22665</v>
      </c>
      <c r="C36">
        <f t="shared" ca="1" si="0"/>
        <v>63</v>
      </c>
      <c r="D36" t="s">
        <v>225</v>
      </c>
      <c r="E36" t="s">
        <v>229</v>
      </c>
      <c r="F36" t="s">
        <v>243</v>
      </c>
      <c r="G36" t="s">
        <v>247</v>
      </c>
      <c r="H36" t="s">
        <v>250</v>
      </c>
      <c r="I36" s="5">
        <v>45433</v>
      </c>
      <c r="J36" s="5">
        <v>45462</v>
      </c>
      <c r="K36" s="5">
        <v>45466</v>
      </c>
      <c r="L36" s="5">
        <v>45625</v>
      </c>
      <c r="M36" t="s">
        <v>255</v>
      </c>
      <c r="N36" t="s">
        <v>264</v>
      </c>
    </row>
    <row r="37" spans="1:14" x14ac:dyDescent="0.2">
      <c r="A37" s="4" t="s">
        <v>47</v>
      </c>
      <c r="B37" s="5">
        <v>32851</v>
      </c>
      <c r="C37">
        <f t="shared" ca="1" si="0"/>
        <v>35</v>
      </c>
      <c r="D37" t="s">
        <v>224</v>
      </c>
      <c r="E37" t="s">
        <v>230</v>
      </c>
      <c r="F37" t="s">
        <v>243</v>
      </c>
      <c r="G37" t="s">
        <v>247</v>
      </c>
      <c r="H37" t="s">
        <v>252</v>
      </c>
      <c r="I37" s="5">
        <v>45654</v>
      </c>
      <c r="J37" s="5"/>
      <c r="K37" s="5"/>
      <c r="L37" s="5"/>
      <c r="M37" t="s">
        <v>255</v>
      </c>
      <c r="N37" t="s">
        <v>261</v>
      </c>
    </row>
    <row r="38" spans="1:14" x14ac:dyDescent="0.2">
      <c r="A38" s="4" t="s">
        <v>48</v>
      </c>
      <c r="B38" s="5">
        <v>32209</v>
      </c>
      <c r="C38">
        <f t="shared" ca="1" si="0"/>
        <v>37</v>
      </c>
      <c r="D38" t="s">
        <v>225</v>
      </c>
      <c r="E38" t="s">
        <v>228</v>
      </c>
      <c r="F38" t="s">
        <v>241</v>
      </c>
      <c r="G38" t="s">
        <v>247</v>
      </c>
      <c r="H38" t="s">
        <v>250</v>
      </c>
      <c r="I38" s="5">
        <v>45346</v>
      </c>
      <c r="J38" s="5">
        <v>45372</v>
      </c>
      <c r="K38" s="5">
        <v>45405</v>
      </c>
      <c r="L38" s="5">
        <v>45583</v>
      </c>
      <c r="M38" t="s">
        <v>255</v>
      </c>
      <c r="N38" t="s">
        <v>261</v>
      </c>
    </row>
    <row r="39" spans="1:14" x14ac:dyDescent="0.2">
      <c r="A39" s="4" t="s">
        <v>49</v>
      </c>
      <c r="B39" s="5">
        <v>31724</v>
      </c>
      <c r="C39">
        <f t="shared" ca="1" si="0"/>
        <v>38</v>
      </c>
      <c r="D39" t="s">
        <v>225</v>
      </c>
      <c r="E39" t="s">
        <v>234</v>
      </c>
      <c r="F39" t="s">
        <v>243</v>
      </c>
      <c r="G39" t="s">
        <v>247</v>
      </c>
      <c r="H39" t="s">
        <v>250</v>
      </c>
      <c r="I39" s="5">
        <v>45405</v>
      </c>
      <c r="J39" s="5">
        <v>45438</v>
      </c>
      <c r="K39" s="5">
        <v>45440</v>
      </c>
      <c r="L39" s="5">
        <v>45569</v>
      </c>
      <c r="M39" t="s">
        <v>255</v>
      </c>
      <c r="N39" t="s">
        <v>262</v>
      </c>
    </row>
    <row r="40" spans="1:14" x14ac:dyDescent="0.2">
      <c r="A40" s="4" t="s">
        <v>50</v>
      </c>
      <c r="B40" s="5">
        <v>35378</v>
      </c>
      <c r="C40">
        <f t="shared" ca="1" si="0"/>
        <v>28</v>
      </c>
      <c r="D40" t="s">
        <v>225</v>
      </c>
      <c r="E40" t="s">
        <v>228</v>
      </c>
      <c r="F40" t="s">
        <v>241</v>
      </c>
      <c r="G40" t="s">
        <v>247</v>
      </c>
      <c r="H40" t="s">
        <v>252</v>
      </c>
      <c r="I40" s="5">
        <v>45320</v>
      </c>
      <c r="J40" s="5">
        <v>45322</v>
      </c>
      <c r="K40" s="5">
        <v>45365</v>
      </c>
      <c r="L40" s="5">
        <v>45508</v>
      </c>
      <c r="M40" t="s">
        <v>255</v>
      </c>
      <c r="N40" t="s">
        <v>272</v>
      </c>
    </row>
    <row r="41" spans="1:14" x14ac:dyDescent="0.2">
      <c r="A41" s="4" t="s">
        <v>51</v>
      </c>
      <c r="B41" s="5">
        <v>23853</v>
      </c>
      <c r="C41">
        <f t="shared" ca="1" si="0"/>
        <v>60</v>
      </c>
      <c r="D41" t="s">
        <v>225</v>
      </c>
      <c r="E41" t="s">
        <v>234</v>
      </c>
      <c r="F41" t="s">
        <v>243</v>
      </c>
      <c r="G41" t="s">
        <v>246</v>
      </c>
      <c r="H41" t="s">
        <v>253</v>
      </c>
      <c r="I41" s="5">
        <v>45543</v>
      </c>
      <c r="J41" s="5">
        <v>45580</v>
      </c>
      <c r="K41" s="5">
        <v>45597</v>
      </c>
      <c r="L41" s="5">
        <v>45737</v>
      </c>
      <c r="M41" t="s">
        <v>255</v>
      </c>
      <c r="N41" t="s">
        <v>264</v>
      </c>
    </row>
    <row r="42" spans="1:14" x14ac:dyDescent="0.2">
      <c r="A42" s="4" t="s">
        <v>52</v>
      </c>
      <c r="B42" s="5">
        <v>37306</v>
      </c>
      <c r="C42">
        <f t="shared" ca="1" si="0"/>
        <v>23</v>
      </c>
      <c r="D42" t="s">
        <v>225</v>
      </c>
      <c r="E42" t="s">
        <v>230</v>
      </c>
      <c r="F42" t="s">
        <v>243</v>
      </c>
      <c r="G42" t="s">
        <v>247</v>
      </c>
      <c r="H42" t="s">
        <v>250</v>
      </c>
      <c r="I42" s="5">
        <v>45468</v>
      </c>
      <c r="J42" s="5">
        <v>45475</v>
      </c>
      <c r="K42" s="5">
        <v>45494</v>
      </c>
      <c r="L42" s="5">
        <v>45665</v>
      </c>
      <c r="M42" t="s">
        <v>255</v>
      </c>
      <c r="N42" t="s">
        <v>272</v>
      </c>
    </row>
    <row r="43" spans="1:14" x14ac:dyDescent="0.2">
      <c r="A43" s="4" t="s">
        <v>53</v>
      </c>
      <c r="B43" s="5">
        <v>27018</v>
      </c>
      <c r="C43">
        <f t="shared" ca="1" si="0"/>
        <v>51</v>
      </c>
      <c r="D43" t="s">
        <v>225</v>
      </c>
      <c r="E43" t="s">
        <v>230</v>
      </c>
      <c r="F43" t="s">
        <v>243</v>
      </c>
      <c r="G43" t="s">
        <v>247</v>
      </c>
      <c r="H43" t="s">
        <v>252</v>
      </c>
      <c r="I43" s="5">
        <v>45317</v>
      </c>
      <c r="J43" s="5"/>
      <c r="K43" s="5"/>
      <c r="L43" s="5"/>
      <c r="M43" t="s">
        <v>255</v>
      </c>
      <c r="N43" t="s">
        <v>272</v>
      </c>
    </row>
    <row r="44" spans="1:14" x14ac:dyDescent="0.2">
      <c r="A44" s="4" t="s">
        <v>54</v>
      </c>
      <c r="B44" s="5">
        <v>21191</v>
      </c>
      <c r="C44">
        <f t="shared" ca="1" si="0"/>
        <v>67</v>
      </c>
      <c r="D44" t="s">
        <v>225</v>
      </c>
      <c r="E44" t="s">
        <v>229</v>
      </c>
      <c r="F44" t="s">
        <v>243</v>
      </c>
      <c r="G44" t="s">
        <v>246</v>
      </c>
      <c r="H44" t="s">
        <v>251</v>
      </c>
      <c r="I44" s="5">
        <v>45342</v>
      </c>
      <c r="J44" s="5">
        <v>45362</v>
      </c>
      <c r="K44" s="5">
        <v>45383</v>
      </c>
      <c r="L44" s="5">
        <v>45506</v>
      </c>
      <c r="M44" t="s">
        <v>255</v>
      </c>
      <c r="N44" t="s">
        <v>264</v>
      </c>
    </row>
    <row r="45" spans="1:14" x14ac:dyDescent="0.2">
      <c r="A45" s="4" t="s">
        <v>55</v>
      </c>
      <c r="B45" s="5">
        <v>27329</v>
      </c>
      <c r="C45">
        <f t="shared" ca="1" si="0"/>
        <v>50</v>
      </c>
      <c r="D45" t="s">
        <v>225</v>
      </c>
      <c r="E45" t="s">
        <v>230</v>
      </c>
      <c r="F45" t="s">
        <v>243</v>
      </c>
      <c r="G45" t="s">
        <v>247</v>
      </c>
      <c r="H45" t="s">
        <v>252</v>
      </c>
      <c r="I45" s="5">
        <v>45427</v>
      </c>
      <c r="J45" s="5">
        <v>45452</v>
      </c>
      <c r="K45" s="5">
        <v>45479</v>
      </c>
      <c r="L45" s="5"/>
      <c r="M45" t="s">
        <v>255</v>
      </c>
      <c r="N45" t="s">
        <v>263</v>
      </c>
    </row>
    <row r="46" spans="1:14" x14ac:dyDescent="0.2">
      <c r="A46" s="4" t="s">
        <v>56</v>
      </c>
      <c r="B46" s="5">
        <v>24093</v>
      </c>
      <c r="C46">
        <f t="shared" ca="1" si="0"/>
        <v>59</v>
      </c>
      <c r="D46" t="s">
        <v>225</v>
      </c>
      <c r="E46" t="s">
        <v>228</v>
      </c>
      <c r="F46" t="s">
        <v>245</v>
      </c>
      <c r="G46" t="s">
        <v>247</v>
      </c>
      <c r="H46" t="s">
        <v>253</v>
      </c>
      <c r="I46" s="5">
        <v>45392</v>
      </c>
      <c r="J46" s="5">
        <v>45405</v>
      </c>
      <c r="K46" s="5">
        <v>45454</v>
      </c>
      <c r="L46" s="5">
        <v>45576</v>
      </c>
      <c r="M46" t="s">
        <v>255</v>
      </c>
      <c r="N46" t="s">
        <v>263</v>
      </c>
    </row>
    <row r="47" spans="1:14" x14ac:dyDescent="0.2">
      <c r="A47" s="4" t="s">
        <v>57</v>
      </c>
      <c r="B47" s="5">
        <v>32744</v>
      </c>
      <c r="C47">
        <f t="shared" ca="1" si="0"/>
        <v>36</v>
      </c>
      <c r="D47" t="s">
        <v>225</v>
      </c>
      <c r="E47" t="s">
        <v>229</v>
      </c>
      <c r="F47" t="s">
        <v>243</v>
      </c>
      <c r="G47" t="s">
        <v>247</v>
      </c>
      <c r="H47" t="s">
        <v>250</v>
      </c>
      <c r="I47" s="5">
        <v>45646</v>
      </c>
      <c r="J47" s="5">
        <v>45658</v>
      </c>
      <c r="K47" s="5">
        <v>45685</v>
      </c>
      <c r="L47" s="5">
        <v>45844</v>
      </c>
      <c r="M47" t="s">
        <v>255</v>
      </c>
      <c r="N47" t="s">
        <v>263</v>
      </c>
    </row>
    <row r="48" spans="1:14" x14ac:dyDescent="0.2">
      <c r="A48" s="4" t="s">
        <v>58</v>
      </c>
      <c r="B48" s="5">
        <v>38610</v>
      </c>
      <c r="C48">
        <f t="shared" ca="1" si="0"/>
        <v>20</v>
      </c>
      <c r="D48" t="s">
        <v>224</v>
      </c>
      <c r="E48" t="s">
        <v>228</v>
      </c>
      <c r="F48" t="s">
        <v>242</v>
      </c>
      <c r="G48" t="s">
        <v>247</v>
      </c>
      <c r="H48" t="s">
        <v>250</v>
      </c>
      <c r="I48" s="5">
        <v>45369</v>
      </c>
      <c r="J48" s="5"/>
      <c r="K48" s="5"/>
      <c r="L48" s="5"/>
      <c r="M48" t="s">
        <v>256</v>
      </c>
      <c r="N48" t="s">
        <v>262</v>
      </c>
    </row>
    <row r="49" spans="1:14" x14ac:dyDescent="0.2">
      <c r="A49" s="4" t="s">
        <v>59</v>
      </c>
      <c r="B49" s="5">
        <v>33856</v>
      </c>
      <c r="C49">
        <f t="shared" ca="1" si="0"/>
        <v>33</v>
      </c>
      <c r="D49" t="s">
        <v>225</v>
      </c>
      <c r="E49" t="s">
        <v>230</v>
      </c>
      <c r="F49" t="s">
        <v>243</v>
      </c>
      <c r="G49" t="s">
        <v>247</v>
      </c>
      <c r="H49" t="s">
        <v>252</v>
      </c>
      <c r="I49" s="5">
        <v>45596</v>
      </c>
      <c r="J49" s="5"/>
      <c r="K49" s="5"/>
      <c r="L49" s="5"/>
      <c r="M49" t="s">
        <v>256</v>
      </c>
      <c r="N49" t="s">
        <v>261</v>
      </c>
    </row>
    <row r="50" spans="1:14" x14ac:dyDescent="0.2">
      <c r="A50" s="4" t="s">
        <v>60</v>
      </c>
      <c r="B50" s="5">
        <v>34662</v>
      </c>
      <c r="C50">
        <f t="shared" ca="1" si="0"/>
        <v>30</v>
      </c>
      <c r="D50" t="s">
        <v>225</v>
      </c>
      <c r="E50" t="s">
        <v>227</v>
      </c>
      <c r="F50" t="s">
        <v>227</v>
      </c>
      <c r="G50" t="s">
        <v>247</v>
      </c>
      <c r="H50" t="s">
        <v>250</v>
      </c>
      <c r="I50" s="5">
        <v>45522</v>
      </c>
      <c r="J50" s="5">
        <v>45552</v>
      </c>
      <c r="K50" s="5">
        <v>45609</v>
      </c>
      <c r="L50" s="5">
        <v>45777</v>
      </c>
      <c r="M50" t="s">
        <v>255</v>
      </c>
      <c r="N50" t="s">
        <v>261</v>
      </c>
    </row>
    <row r="51" spans="1:14" x14ac:dyDescent="0.2">
      <c r="A51" s="4" t="s">
        <v>61</v>
      </c>
      <c r="B51" s="5">
        <v>22176</v>
      </c>
      <c r="C51">
        <f t="shared" ca="1" si="0"/>
        <v>65</v>
      </c>
      <c r="D51" t="s">
        <v>224</v>
      </c>
      <c r="E51" t="s">
        <v>229</v>
      </c>
      <c r="F51" t="s">
        <v>243</v>
      </c>
      <c r="G51" t="s">
        <v>246</v>
      </c>
      <c r="H51" t="s">
        <v>253</v>
      </c>
      <c r="I51" s="5">
        <v>45497</v>
      </c>
      <c r="J51" s="5">
        <v>45499</v>
      </c>
      <c r="K51" s="5">
        <v>45519</v>
      </c>
      <c r="L51" s="5">
        <v>45660</v>
      </c>
      <c r="M51" t="s">
        <v>255</v>
      </c>
      <c r="N51" t="s">
        <v>272</v>
      </c>
    </row>
    <row r="52" spans="1:14" x14ac:dyDescent="0.2">
      <c r="A52" s="4" t="s">
        <v>62</v>
      </c>
      <c r="B52" s="5">
        <v>27721</v>
      </c>
      <c r="C52">
        <f t="shared" ca="1" si="0"/>
        <v>49</v>
      </c>
      <c r="D52" t="s">
        <v>225</v>
      </c>
      <c r="E52" t="s">
        <v>229</v>
      </c>
      <c r="F52" t="s">
        <v>243</v>
      </c>
      <c r="G52" t="s">
        <v>247</v>
      </c>
      <c r="H52" t="s">
        <v>251</v>
      </c>
      <c r="I52" s="5">
        <v>45576</v>
      </c>
      <c r="J52" s="5">
        <v>45590</v>
      </c>
      <c r="K52" s="5">
        <v>45594</v>
      </c>
      <c r="L52" s="5">
        <v>45773</v>
      </c>
      <c r="M52" t="s">
        <v>255</v>
      </c>
      <c r="N52" t="s">
        <v>262</v>
      </c>
    </row>
    <row r="53" spans="1:14" x14ac:dyDescent="0.2">
      <c r="A53" s="4" t="s">
        <v>63</v>
      </c>
      <c r="B53" s="5">
        <v>38558</v>
      </c>
      <c r="C53">
        <f t="shared" ca="1" si="0"/>
        <v>20</v>
      </c>
      <c r="D53" t="s">
        <v>224</v>
      </c>
      <c r="E53" t="s">
        <v>231</v>
      </c>
      <c r="F53" t="s">
        <v>241</v>
      </c>
      <c r="G53" t="s">
        <v>247</v>
      </c>
      <c r="H53" t="s">
        <v>252</v>
      </c>
      <c r="I53" s="5">
        <v>45454</v>
      </c>
      <c r="J53" s="5">
        <v>45462</v>
      </c>
      <c r="K53" s="5">
        <v>45488</v>
      </c>
      <c r="L53" s="5">
        <v>45617</v>
      </c>
      <c r="M53" t="s">
        <v>255</v>
      </c>
      <c r="N53" t="s">
        <v>272</v>
      </c>
    </row>
    <row r="54" spans="1:14" x14ac:dyDescent="0.2">
      <c r="A54" s="4" t="s">
        <v>64</v>
      </c>
      <c r="B54" s="5">
        <v>34557</v>
      </c>
      <c r="C54">
        <f t="shared" ca="1" si="0"/>
        <v>31</v>
      </c>
      <c r="D54" t="s">
        <v>224</v>
      </c>
      <c r="E54" t="s">
        <v>230</v>
      </c>
      <c r="F54" t="s">
        <v>243</v>
      </c>
      <c r="G54" t="s">
        <v>247</v>
      </c>
      <c r="H54" t="s">
        <v>252</v>
      </c>
      <c r="I54" s="5">
        <v>45400</v>
      </c>
      <c r="J54" s="5">
        <v>45424</v>
      </c>
      <c r="K54" s="5">
        <v>45436</v>
      </c>
      <c r="L54" s="5">
        <v>45577</v>
      </c>
      <c r="M54" t="s">
        <v>255</v>
      </c>
      <c r="N54" t="s">
        <v>261</v>
      </c>
    </row>
    <row r="55" spans="1:14" x14ac:dyDescent="0.2">
      <c r="A55" s="4" t="s">
        <v>65</v>
      </c>
      <c r="B55" s="5">
        <v>25374</v>
      </c>
      <c r="C55">
        <f t="shared" ca="1" si="0"/>
        <v>56</v>
      </c>
      <c r="D55" t="s">
        <v>224</v>
      </c>
      <c r="E55" t="s">
        <v>228</v>
      </c>
      <c r="F55" t="s">
        <v>245</v>
      </c>
      <c r="G55" t="s">
        <v>247</v>
      </c>
      <c r="H55" t="s">
        <v>253</v>
      </c>
      <c r="I55" s="5">
        <v>45304</v>
      </c>
      <c r="J55" s="5">
        <v>45314</v>
      </c>
      <c r="K55" s="5">
        <v>45328</v>
      </c>
      <c r="L55" s="5">
        <v>45483</v>
      </c>
      <c r="M55" t="s">
        <v>255</v>
      </c>
      <c r="N55" t="s">
        <v>262</v>
      </c>
    </row>
    <row r="56" spans="1:14" x14ac:dyDescent="0.2">
      <c r="A56" s="4" t="s">
        <v>66</v>
      </c>
      <c r="B56" s="5">
        <v>34022</v>
      </c>
      <c r="C56">
        <f t="shared" ca="1" si="0"/>
        <v>32</v>
      </c>
      <c r="D56" t="s">
        <v>224</v>
      </c>
      <c r="E56" t="s">
        <v>228</v>
      </c>
      <c r="F56" t="s">
        <v>242</v>
      </c>
      <c r="G56" t="s">
        <v>247</v>
      </c>
      <c r="H56" t="s">
        <v>253</v>
      </c>
      <c r="I56" s="5">
        <v>45524</v>
      </c>
      <c r="J56" s="5">
        <v>45554</v>
      </c>
      <c r="K56" s="5">
        <v>45577</v>
      </c>
      <c r="L56" s="5">
        <v>45702</v>
      </c>
      <c r="M56" t="s">
        <v>255</v>
      </c>
      <c r="N56" t="s">
        <v>263</v>
      </c>
    </row>
    <row r="57" spans="1:14" x14ac:dyDescent="0.2">
      <c r="A57" s="4" t="s">
        <v>67</v>
      </c>
      <c r="B57" s="5">
        <v>22200</v>
      </c>
      <c r="C57">
        <f t="shared" ca="1" si="0"/>
        <v>64</v>
      </c>
      <c r="D57" t="s">
        <v>224</v>
      </c>
      <c r="E57" t="s">
        <v>235</v>
      </c>
      <c r="F57" t="s">
        <v>227</v>
      </c>
      <c r="G57" t="s">
        <v>247</v>
      </c>
      <c r="H57" t="s">
        <v>253</v>
      </c>
      <c r="I57" s="5">
        <v>45448</v>
      </c>
      <c r="J57" s="5">
        <v>45496</v>
      </c>
      <c r="K57" s="5">
        <v>45510</v>
      </c>
      <c r="L57" s="5">
        <v>45685</v>
      </c>
      <c r="M57" t="s">
        <v>255</v>
      </c>
      <c r="N57" t="s">
        <v>263</v>
      </c>
    </row>
    <row r="58" spans="1:14" x14ac:dyDescent="0.2">
      <c r="A58" s="4" t="s">
        <v>68</v>
      </c>
      <c r="B58" s="5">
        <v>32981</v>
      </c>
      <c r="C58">
        <f t="shared" ca="1" si="0"/>
        <v>35</v>
      </c>
      <c r="D58" t="s">
        <v>224</v>
      </c>
      <c r="E58" t="s">
        <v>228</v>
      </c>
      <c r="F58" t="s">
        <v>241</v>
      </c>
      <c r="G58" t="s">
        <v>247</v>
      </c>
      <c r="H58" t="s">
        <v>251</v>
      </c>
      <c r="I58" s="5">
        <v>45559</v>
      </c>
      <c r="J58" s="5">
        <v>45561</v>
      </c>
      <c r="K58" s="5">
        <v>45574</v>
      </c>
      <c r="L58" s="5">
        <v>45695</v>
      </c>
      <c r="M58" t="s">
        <v>255</v>
      </c>
      <c r="N58" t="s">
        <v>263</v>
      </c>
    </row>
    <row r="59" spans="1:14" x14ac:dyDescent="0.2">
      <c r="A59" s="4" t="s">
        <v>69</v>
      </c>
      <c r="B59" s="5">
        <v>38127</v>
      </c>
      <c r="C59">
        <f t="shared" ca="1" si="0"/>
        <v>21</v>
      </c>
      <c r="D59" t="s">
        <v>224</v>
      </c>
      <c r="E59" t="s">
        <v>228</v>
      </c>
      <c r="F59" t="s">
        <v>242</v>
      </c>
      <c r="G59" t="s">
        <v>247</v>
      </c>
      <c r="H59" t="s">
        <v>250</v>
      </c>
      <c r="I59" s="5">
        <v>45393</v>
      </c>
      <c r="J59" s="5">
        <v>45443</v>
      </c>
      <c r="K59" s="5">
        <v>45476</v>
      </c>
      <c r="L59" s="5">
        <v>45645</v>
      </c>
      <c r="M59" t="s">
        <v>255</v>
      </c>
      <c r="N59" t="s">
        <v>263</v>
      </c>
    </row>
    <row r="60" spans="1:14" x14ac:dyDescent="0.2">
      <c r="A60" s="4" t="s">
        <v>70</v>
      </c>
      <c r="B60" s="5">
        <v>34672</v>
      </c>
      <c r="C60">
        <f t="shared" ca="1" si="0"/>
        <v>30</v>
      </c>
      <c r="D60" t="s">
        <v>224</v>
      </c>
      <c r="E60" t="s">
        <v>231</v>
      </c>
      <c r="F60" t="s">
        <v>241</v>
      </c>
      <c r="G60" t="s">
        <v>246</v>
      </c>
      <c r="H60" t="s">
        <v>253</v>
      </c>
      <c r="I60" s="5">
        <v>45405</v>
      </c>
      <c r="J60" s="5">
        <v>45412</v>
      </c>
      <c r="K60" s="5">
        <v>45470</v>
      </c>
      <c r="L60" s="5">
        <v>45618</v>
      </c>
      <c r="M60" t="s">
        <v>255</v>
      </c>
      <c r="N60" t="s">
        <v>263</v>
      </c>
    </row>
    <row r="61" spans="1:14" x14ac:dyDescent="0.2">
      <c r="A61" s="4" t="s">
        <v>71</v>
      </c>
      <c r="B61" s="5">
        <v>32249</v>
      </c>
      <c r="C61">
        <f t="shared" ca="1" si="0"/>
        <v>37</v>
      </c>
      <c r="D61" t="s">
        <v>225</v>
      </c>
      <c r="E61" t="s">
        <v>230</v>
      </c>
      <c r="F61" t="s">
        <v>243</v>
      </c>
      <c r="G61" t="s">
        <v>247</v>
      </c>
      <c r="H61" t="s">
        <v>251</v>
      </c>
      <c r="I61" s="5">
        <v>45302</v>
      </c>
      <c r="J61" s="5">
        <v>45350</v>
      </c>
      <c r="K61" s="5">
        <v>45360</v>
      </c>
      <c r="L61" s="5">
        <v>45517</v>
      </c>
      <c r="M61" t="s">
        <v>255</v>
      </c>
      <c r="N61" t="s">
        <v>264</v>
      </c>
    </row>
    <row r="62" spans="1:14" x14ac:dyDescent="0.2">
      <c r="A62" s="4" t="s">
        <v>72</v>
      </c>
      <c r="B62" s="5">
        <v>33469</v>
      </c>
      <c r="C62">
        <f t="shared" ca="1" si="0"/>
        <v>34</v>
      </c>
      <c r="D62" t="s">
        <v>225</v>
      </c>
      <c r="E62" t="s">
        <v>231</v>
      </c>
      <c r="F62" t="s">
        <v>241</v>
      </c>
      <c r="G62" t="s">
        <v>247</v>
      </c>
      <c r="H62" t="s">
        <v>253</v>
      </c>
      <c r="I62" s="5">
        <v>45318</v>
      </c>
      <c r="J62" s="5">
        <v>45363</v>
      </c>
      <c r="K62" s="5">
        <v>45386</v>
      </c>
      <c r="L62" s="5">
        <v>45526</v>
      </c>
      <c r="M62" t="s">
        <v>255</v>
      </c>
      <c r="N62" t="s">
        <v>272</v>
      </c>
    </row>
    <row r="63" spans="1:14" x14ac:dyDescent="0.2">
      <c r="A63" s="4" t="s">
        <v>73</v>
      </c>
      <c r="B63" s="5">
        <v>29841</v>
      </c>
      <c r="C63">
        <f t="shared" ca="1" si="0"/>
        <v>44</v>
      </c>
      <c r="D63" t="s">
        <v>225</v>
      </c>
      <c r="E63" t="s">
        <v>228</v>
      </c>
      <c r="F63" t="s">
        <v>242</v>
      </c>
      <c r="G63" t="s">
        <v>247</v>
      </c>
      <c r="H63" t="s">
        <v>251</v>
      </c>
      <c r="I63" s="5">
        <v>45598</v>
      </c>
      <c r="J63" s="5">
        <v>45643</v>
      </c>
      <c r="K63" s="5">
        <v>45697</v>
      </c>
      <c r="L63" s="5">
        <v>45877</v>
      </c>
      <c r="M63" t="s">
        <v>255</v>
      </c>
      <c r="N63" t="s">
        <v>264</v>
      </c>
    </row>
    <row r="64" spans="1:14" x14ac:dyDescent="0.2">
      <c r="A64" s="4" t="s">
        <v>74</v>
      </c>
      <c r="B64" s="5">
        <v>28811</v>
      </c>
      <c r="C64">
        <f t="shared" ca="1" si="0"/>
        <v>46</v>
      </c>
      <c r="D64" t="s">
        <v>225</v>
      </c>
      <c r="E64" t="s">
        <v>228</v>
      </c>
      <c r="F64" t="s">
        <v>242</v>
      </c>
      <c r="G64" t="s">
        <v>247</v>
      </c>
      <c r="H64" t="s">
        <v>250</v>
      </c>
      <c r="I64" s="5">
        <v>45595</v>
      </c>
      <c r="J64" s="5">
        <v>45632</v>
      </c>
      <c r="K64" s="5">
        <v>45688</v>
      </c>
      <c r="L64" s="5">
        <v>45856</v>
      </c>
      <c r="M64" t="s">
        <v>255</v>
      </c>
      <c r="N64" t="s">
        <v>264</v>
      </c>
    </row>
    <row r="65" spans="1:14" x14ac:dyDescent="0.2">
      <c r="A65" s="4" t="s">
        <v>75</v>
      </c>
      <c r="B65" s="5">
        <v>26213</v>
      </c>
      <c r="C65">
        <f t="shared" ca="1" si="0"/>
        <v>53</v>
      </c>
      <c r="D65" t="s">
        <v>225</v>
      </c>
      <c r="E65" t="s">
        <v>229</v>
      </c>
      <c r="F65" t="s">
        <v>243</v>
      </c>
      <c r="G65" t="s">
        <v>247</v>
      </c>
      <c r="H65" t="s">
        <v>250</v>
      </c>
      <c r="I65" s="5">
        <v>45653</v>
      </c>
      <c r="J65" s="5">
        <v>45699</v>
      </c>
      <c r="K65" s="5">
        <v>45709</v>
      </c>
      <c r="L65" s="5">
        <v>45836</v>
      </c>
      <c r="M65" t="s">
        <v>255</v>
      </c>
      <c r="N65" t="s">
        <v>272</v>
      </c>
    </row>
    <row r="66" spans="1:14" x14ac:dyDescent="0.2">
      <c r="A66" s="4" t="s">
        <v>76</v>
      </c>
      <c r="B66" s="5">
        <v>29989</v>
      </c>
      <c r="C66">
        <f t="shared" ca="1" si="0"/>
        <v>43</v>
      </c>
      <c r="D66" t="s">
        <v>225</v>
      </c>
      <c r="E66" t="s">
        <v>230</v>
      </c>
      <c r="F66" t="s">
        <v>243</v>
      </c>
      <c r="G66" t="s">
        <v>247</v>
      </c>
      <c r="H66" t="s">
        <v>252</v>
      </c>
      <c r="I66" s="5">
        <v>45547</v>
      </c>
      <c r="J66" s="5">
        <v>45570</v>
      </c>
      <c r="K66" s="5">
        <v>45580</v>
      </c>
      <c r="L66" s="5">
        <v>45737</v>
      </c>
      <c r="M66" t="s">
        <v>255</v>
      </c>
      <c r="N66" t="s">
        <v>263</v>
      </c>
    </row>
    <row r="67" spans="1:14" x14ac:dyDescent="0.2">
      <c r="A67" s="4" t="s">
        <v>77</v>
      </c>
      <c r="B67" s="5">
        <v>24435</v>
      </c>
      <c r="C67">
        <f t="shared" ca="1" si="0"/>
        <v>58</v>
      </c>
      <c r="D67" t="s">
        <v>225</v>
      </c>
      <c r="E67" t="s">
        <v>229</v>
      </c>
      <c r="F67" t="s">
        <v>243</v>
      </c>
      <c r="G67" t="s">
        <v>247</v>
      </c>
      <c r="H67" t="s">
        <v>253</v>
      </c>
      <c r="I67" s="5">
        <v>45641</v>
      </c>
      <c r="J67" s="5">
        <v>45682</v>
      </c>
      <c r="K67" s="5">
        <v>45697</v>
      </c>
      <c r="L67" s="5">
        <v>45825</v>
      </c>
      <c r="M67" t="s">
        <v>255</v>
      </c>
      <c r="N67" t="s">
        <v>261</v>
      </c>
    </row>
    <row r="68" spans="1:14" x14ac:dyDescent="0.2">
      <c r="A68" s="4" t="s">
        <v>78</v>
      </c>
      <c r="B68" s="5">
        <v>27219</v>
      </c>
      <c r="C68">
        <f t="shared" ref="C68:C131" ca="1" si="1">INT((TODAY()-B68)/365.25)</f>
        <v>51</v>
      </c>
      <c r="D68" t="s">
        <v>225</v>
      </c>
      <c r="E68" t="s">
        <v>229</v>
      </c>
      <c r="F68" t="s">
        <v>243</v>
      </c>
      <c r="G68" t="s">
        <v>247</v>
      </c>
      <c r="H68" t="s">
        <v>251</v>
      </c>
      <c r="I68" s="5">
        <v>45304</v>
      </c>
      <c r="J68" s="5">
        <v>45340</v>
      </c>
      <c r="K68" s="5">
        <v>45371</v>
      </c>
      <c r="L68" s="5">
        <v>45545</v>
      </c>
      <c r="M68" t="s">
        <v>255</v>
      </c>
      <c r="N68" t="s">
        <v>264</v>
      </c>
    </row>
    <row r="69" spans="1:14" x14ac:dyDescent="0.2">
      <c r="A69" s="4" t="s">
        <v>79</v>
      </c>
      <c r="B69" s="5">
        <v>30781</v>
      </c>
      <c r="C69">
        <f t="shared" ca="1" si="1"/>
        <v>41</v>
      </c>
      <c r="D69" t="s">
        <v>225</v>
      </c>
      <c r="E69" t="s">
        <v>228</v>
      </c>
      <c r="F69" t="s">
        <v>242</v>
      </c>
      <c r="G69" t="s">
        <v>247</v>
      </c>
      <c r="H69" t="s">
        <v>254</v>
      </c>
      <c r="I69" s="5">
        <v>45351</v>
      </c>
      <c r="J69" s="5">
        <v>45375</v>
      </c>
      <c r="K69" s="5">
        <v>45432</v>
      </c>
      <c r="L69" s="5">
        <v>45607</v>
      </c>
      <c r="M69" t="s">
        <v>255</v>
      </c>
      <c r="N69" t="s">
        <v>262</v>
      </c>
    </row>
    <row r="70" spans="1:14" x14ac:dyDescent="0.2">
      <c r="A70" s="4" t="s">
        <v>80</v>
      </c>
      <c r="B70" s="5">
        <v>25852</v>
      </c>
      <c r="C70">
        <f t="shared" ca="1" si="1"/>
        <v>54</v>
      </c>
      <c r="D70" t="s">
        <v>225</v>
      </c>
      <c r="E70" t="s">
        <v>230</v>
      </c>
      <c r="F70" t="s">
        <v>243</v>
      </c>
      <c r="G70" t="s">
        <v>246</v>
      </c>
      <c r="H70" t="s">
        <v>253</v>
      </c>
      <c r="I70" s="5">
        <v>45550</v>
      </c>
      <c r="J70" s="5">
        <v>45579</v>
      </c>
      <c r="K70" s="5">
        <v>45618</v>
      </c>
      <c r="L70" s="5">
        <v>45782</v>
      </c>
      <c r="M70" t="s">
        <v>255</v>
      </c>
      <c r="N70" t="s">
        <v>264</v>
      </c>
    </row>
    <row r="71" spans="1:14" x14ac:dyDescent="0.2">
      <c r="A71" s="4" t="s">
        <v>81</v>
      </c>
      <c r="B71" s="5">
        <v>32736</v>
      </c>
      <c r="C71">
        <f t="shared" ca="1" si="1"/>
        <v>36</v>
      </c>
      <c r="D71" t="s">
        <v>225</v>
      </c>
      <c r="E71" t="s">
        <v>229</v>
      </c>
      <c r="F71" t="s">
        <v>243</v>
      </c>
      <c r="G71" t="s">
        <v>247</v>
      </c>
      <c r="H71" t="s">
        <v>253</v>
      </c>
      <c r="I71" s="5">
        <v>45594</v>
      </c>
      <c r="J71" s="5">
        <v>45609</v>
      </c>
      <c r="K71" s="5">
        <v>45619</v>
      </c>
      <c r="L71" s="5">
        <v>45753</v>
      </c>
      <c r="M71" t="s">
        <v>255</v>
      </c>
      <c r="N71" t="s">
        <v>262</v>
      </c>
    </row>
    <row r="72" spans="1:14" x14ac:dyDescent="0.2">
      <c r="A72" s="4" t="s">
        <v>82</v>
      </c>
      <c r="B72" s="5">
        <v>21625</v>
      </c>
      <c r="C72">
        <f t="shared" ca="1" si="1"/>
        <v>66</v>
      </c>
      <c r="D72" t="s">
        <v>225</v>
      </c>
      <c r="E72" t="s">
        <v>227</v>
      </c>
      <c r="F72" t="s">
        <v>227</v>
      </c>
      <c r="G72" t="s">
        <v>247</v>
      </c>
      <c r="H72" t="s">
        <v>250</v>
      </c>
      <c r="I72" s="5">
        <v>45399</v>
      </c>
      <c r="J72" s="5">
        <v>45445</v>
      </c>
      <c r="K72" s="5">
        <v>45482</v>
      </c>
      <c r="L72" s="5">
        <v>45652</v>
      </c>
      <c r="M72" t="s">
        <v>255</v>
      </c>
      <c r="N72" t="s">
        <v>263</v>
      </c>
    </row>
    <row r="73" spans="1:14" x14ac:dyDescent="0.2">
      <c r="A73" s="4" t="s">
        <v>83</v>
      </c>
      <c r="B73" s="5">
        <v>22227</v>
      </c>
      <c r="C73">
        <f t="shared" ca="1" si="1"/>
        <v>64</v>
      </c>
      <c r="D73" t="s">
        <v>225</v>
      </c>
      <c r="E73" t="s">
        <v>232</v>
      </c>
      <c r="F73" t="s">
        <v>243</v>
      </c>
      <c r="G73" t="s">
        <v>247</v>
      </c>
      <c r="H73" t="s">
        <v>252</v>
      </c>
      <c r="I73" s="5">
        <v>45584</v>
      </c>
      <c r="J73" s="5">
        <v>45626</v>
      </c>
      <c r="K73" s="5">
        <v>45654</v>
      </c>
      <c r="L73" s="5">
        <v>45833</v>
      </c>
      <c r="M73" t="s">
        <v>255</v>
      </c>
      <c r="N73" t="s">
        <v>263</v>
      </c>
    </row>
    <row r="74" spans="1:14" x14ac:dyDescent="0.2">
      <c r="A74" s="4" t="s">
        <v>84</v>
      </c>
      <c r="B74" s="5">
        <v>35577</v>
      </c>
      <c r="C74">
        <f t="shared" ca="1" si="1"/>
        <v>28</v>
      </c>
      <c r="D74" t="s">
        <v>224</v>
      </c>
      <c r="E74" t="s">
        <v>230</v>
      </c>
      <c r="F74" t="s">
        <v>243</v>
      </c>
      <c r="G74" t="s">
        <v>247</v>
      </c>
      <c r="H74" t="s">
        <v>250</v>
      </c>
      <c r="I74" s="5">
        <v>45301</v>
      </c>
      <c r="J74" s="5">
        <v>45333</v>
      </c>
      <c r="K74" s="5">
        <v>45356</v>
      </c>
      <c r="L74" s="5">
        <v>45477</v>
      </c>
      <c r="M74" t="s">
        <v>255</v>
      </c>
      <c r="N74" t="s">
        <v>262</v>
      </c>
    </row>
    <row r="75" spans="1:14" x14ac:dyDescent="0.2">
      <c r="A75" s="4" t="s">
        <v>85</v>
      </c>
      <c r="B75" s="5">
        <v>23463</v>
      </c>
      <c r="C75">
        <f t="shared" ca="1" si="1"/>
        <v>61</v>
      </c>
      <c r="D75" t="s">
        <v>224</v>
      </c>
      <c r="E75" t="s">
        <v>229</v>
      </c>
      <c r="F75" t="s">
        <v>243</v>
      </c>
      <c r="G75" t="s">
        <v>247</v>
      </c>
      <c r="H75" t="s">
        <v>251</v>
      </c>
      <c r="I75" s="5">
        <v>45457</v>
      </c>
      <c r="J75" s="5">
        <v>45460</v>
      </c>
      <c r="K75" s="5">
        <v>45495</v>
      </c>
      <c r="L75" s="5">
        <v>45646</v>
      </c>
      <c r="M75" t="s">
        <v>255</v>
      </c>
      <c r="N75" t="s">
        <v>262</v>
      </c>
    </row>
    <row r="76" spans="1:14" x14ac:dyDescent="0.2">
      <c r="A76" s="4" t="s">
        <v>86</v>
      </c>
      <c r="B76" s="5">
        <v>38559</v>
      </c>
      <c r="C76">
        <f t="shared" ca="1" si="1"/>
        <v>20</v>
      </c>
      <c r="D76" t="s">
        <v>225</v>
      </c>
      <c r="E76" t="s">
        <v>228</v>
      </c>
      <c r="F76" t="s">
        <v>245</v>
      </c>
      <c r="G76" t="s">
        <v>247</v>
      </c>
      <c r="H76" t="s">
        <v>252</v>
      </c>
      <c r="I76" s="5">
        <v>45336</v>
      </c>
      <c r="J76" s="5">
        <v>45337</v>
      </c>
      <c r="K76" s="5">
        <v>45343</v>
      </c>
      <c r="L76" s="5">
        <v>45520</v>
      </c>
      <c r="M76" t="s">
        <v>255</v>
      </c>
      <c r="N76" t="s">
        <v>263</v>
      </c>
    </row>
    <row r="77" spans="1:14" x14ac:dyDescent="0.2">
      <c r="A77" s="4" t="s">
        <v>87</v>
      </c>
      <c r="B77" s="5">
        <v>31923</v>
      </c>
      <c r="C77">
        <f t="shared" ca="1" si="1"/>
        <v>38</v>
      </c>
      <c r="D77" t="s">
        <v>224</v>
      </c>
      <c r="E77" t="s">
        <v>227</v>
      </c>
      <c r="F77" t="s">
        <v>227</v>
      </c>
      <c r="G77" t="s">
        <v>247</v>
      </c>
      <c r="H77" t="s">
        <v>252</v>
      </c>
      <c r="I77" s="5">
        <v>45482</v>
      </c>
      <c r="J77" s="5">
        <v>45517</v>
      </c>
      <c r="K77" s="5">
        <v>45554</v>
      </c>
      <c r="L77" s="5">
        <v>45687</v>
      </c>
      <c r="M77" t="s">
        <v>255</v>
      </c>
      <c r="N77" t="s">
        <v>263</v>
      </c>
    </row>
    <row r="78" spans="1:14" x14ac:dyDescent="0.2">
      <c r="A78" s="4" t="s">
        <v>88</v>
      </c>
      <c r="B78" s="5">
        <v>32693</v>
      </c>
      <c r="C78">
        <f t="shared" ca="1" si="1"/>
        <v>36</v>
      </c>
      <c r="D78" t="s">
        <v>225</v>
      </c>
      <c r="E78" t="s">
        <v>230</v>
      </c>
      <c r="F78" t="s">
        <v>243</v>
      </c>
      <c r="G78" t="s">
        <v>247</v>
      </c>
      <c r="H78" t="s">
        <v>253</v>
      </c>
      <c r="I78" s="5">
        <v>45310</v>
      </c>
      <c r="J78" s="5">
        <v>45325</v>
      </c>
      <c r="K78" s="5">
        <v>45353</v>
      </c>
      <c r="L78" s="5">
        <v>45501</v>
      </c>
      <c r="M78" t="s">
        <v>255</v>
      </c>
      <c r="N78" t="s">
        <v>262</v>
      </c>
    </row>
    <row r="79" spans="1:14" x14ac:dyDescent="0.2">
      <c r="A79" s="4" t="s">
        <v>89</v>
      </c>
      <c r="B79" s="5">
        <v>34491</v>
      </c>
      <c r="C79">
        <f t="shared" ca="1" si="1"/>
        <v>31</v>
      </c>
      <c r="D79" t="s">
        <v>224</v>
      </c>
      <c r="E79" t="s">
        <v>228</v>
      </c>
      <c r="F79" t="s">
        <v>242</v>
      </c>
      <c r="G79" t="s">
        <v>247</v>
      </c>
      <c r="H79" t="s">
        <v>251</v>
      </c>
      <c r="I79" s="5">
        <v>45512</v>
      </c>
      <c r="J79" s="5">
        <v>45535</v>
      </c>
      <c r="K79" s="5">
        <v>45555</v>
      </c>
      <c r="L79" s="5"/>
      <c r="M79" t="s">
        <v>258</v>
      </c>
    </row>
    <row r="80" spans="1:14" x14ac:dyDescent="0.2">
      <c r="A80" s="4" t="s">
        <v>90</v>
      </c>
      <c r="B80" s="5">
        <v>36122</v>
      </c>
      <c r="C80">
        <f t="shared" ca="1" si="1"/>
        <v>26</v>
      </c>
      <c r="D80" t="s">
        <v>225</v>
      </c>
      <c r="E80" t="s">
        <v>228</v>
      </c>
      <c r="F80" t="s">
        <v>245</v>
      </c>
      <c r="G80" t="s">
        <v>247</v>
      </c>
      <c r="H80" t="s">
        <v>252</v>
      </c>
      <c r="I80" s="5">
        <v>45512</v>
      </c>
      <c r="J80" s="5">
        <v>45520</v>
      </c>
      <c r="K80" s="5">
        <v>45526</v>
      </c>
      <c r="L80" s="5">
        <v>45693</v>
      </c>
      <c r="M80" t="s">
        <v>255</v>
      </c>
      <c r="N80" t="s">
        <v>262</v>
      </c>
    </row>
    <row r="81" spans="1:14" x14ac:dyDescent="0.2">
      <c r="A81" s="4" t="s">
        <v>91</v>
      </c>
      <c r="B81" s="5">
        <v>28316</v>
      </c>
      <c r="C81">
        <f t="shared" ca="1" si="1"/>
        <v>48</v>
      </c>
      <c r="D81" t="s">
        <v>224</v>
      </c>
      <c r="E81" t="s">
        <v>230</v>
      </c>
      <c r="F81" t="s">
        <v>243</v>
      </c>
      <c r="G81" t="s">
        <v>247</v>
      </c>
      <c r="H81" t="s">
        <v>252</v>
      </c>
      <c r="I81" s="5">
        <v>45328</v>
      </c>
      <c r="J81" s="5">
        <v>45362</v>
      </c>
      <c r="K81" s="5">
        <v>45374</v>
      </c>
      <c r="L81" s="5"/>
      <c r="M81" t="s">
        <v>259</v>
      </c>
    </row>
    <row r="82" spans="1:14" x14ac:dyDescent="0.2">
      <c r="A82" s="4" t="s">
        <v>92</v>
      </c>
      <c r="B82" s="5">
        <v>35112</v>
      </c>
      <c r="C82">
        <f t="shared" ca="1" si="1"/>
        <v>29</v>
      </c>
      <c r="D82" t="s">
        <v>224</v>
      </c>
      <c r="E82" t="s">
        <v>229</v>
      </c>
      <c r="F82" t="s">
        <v>243</v>
      </c>
      <c r="G82" t="s">
        <v>247</v>
      </c>
      <c r="H82" t="s">
        <v>251</v>
      </c>
      <c r="I82" s="5">
        <v>45581</v>
      </c>
      <c r="J82" s="5">
        <v>45620</v>
      </c>
      <c r="K82" s="5">
        <v>45647</v>
      </c>
      <c r="L82" s="5">
        <v>45822</v>
      </c>
      <c r="M82" t="s">
        <v>255</v>
      </c>
      <c r="N82" t="s">
        <v>263</v>
      </c>
    </row>
    <row r="83" spans="1:14" x14ac:dyDescent="0.2">
      <c r="A83" s="4" t="s">
        <v>93</v>
      </c>
      <c r="B83" s="5">
        <v>25227</v>
      </c>
      <c r="C83">
        <f t="shared" ca="1" si="1"/>
        <v>56</v>
      </c>
      <c r="D83" t="s">
        <v>225</v>
      </c>
      <c r="E83" t="s">
        <v>230</v>
      </c>
      <c r="F83" t="s">
        <v>243</v>
      </c>
      <c r="G83" t="s">
        <v>247</v>
      </c>
      <c r="H83" t="s">
        <v>250</v>
      </c>
      <c r="I83" s="5">
        <v>45437</v>
      </c>
      <c r="J83" s="5">
        <v>45479</v>
      </c>
      <c r="K83" s="5">
        <v>45507</v>
      </c>
      <c r="L83" s="5"/>
      <c r="M83" t="s">
        <v>258</v>
      </c>
    </row>
    <row r="84" spans="1:14" x14ac:dyDescent="0.2">
      <c r="A84" s="4" t="s">
        <v>94</v>
      </c>
      <c r="B84" s="5">
        <v>29102</v>
      </c>
      <c r="C84">
        <f t="shared" ca="1" si="1"/>
        <v>46</v>
      </c>
      <c r="D84" t="s">
        <v>225</v>
      </c>
      <c r="E84" t="s">
        <v>228</v>
      </c>
      <c r="F84" t="s">
        <v>245</v>
      </c>
      <c r="G84" t="s">
        <v>247</v>
      </c>
      <c r="H84" t="s">
        <v>253</v>
      </c>
      <c r="I84" s="5">
        <v>45489</v>
      </c>
      <c r="J84" s="5">
        <v>45518</v>
      </c>
      <c r="K84" s="5">
        <v>45553</v>
      </c>
      <c r="L84" s="5">
        <v>45716</v>
      </c>
      <c r="M84" t="s">
        <v>255</v>
      </c>
      <c r="N84" t="s">
        <v>272</v>
      </c>
    </row>
    <row r="85" spans="1:14" x14ac:dyDescent="0.2">
      <c r="A85" s="4" t="s">
        <v>95</v>
      </c>
      <c r="B85" s="5">
        <v>38486</v>
      </c>
      <c r="C85">
        <f t="shared" ca="1" si="1"/>
        <v>20</v>
      </c>
      <c r="D85" t="s">
        <v>225</v>
      </c>
      <c r="E85" t="s">
        <v>228</v>
      </c>
      <c r="F85" t="s">
        <v>245</v>
      </c>
      <c r="G85" t="s">
        <v>246</v>
      </c>
      <c r="H85" t="s">
        <v>252</v>
      </c>
      <c r="I85" s="5">
        <v>45492</v>
      </c>
      <c r="J85" s="5">
        <v>45516</v>
      </c>
      <c r="K85" s="5">
        <v>45571</v>
      </c>
      <c r="L85" s="5">
        <v>45743</v>
      </c>
      <c r="M85" t="s">
        <v>255</v>
      </c>
      <c r="N85" t="s">
        <v>263</v>
      </c>
    </row>
    <row r="86" spans="1:14" x14ac:dyDescent="0.2">
      <c r="A86" s="4" t="s">
        <v>96</v>
      </c>
      <c r="B86" s="5">
        <v>24709</v>
      </c>
      <c r="C86">
        <f t="shared" ca="1" si="1"/>
        <v>58</v>
      </c>
      <c r="D86" t="s">
        <v>225</v>
      </c>
      <c r="E86" t="s">
        <v>230</v>
      </c>
      <c r="F86" t="s">
        <v>243</v>
      </c>
      <c r="G86" t="s">
        <v>247</v>
      </c>
      <c r="H86" t="s">
        <v>250</v>
      </c>
      <c r="I86" s="5">
        <v>45316</v>
      </c>
      <c r="J86" s="5">
        <v>45337</v>
      </c>
      <c r="K86" s="5">
        <v>45366</v>
      </c>
      <c r="L86" s="5">
        <v>45543</v>
      </c>
      <c r="M86" t="s">
        <v>255</v>
      </c>
      <c r="N86" t="s">
        <v>261</v>
      </c>
    </row>
    <row r="87" spans="1:14" x14ac:dyDescent="0.2">
      <c r="A87" s="4" t="s">
        <v>97</v>
      </c>
      <c r="B87" s="5">
        <v>36495</v>
      </c>
      <c r="C87">
        <f t="shared" ca="1" si="1"/>
        <v>25</v>
      </c>
      <c r="D87" t="s">
        <v>225</v>
      </c>
      <c r="E87" t="s">
        <v>228</v>
      </c>
      <c r="F87" t="s">
        <v>242</v>
      </c>
      <c r="G87" t="s">
        <v>247</v>
      </c>
      <c r="H87" t="s">
        <v>253</v>
      </c>
      <c r="I87" s="5">
        <v>45598</v>
      </c>
      <c r="J87" s="5">
        <v>45633</v>
      </c>
      <c r="K87" s="5">
        <v>45676</v>
      </c>
      <c r="L87" s="5">
        <v>45813</v>
      </c>
      <c r="M87" t="s">
        <v>255</v>
      </c>
      <c r="N87" t="s">
        <v>264</v>
      </c>
    </row>
    <row r="88" spans="1:14" x14ac:dyDescent="0.2">
      <c r="A88" s="4" t="s">
        <v>98</v>
      </c>
      <c r="B88" s="5">
        <v>29662</v>
      </c>
      <c r="C88">
        <f t="shared" ca="1" si="1"/>
        <v>44</v>
      </c>
      <c r="D88" t="s">
        <v>225</v>
      </c>
      <c r="E88" t="s">
        <v>228</v>
      </c>
      <c r="F88" t="s">
        <v>244</v>
      </c>
      <c r="G88" t="s">
        <v>246</v>
      </c>
      <c r="H88" t="s">
        <v>252</v>
      </c>
      <c r="I88" s="5">
        <v>45578</v>
      </c>
      <c r="J88" s="5">
        <v>45590</v>
      </c>
      <c r="K88" s="5">
        <v>45647</v>
      </c>
      <c r="L88" s="5">
        <v>45795</v>
      </c>
      <c r="M88" t="s">
        <v>255</v>
      </c>
      <c r="N88" t="s">
        <v>263</v>
      </c>
    </row>
    <row r="89" spans="1:14" x14ac:dyDescent="0.2">
      <c r="A89" s="4" t="s">
        <v>99</v>
      </c>
      <c r="B89" s="5">
        <v>33246</v>
      </c>
      <c r="C89">
        <f t="shared" ca="1" si="1"/>
        <v>34</v>
      </c>
      <c r="D89" t="s">
        <v>224</v>
      </c>
      <c r="E89" t="s">
        <v>230</v>
      </c>
      <c r="F89" t="s">
        <v>243</v>
      </c>
      <c r="G89" t="s">
        <v>247</v>
      </c>
      <c r="H89" t="s">
        <v>253</v>
      </c>
      <c r="I89" s="5">
        <v>45654</v>
      </c>
      <c r="J89" s="5">
        <v>45656</v>
      </c>
      <c r="K89" s="5"/>
      <c r="L89" s="5"/>
      <c r="M89" t="s">
        <v>258</v>
      </c>
    </row>
    <row r="90" spans="1:14" x14ac:dyDescent="0.2">
      <c r="A90" s="4" t="s">
        <v>100</v>
      </c>
      <c r="B90" s="5">
        <v>21695</v>
      </c>
      <c r="C90">
        <f t="shared" ca="1" si="1"/>
        <v>66</v>
      </c>
      <c r="D90" t="s">
        <v>224</v>
      </c>
      <c r="E90" t="s">
        <v>230</v>
      </c>
      <c r="F90" t="s">
        <v>243</v>
      </c>
      <c r="G90" t="s">
        <v>247</v>
      </c>
      <c r="H90" t="s">
        <v>253</v>
      </c>
      <c r="I90" s="5">
        <v>45438</v>
      </c>
      <c r="J90" s="5">
        <v>45441</v>
      </c>
      <c r="K90" s="5"/>
      <c r="L90" s="5"/>
      <c r="M90" t="s">
        <v>258</v>
      </c>
    </row>
    <row r="91" spans="1:14" x14ac:dyDescent="0.2">
      <c r="A91" s="4" t="s">
        <v>101</v>
      </c>
      <c r="B91" s="5">
        <v>31088</v>
      </c>
      <c r="C91">
        <f t="shared" ca="1" si="1"/>
        <v>40</v>
      </c>
      <c r="D91" t="s">
        <v>224</v>
      </c>
      <c r="E91" t="s">
        <v>228</v>
      </c>
      <c r="F91" t="s">
        <v>242</v>
      </c>
      <c r="G91" t="s">
        <v>247</v>
      </c>
      <c r="H91" t="s">
        <v>250</v>
      </c>
      <c r="I91" s="5">
        <v>45357</v>
      </c>
      <c r="J91" s="5">
        <v>45368</v>
      </c>
      <c r="K91" s="5">
        <v>45421</v>
      </c>
      <c r="L91" s="5">
        <v>45552</v>
      </c>
      <c r="M91" t="s">
        <v>255</v>
      </c>
      <c r="N91" t="s">
        <v>264</v>
      </c>
    </row>
    <row r="92" spans="1:14" x14ac:dyDescent="0.2">
      <c r="A92" s="4" t="s">
        <v>102</v>
      </c>
      <c r="B92" s="5">
        <v>35895</v>
      </c>
      <c r="C92">
        <f t="shared" ca="1" si="1"/>
        <v>27</v>
      </c>
      <c r="D92" t="s">
        <v>225</v>
      </c>
      <c r="E92" t="s">
        <v>228</v>
      </c>
      <c r="F92" t="s">
        <v>242</v>
      </c>
      <c r="G92" t="s">
        <v>247</v>
      </c>
      <c r="H92" t="s">
        <v>250</v>
      </c>
      <c r="I92" s="5">
        <v>45437</v>
      </c>
      <c r="J92" s="5">
        <v>45470</v>
      </c>
      <c r="K92" s="5">
        <v>45482</v>
      </c>
      <c r="L92" s="5">
        <v>45620</v>
      </c>
      <c r="M92" t="s">
        <v>255</v>
      </c>
      <c r="N92" t="s">
        <v>263</v>
      </c>
    </row>
    <row r="93" spans="1:14" x14ac:dyDescent="0.2">
      <c r="A93" s="4" t="s">
        <v>103</v>
      </c>
      <c r="B93" s="5">
        <v>35129</v>
      </c>
      <c r="C93">
        <f t="shared" ca="1" si="1"/>
        <v>29</v>
      </c>
      <c r="D93" t="s">
        <v>225</v>
      </c>
      <c r="E93" t="s">
        <v>230</v>
      </c>
      <c r="F93" t="s">
        <v>243</v>
      </c>
      <c r="G93" t="s">
        <v>247</v>
      </c>
      <c r="H93" t="s">
        <v>253</v>
      </c>
      <c r="I93" s="5">
        <v>45595</v>
      </c>
      <c r="J93" s="5">
        <v>45631</v>
      </c>
      <c r="K93" s="5">
        <v>45655</v>
      </c>
      <c r="L93" s="5">
        <v>45775</v>
      </c>
      <c r="M93" t="s">
        <v>255</v>
      </c>
      <c r="N93" t="s">
        <v>272</v>
      </c>
    </row>
    <row r="94" spans="1:14" x14ac:dyDescent="0.2">
      <c r="A94" s="4" t="s">
        <v>104</v>
      </c>
      <c r="B94" s="5">
        <v>30075</v>
      </c>
      <c r="C94">
        <f t="shared" ca="1" si="1"/>
        <v>43</v>
      </c>
      <c r="D94" t="s">
        <v>225</v>
      </c>
      <c r="E94" t="s">
        <v>232</v>
      </c>
      <c r="F94" t="s">
        <v>243</v>
      </c>
      <c r="G94" t="s">
        <v>247</v>
      </c>
      <c r="H94" t="s">
        <v>251</v>
      </c>
      <c r="I94" s="5">
        <v>45373</v>
      </c>
      <c r="J94" s="5">
        <v>45377</v>
      </c>
      <c r="K94" s="5">
        <v>45433</v>
      </c>
      <c r="L94" s="5">
        <v>45589</v>
      </c>
      <c r="M94" t="s">
        <v>255</v>
      </c>
      <c r="N94" t="s">
        <v>263</v>
      </c>
    </row>
    <row r="95" spans="1:14" x14ac:dyDescent="0.2">
      <c r="A95" s="4" t="s">
        <v>105</v>
      </c>
      <c r="B95" s="5">
        <v>24144</v>
      </c>
      <c r="C95">
        <f t="shared" ca="1" si="1"/>
        <v>59</v>
      </c>
      <c r="D95" t="s">
        <v>225</v>
      </c>
      <c r="E95" t="s">
        <v>228</v>
      </c>
      <c r="F95" t="s">
        <v>242</v>
      </c>
      <c r="G95" t="s">
        <v>247</v>
      </c>
      <c r="H95" t="s">
        <v>251</v>
      </c>
      <c r="I95" s="5">
        <v>45522</v>
      </c>
      <c r="J95" s="5">
        <v>45527</v>
      </c>
      <c r="K95" s="5">
        <v>45555</v>
      </c>
      <c r="L95" s="5">
        <v>45707</v>
      </c>
      <c r="M95" t="s">
        <v>255</v>
      </c>
      <c r="N95" t="s">
        <v>263</v>
      </c>
    </row>
    <row r="96" spans="1:14" x14ac:dyDescent="0.2">
      <c r="A96" s="4" t="s">
        <v>106</v>
      </c>
      <c r="B96" s="5">
        <v>35626</v>
      </c>
      <c r="C96">
        <f t="shared" ca="1" si="1"/>
        <v>28</v>
      </c>
      <c r="D96" t="s">
        <v>224</v>
      </c>
      <c r="E96" t="s">
        <v>228</v>
      </c>
      <c r="F96" t="s">
        <v>242</v>
      </c>
      <c r="G96" t="s">
        <v>246</v>
      </c>
      <c r="H96" t="s">
        <v>250</v>
      </c>
      <c r="I96" s="5">
        <v>45510</v>
      </c>
      <c r="J96" s="5">
        <v>45513</v>
      </c>
      <c r="K96" s="5"/>
      <c r="L96" s="5"/>
      <c r="M96" t="s">
        <v>259</v>
      </c>
    </row>
    <row r="97" spans="1:14" x14ac:dyDescent="0.2">
      <c r="A97" s="4" t="s">
        <v>107</v>
      </c>
      <c r="B97" s="5">
        <v>26867</v>
      </c>
      <c r="C97">
        <f t="shared" ca="1" si="1"/>
        <v>52</v>
      </c>
      <c r="D97" t="s">
        <v>225</v>
      </c>
      <c r="E97" t="s">
        <v>228</v>
      </c>
      <c r="F97" t="s">
        <v>242</v>
      </c>
      <c r="G97" t="s">
        <v>247</v>
      </c>
      <c r="H97" t="s">
        <v>252</v>
      </c>
      <c r="I97" s="5">
        <v>45598</v>
      </c>
      <c r="J97" s="5">
        <v>45631</v>
      </c>
      <c r="K97" s="5">
        <v>45645</v>
      </c>
      <c r="L97" s="5">
        <v>45766</v>
      </c>
      <c r="M97" t="s">
        <v>255</v>
      </c>
      <c r="N97" t="s">
        <v>262</v>
      </c>
    </row>
    <row r="98" spans="1:14" x14ac:dyDescent="0.2">
      <c r="A98" s="4" t="s">
        <v>108</v>
      </c>
      <c r="B98" s="5">
        <v>37693</v>
      </c>
      <c r="C98">
        <f t="shared" ca="1" si="1"/>
        <v>22</v>
      </c>
      <c r="D98" t="s">
        <v>224</v>
      </c>
      <c r="E98" t="s">
        <v>232</v>
      </c>
      <c r="F98" t="s">
        <v>243</v>
      </c>
      <c r="G98" t="s">
        <v>247</v>
      </c>
      <c r="H98" t="s">
        <v>252</v>
      </c>
      <c r="I98" s="5">
        <v>45378</v>
      </c>
      <c r="J98" s="5">
        <v>45396</v>
      </c>
      <c r="K98" s="5">
        <v>45447</v>
      </c>
      <c r="L98" s="5">
        <v>45606</v>
      </c>
      <c r="M98" t="s">
        <v>255</v>
      </c>
      <c r="N98" t="s">
        <v>264</v>
      </c>
    </row>
    <row r="99" spans="1:14" x14ac:dyDescent="0.2">
      <c r="A99" s="4" t="s">
        <v>109</v>
      </c>
      <c r="B99" s="5">
        <v>34672</v>
      </c>
      <c r="C99">
        <f t="shared" ca="1" si="1"/>
        <v>30</v>
      </c>
      <c r="D99" t="s">
        <v>225</v>
      </c>
      <c r="E99" t="s">
        <v>230</v>
      </c>
      <c r="F99" t="s">
        <v>243</v>
      </c>
      <c r="G99" t="s">
        <v>246</v>
      </c>
      <c r="H99" t="s">
        <v>251</v>
      </c>
      <c r="I99" s="5">
        <v>45477</v>
      </c>
      <c r="J99" s="5">
        <v>45517</v>
      </c>
      <c r="K99" s="5">
        <v>45560</v>
      </c>
      <c r="L99" s="5">
        <v>45707</v>
      </c>
      <c r="M99" t="s">
        <v>255</v>
      </c>
      <c r="N99" t="s">
        <v>264</v>
      </c>
    </row>
    <row r="100" spans="1:14" x14ac:dyDescent="0.2">
      <c r="A100" s="4" t="s">
        <v>110</v>
      </c>
      <c r="B100" s="5">
        <v>37974</v>
      </c>
      <c r="C100">
        <f t="shared" ca="1" si="1"/>
        <v>21</v>
      </c>
      <c r="D100" t="s">
        <v>224</v>
      </c>
      <c r="E100" t="s">
        <v>228</v>
      </c>
      <c r="F100" t="s">
        <v>241</v>
      </c>
      <c r="G100" t="s">
        <v>247</v>
      </c>
      <c r="H100" t="s">
        <v>252</v>
      </c>
      <c r="I100" s="5">
        <v>45599</v>
      </c>
      <c r="J100" s="5">
        <v>45632</v>
      </c>
      <c r="K100" s="5">
        <v>45690</v>
      </c>
      <c r="L100" s="5">
        <v>45816</v>
      </c>
      <c r="M100" t="s">
        <v>255</v>
      </c>
      <c r="N100" t="s">
        <v>261</v>
      </c>
    </row>
    <row r="101" spans="1:14" x14ac:dyDescent="0.2">
      <c r="A101" s="4" t="s">
        <v>111</v>
      </c>
      <c r="B101" s="5">
        <v>26071</v>
      </c>
      <c r="C101">
        <f t="shared" ca="1" si="1"/>
        <v>54</v>
      </c>
      <c r="D101" t="s">
        <v>224</v>
      </c>
      <c r="E101" t="s">
        <v>231</v>
      </c>
      <c r="F101" t="s">
        <v>241</v>
      </c>
      <c r="G101" t="s">
        <v>247</v>
      </c>
      <c r="H101" t="s">
        <v>251</v>
      </c>
      <c r="I101" s="5">
        <v>45616</v>
      </c>
      <c r="J101" s="5">
        <v>45628</v>
      </c>
      <c r="K101" s="5">
        <v>45658</v>
      </c>
      <c r="L101" s="5"/>
      <c r="M101" t="s">
        <v>258</v>
      </c>
      <c r="N101" t="s">
        <v>272</v>
      </c>
    </row>
    <row r="102" spans="1:14" x14ac:dyDescent="0.2">
      <c r="A102" s="4" t="s">
        <v>112</v>
      </c>
      <c r="B102" s="5">
        <v>31155</v>
      </c>
      <c r="C102">
        <f t="shared" ca="1" si="1"/>
        <v>40</v>
      </c>
      <c r="D102" t="s">
        <v>224</v>
      </c>
      <c r="E102" t="s">
        <v>231</v>
      </c>
      <c r="F102" t="s">
        <v>241</v>
      </c>
      <c r="G102" t="s">
        <v>247</v>
      </c>
      <c r="H102" t="s">
        <v>250</v>
      </c>
      <c r="I102" s="5">
        <v>45468</v>
      </c>
      <c r="J102" s="5">
        <v>45484</v>
      </c>
      <c r="K102" s="5">
        <v>45505</v>
      </c>
      <c r="L102" s="5"/>
      <c r="M102" t="s">
        <v>258</v>
      </c>
      <c r="N102" t="s">
        <v>272</v>
      </c>
    </row>
    <row r="103" spans="1:14" x14ac:dyDescent="0.2">
      <c r="A103" s="4" t="s">
        <v>113</v>
      </c>
      <c r="B103" s="5">
        <v>27488</v>
      </c>
      <c r="C103">
        <f t="shared" ca="1" si="1"/>
        <v>50</v>
      </c>
      <c r="D103" t="s">
        <v>225</v>
      </c>
      <c r="E103" t="s">
        <v>229</v>
      </c>
      <c r="F103" t="s">
        <v>243</v>
      </c>
      <c r="G103" t="s">
        <v>247</v>
      </c>
      <c r="H103" t="s">
        <v>250</v>
      </c>
      <c r="I103" s="5">
        <v>45454</v>
      </c>
      <c r="J103" s="5">
        <v>45474</v>
      </c>
      <c r="K103" s="5">
        <v>45490</v>
      </c>
      <c r="L103" s="5">
        <v>45612</v>
      </c>
      <c r="M103" t="s">
        <v>255</v>
      </c>
      <c r="N103" t="s">
        <v>262</v>
      </c>
    </row>
    <row r="104" spans="1:14" x14ac:dyDescent="0.2">
      <c r="A104" s="4" t="s">
        <v>114</v>
      </c>
      <c r="B104" s="5">
        <v>25736</v>
      </c>
      <c r="C104">
        <f t="shared" ca="1" si="1"/>
        <v>55</v>
      </c>
      <c r="D104" t="s">
        <v>225</v>
      </c>
      <c r="E104" t="s">
        <v>228</v>
      </c>
      <c r="F104" t="s">
        <v>242</v>
      </c>
      <c r="G104" t="s">
        <v>247</v>
      </c>
      <c r="H104" t="s">
        <v>252</v>
      </c>
      <c r="I104" s="5">
        <v>45398</v>
      </c>
      <c r="J104" s="5">
        <v>45442</v>
      </c>
      <c r="K104" s="5">
        <v>45459</v>
      </c>
      <c r="L104" s="5">
        <v>45597</v>
      </c>
      <c r="M104" t="s">
        <v>255</v>
      </c>
      <c r="N104" t="s">
        <v>264</v>
      </c>
    </row>
    <row r="105" spans="1:14" x14ac:dyDescent="0.2">
      <c r="A105" s="4" t="s">
        <v>115</v>
      </c>
      <c r="B105" s="5">
        <v>26532</v>
      </c>
      <c r="C105">
        <f t="shared" ca="1" si="1"/>
        <v>53</v>
      </c>
      <c r="D105" t="s">
        <v>225</v>
      </c>
      <c r="E105" t="s">
        <v>227</v>
      </c>
      <c r="F105" t="s">
        <v>227</v>
      </c>
      <c r="G105" t="s">
        <v>247</v>
      </c>
      <c r="H105" t="s">
        <v>250</v>
      </c>
      <c r="I105" s="5">
        <v>45468</v>
      </c>
      <c r="J105" s="5">
        <v>45501</v>
      </c>
      <c r="K105" s="5">
        <v>45556</v>
      </c>
      <c r="L105" s="5">
        <v>45682</v>
      </c>
      <c r="M105" t="s">
        <v>255</v>
      </c>
      <c r="N105" t="s">
        <v>261</v>
      </c>
    </row>
    <row r="106" spans="1:14" x14ac:dyDescent="0.2">
      <c r="A106" s="4" t="s">
        <v>116</v>
      </c>
      <c r="B106" s="5">
        <v>28311</v>
      </c>
      <c r="C106">
        <f t="shared" ca="1" si="1"/>
        <v>48</v>
      </c>
      <c r="D106" t="s">
        <v>225</v>
      </c>
      <c r="E106" t="s">
        <v>228</v>
      </c>
      <c r="F106" t="s">
        <v>242</v>
      </c>
      <c r="G106" t="s">
        <v>247</v>
      </c>
      <c r="H106" t="s">
        <v>250</v>
      </c>
      <c r="I106" s="5">
        <v>45343</v>
      </c>
      <c r="J106" s="5">
        <v>45384</v>
      </c>
      <c r="K106" s="5">
        <v>45421</v>
      </c>
      <c r="L106" s="5">
        <v>45576</v>
      </c>
      <c r="M106" t="s">
        <v>255</v>
      </c>
      <c r="N106" t="s">
        <v>261</v>
      </c>
    </row>
    <row r="107" spans="1:14" x14ac:dyDescent="0.2">
      <c r="A107" s="4" t="s">
        <v>117</v>
      </c>
      <c r="B107" s="5">
        <v>22521</v>
      </c>
      <c r="C107">
        <f t="shared" ca="1" si="1"/>
        <v>64</v>
      </c>
      <c r="D107" t="s">
        <v>225</v>
      </c>
      <c r="E107" t="s">
        <v>230</v>
      </c>
      <c r="F107" t="s">
        <v>243</v>
      </c>
      <c r="G107" t="s">
        <v>246</v>
      </c>
      <c r="H107" t="s">
        <v>253</v>
      </c>
      <c r="I107" s="5">
        <v>45418</v>
      </c>
      <c r="J107" s="5">
        <v>45448</v>
      </c>
      <c r="K107" s="5">
        <v>45492</v>
      </c>
      <c r="L107" s="5">
        <v>45637</v>
      </c>
      <c r="M107" t="s">
        <v>255</v>
      </c>
      <c r="N107" t="s">
        <v>263</v>
      </c>
    </row>
    <row r="108" spans="1:14" x14ac:dyDescent="0.2">
      <c r="A108" s="4" t="s">
        <v>118</v>
      </c>
      <c r="B108" s="5">
        <v>25911</v>
      </c>
      <c r="C108">
        <f t="shared" ca="1" si="1"/>
        <v>54</v>
      </c>
      <c r="D108" t="s">
        <v>225</v>
      </c>
      <c r="E108" t="s">
        <v>228</v>
      </c>
      <c r="F108" t="s">
        <v>242</v>
      </c>
      <c r="G108" t="s">
        <v>247</v>
      </c>
      <c r="H108" t="s">
        <v>253</v>
      </c>
      <c r="I108" s="5">
        <v>45299</v>
      </c>
      <c r="J108" s="5">
        <v>45342</v>
      </c>
      <c r="K108" s="5"/>
      <c r="L108" s="5"/>
      <c r="M108" t="s">
        <v>257</v>
      </c>
    </row>
    <row r="109" spans="1:14" x14ac:dyDescent="0.2">
      <c r="A109" s="4" t="s">
        <v>119</v>
      </c>
      <c r="B109" s="5">
        <v>21690</v>
      </c>
      <c r="C109">
        <f t="shared" ca="1" si="1"/>
        <v>66</v>
      </c>
      <c r="D109" t="s">
        <v>224</v>
      </c>
      <c r="E109" t="s">
        <v>230</v>
      </c>
      <c r="F109" t="s">
        <v>243</v>
      </c>
      <c r="G109" t="s">
        <v>246</v>
      </c>
      <c r="H109" t="s">
        <v>252</v>
      </c>
      <c r="I109" s="5">
        <v>45461</v>
      </c>
      <c r="J109" s="5">
        <v>45462</v>
      </c>
      <c r="K109" s="5"/>
      <c r="L109" s="5"/>
      <c r="M109" t="s">
        <v>257</v>
      </c>
    </row>
    <row r="110" spans="1:14" x14ac:dyDescent="0.2">
      <c r="A110" s="4" t="s">
        <v>120</v>
      </c>
      <c r="B110" s="5">
        <v>32950</v>
      </c>
      <c r="C110">
        <f t="shared" ca="1" si="1"/>
        <v>35</v>
      </c>
      <c r="D110" t="s">
        <v>224</v>
      </c>
      <c r="E110" t="s">
        <v>228</v>
      </c>
      <c r="F110" t="s">
        <v>242</v>
      </c>
      <c r="G110" t="s">
        <v>247</v>
      </c>
      <c r="H110" t="s">
        <v>250</v>
      </c>
      <c r="I110" s="5">
        <v>45399</v>
      </c>
      <c r="J110" s="5">
        <v>45446</v>
      </c>
      <c r="K110" s="5">
        <v>45466</v>
      </c>
      <c r="L110" s="5">
        <v>45618</v>
      </c>
      <c r="M110" t="s">
        <v>255</v>
      </c>
      <c r="N110" t="s">
        <v>264</v>
      </c>
    </row>
    <row r="111" spans="1:14" x14ac:dyDescent="0.2">
      <c r="A111" s="4" t="s">
        <v>121</v>
      </c>
      <c r="B111" s="5">
        <v>32738</v>
      </c>
      <c r="C111">
        <f t="shared" ca="1" si="1"/>
        <v>36</v>
      </c>
      <c r="D111" t="s">
        <v>225</v>
      </c>
      <c r="E111" t="s">
        <v>230</v>
      </c>
      <c r="F111" t="s">
        <v>243</v>
      </c>
      <c r="G111" t="s">
        <v>247</v>
      </c>
      <c r="H111" t="s">
        <v>250</v>
      </c>
      <c r="I111" s="5">
        <v>45397</v>
      </c>
      <c r="J111" s="5">
        <v>45403</v>
      </c>
      <c r="K111" s="5">
        <v>45458</v>
      </c>
      <c r="L111" s="5">
        <v>45608</v>
      </c>
      <c r="M111" t="s">
        <v>255</v>
      </c>
      <c r="N111" t="s">
        <v>261</v>
      </c>
    </row>
    <row r="112" spans="1:14" x14ac:dyDescent="0.2">
      <c r="A112" s="4" t="s">
        <v>122</v>
      </c>
      <c r="B112" s="5">
        <v>28906</v>
      </c>
      <c r="C112">
        <f t="shared" ca="1" si="1"/>
        <v>46</v>
      </c>
      <c r="D112" t="s">
        <v>225</v>
      </c>
      <c r="E112" t="s">
        <v>230</v>
      </c>
      <c r="F112" t="s">
        <v>243</v>
      </c>
      <c r="G112" t="s">
        <v>247</v>
      </c>
      <c r="H112" t="s">
        <v>252</v>
      </c>
      <c r="I112" s="5">
        <v>45581</v>
      </c>
      <c r="J112" s="5">
        <v>45601</v>
      </c>
      <c r="K112" s="5">
        <v>45603</v>
      </c>
      <c r="L112" s="5">
        <v>45747</v>
      </c>
      <c r="M112" t="s">
        <v>255</v>
      </c>
      <c r="N112" t="s">
        <v>262</v>
      </c>
    </row>
    <row r="113" spans="1:14" x14ac:dyDescent="0.2">
      <c r="A113" s="4" t="s">
        <v>123</v>
      </c>
      <c r="B113" s="5">
        <v>34548</v>
      </c>
      <c r="C113">
        <f t="shared" ca="1" si="1"/>
        <v>31</v>
      </c>
      <c r="D113" t="s">
        <v>224</v>
      </c>
      <c r="E113" t="s">
        <v>230</v>
      </c>
      <c r="F113" t="s">
        <v>243</v>
      </c>
      <c r="G113" t="s">
        <v>247</v>
      </c>
      <c r="H113" t="s">
        <v>250</v>
      </c>
      <c r="I113" s="5">
        <v>45629</v>
      </c>
      <c r="J113" s="5">
        <v>45647</v>
      </c>
      <c r="K113" s="5">
        <v>45702</v>
      </c>
      <c r="L113" s="5">
        <v>45843</v>
      </c>
      <c r="M113" t="s">
        <v>255</v>
      </c>
      <c r="N113" t="s">
        <v>263</v>
      </c>
    </row>
    <row r="114" spans="1:14" x14ac:dyDescent="0.2">
      <c r="A114" s="4" t="s">
        <v>124</v>
      </c>
      <c r="B114" s="5">
        <v>33672</v>
      </c>
      <c r="C114">
        <f t="shared" ca="1" si="1"/>
        <v>33</v>
      </c>
      <c r="D114" t="s">
        <v>225</v>
      </c>
      <c r="E114" t="s">
        <v>231</v>
      </c>
      <c r="F114" t="s">
        <v>241</v>
      </c>
      <c r="G114" t="s">
        <v>248</v>
      </c>
      <c r="H114" t="s">
        <v>251</v>
      </c>
      <c r="I114" s="5">
        <v>45510</v>
      </c>
      <c r="J114" s="5">
        <v>45535</v>
      </c>
      <c r="K114" s="5"/>
      <c r="L114" s="5"/>
      <c r="M114" t="s">
        <v>257</v>
      </c>
    </row>
    <row r="115" spans="1:14" x14ac:dyDescent="0.2">
      <c r="A115" s="4" t="s">
        <v>125</v>
      </c>
      <c r="B115" s="5">
        <v>30169</v>
      </c>
      <c r="C115">
        <f t="shared" ca="1" si="1"/>
        <v>43</v>
      </c>
      <c r="D115" t="s">
        <v>225</v>
      </c>
      <c r="E115" t="s">
        <v>230</v>
      </c>
      <c r="F115" t="s">
        <v>243</v>
      </c>
      <c r="G115" t="s">
        <v>247</v>
      </c>
      <c r="H115" t="s">
        <v>250</v>
      </c>
      <c r="I115" s="5">
        <v>45333</v>
      </c>
      <c r="J115" s="5">
        <v>45349</v>
      </c>
      <c r="K115" s="5"/>
      <c r="L115" s="5"/>
      <c r="M115" t="s">
        <v>257</v>
      </c>
    </row>
    <row r="116" spans="1:14" x14ac:dyDescent="0.2">
      <c r="A116" s="4" t="s">
        <v>126</v>
      </c>
      <c r="B116" s="5">
        <v>32303</v>
      </c>
      <c r="C116">
        <f t="shared" ca="1" si="1"/>
        <v>37</v>
      </c>
      <c r="D116" t="s">
        <v>225</v>
      </c>
      <c r="E116" t="s">
        <v>231</v>
      </c>
      <c r="F116" t="s">
        <v>241</v>
      </c>
      <c r="G116" t="s">
        <v>247</v>
      </c>
      <c r="H116" t="s">
        <v>254</v>
      </c>
      <c r="I116" s="5">
        <v>45488</v>
      </c>
      <c r="J116" s="5">
        <v>45501</v>
      </c>
      <c r="K116" s="5"/>
      <c r="L116" s="5"/>
      <c r="M116" t="s">
        <v>257</v>
      </c>
    </row>
    <row r="117" spans="1:14" x14ac:dyDescent="0.2">
      <c r="A117" s="4" t="s">
        <v>127</v>
      </c>
      <c r="B117" s="5">
        <v>33760</v>
      </c>
      <c r="C117">
        <f t="shared" ca="1" si="1"/>
        <v>33</v>
      </c>
      <c r="D117" t="s">
        <v>225</v>
      </c>
      <c r="E117" t="s">
        <v>230</v>
      </c>
      <c r="F117" t="s">
        <v>243</v>
      </c>
      <c r="G117" t="s">
        <v>247</v>
      </c>
      <c r="H117" t="s">
        <v>250</v>
      </c>
      <c r="I117" s="5">
        <v>45655</v>
      </c>
      <c r="J117" s="5">
        <v>45704</v>
      </c>
      <c r="K117" s="5">
        <v>45727</v>
      </c>
      <c r="L117" s="5">
        <v>45904</v>
      </c>
      <c r="M117" t="s">
        <v>255</v>
      </c>
      <c r="N117" t="s">
        <v>264</v>
      </c>
    </row>
    <row r="118" spans="1:14" x14ac:dyDescent="0.2">
      <c r="A118" s="4" t="s">
        <v>128</v>
      </c>
      <c r="B118" s="5">
        <v>30789</v>
      </c>
      <c r="C118">
        <f t="shared" ca="1" si="1"/>
        <v>41</v>
      </c>
      <c r="D118" t="s">
        <v>224</v>
      </c>
      <c r="E118" t="s">
        <v>227</v>
      </c>
      <c r="F118" t="s">
        <v>227</v>
      </c>
      <c r="G118" t="s">
        <v>246</v>
      </c>
      <c r="H118" t="s">
        <v>253</v>
      </c>
      <c r="I118" s="5">
        <v>45324</v>
      </c>
      <c r="J118" s="5">
        <v>45351</v>
      </c>
      <c r="K118" s="5">
        <v>45353</v>
      </c>
      <c r="L118" s="5">
        <v>45518</v>
      </c>
      <c r="M118" t="s">
        <v>255</v>
      </c>
      <c r="N118" t="s">
        <v>261</v>
      </c>
    </row>
    <row r="119" spans="1:14" x14ac:dyDescent="0.2">
      <c r="A119" s="4" t="s">
        <v>129</v>
      </c>
      <c r="B119" s="5">
        <v>32870</v>
      </c>
      <c r="C119">
        <f t="shared" ca="1" si="1"/>
        <v>35</v>
      </c>
      <c r="D119" t="s">
        <v>224</v>
      </c>
      <c r="E119" t="s">
        <v>230</v>
      </c>
      <c r="F119" t="s">
        <v>243</v>
      </c>
      <c r="G119" t="s">
        <v>247</v>
      </c>
      <c r="H119" t="s">
        <v>254</v>
      </c>
      <c r="I119" s="5">
        <v>45340</v>
      </c>
      <c r="J119" s="5">
        <v>45365</v>
      </c>
      <c r="K119" s="5">
        <v>45386</v>
      </c>
      <c r="L119" s="5">
        <v>45564</v>
      </c>
      <c r="M119" t="s">
        <v>255</v>
      </c>
      <c r="N119" t="s">
        <v>263</v>
      </c>
    </row>
    <row r="120" spans="1:14" x14ac:dyDescent="0.2">
      <c r="A120" s="4" t="s">
        <v>130</v>
      </c>
      <c r="B120" s="5">
        <v>26203</v>
      </c>
      <c r="C120">
        <f t="shared" ca="1" si="1"/>
        <v>54</v>
      </c>
      <c r="D120" t="s">
        <v>224</v>
      </c>
      <c r="E120" t="s">
        <v>228</v>
      </c>
      <c r="F120" t="s">
        <v>242</v>
      </c>
      <c r="G120" t="s">
        <v>247</v>
      </c>
      <c r="H120" t="s">
        <v>251</v>
      </c>
      <c r="I120" s="5">
        <v>45312</v>
      </c>
      <c r="J120" s="5">
        <v>45313</v>
      </c>
      <c r="K120" s="5">
        <v>45321</v>
      </c>
      <c r="L120" s="5">
        <v>45445</v>
      </c>
      <c r="M120" t="s">
        <v>255</v>
      </c>
      <c r="N120" t="s">
        <v>264</v>
      </c>
    </row>
    <row r="121" spans="1:14" x14ac:dyDescent="0.2">
      <c r="A121" s="4" t="s">
        <v>131</v>
      </c>
      <c r="B121" s="5">
        <v>33500</v>
      </c>
      <c r="C121">
        <f t="shared" ca="1" si="1"/>
        <v>34</v>
      </c>
      <c r="D121" t="s">
        <v>225</v>
      </c>
      <c r="E121" t="s">
        <v>230</v>
      </c>
      <c r="F121" t="s">
        <v>243</v>
      </c>
      <c r="G121" t="s">
        <v>247</v>
      </c>
      <c r="H121" t="s">
        <v>252</v>
      </c>
      <c r="I121" s="5">
        <v>45604</v>
      </c>
      <c r="J121" s="5">
        <v>45642</v>
      </c>
      <c r="K121" s="5">
        <v>45682</v>
      </c>
      <c r="L121" s="5">
        <v>45809</v>
      </c>
      <c r="M121" t="s">
        <v>255</v>
      </c>
      <c r="N121" t="s">
        <v>272</v>
      </c>
    </row>
    <row r="122" spans="1:14" x14ac:dyDescent="0.2">
      <c r="A122" s="4" t="s">
        <v>132</v>
      </c>
      <c r="B122" s="5">
        <v>27561</v>
      </c>
      <c r="C122">
        <f t="shared" ca="1" si="1"/>
        <v>50</v>
      </c>
      <c r="D122" t="s">
        <v>225</v>
      </c>
      <c r="E122" t="s">
        <v>230</v>
      </c>
      <c r="F122" t="s">
        <v>243</v>
      </c>
      <c r="G122" t="s">
        <v>246</v>
      </c>
      <c r="H122" t="s">
        <v>254</v>
      </c>
      <c r="I122" s="5">
        <v>45622</v>
      </c>
      <c r="J122" s="5">
        <v>45642</v>
      </c>
      <c r="K122" s="5">
        <v>45674</v>
      </c>
      <c r="L122" s="5">
        <v>45850</v>
      </c>
      <c r="M122" t="s">
        <v>255</v>
      </c>
      <c r="N122" t="s">
        <v>263</v>
      </c>
    </row>
    <row r="123" spans="1:14" x14ac:dyDescent="0.2">
      <c r="A123" s="4" t="s">
        <v>133</v>
      </c>
      <c r="B123" s="5">
        <v>21921</v>
      </c>
      <c r="C123">
        <f t="shared" ca="1" si="1"/>
        <v>65</v>
      </c>
      <c r="D123" t="s">
        <v>225</v>
      </c>
      <c r="E123" t="s">
        <v>227</v>
      </c>
      <c r="F123" t="s">
        <v>227</v>
      </c>
      <c r="G123" t="s">
        <v>247</v>
      </c>
      <c r="H123" t="s">
        <v>253</v>
      </c>
      <c r="I123" s="5">
        <v>45551</v>
      </c>
      <c r="J123" s="5">
        <v>45581</v>
      </c>
      <c r="K123" s="5">
        <v>45639</v>
      </c>
      <c r="L123" s="5">
        <v>45810</v>
      </c>
      <c r="M123" t="s">
        <v>255</v>
      </c>
      <c r="N123" t="s">
        <v>262</v>
      </c>
    </row>
    <row r="124" spans="1:14" x14ac:dyDescent="0.2">
      <c r="A124" s="4" t="s">
        <v>134</v>
      </c>
      <c r="B124" s="5">
        <v>33530</v>
      </c>
      <c r="C124">
        <f t="shared" ca="1" si="1"/>
        <v>33</v>
      </c>
      <c r="D124" t="s">
        <v>225</v>
      </c>
      <c r="E124" t="s">
        <v>227</v>
      </c>
      <c r="F124" t="s">
        <v>227</v>
      </c>
      <c r="G124" t="s">
        <v>247</v>
      </c>
      <c r="H124" t="s">
        <v>250</v>
      </c>
      <c r="I124" s="5">
        <v>45520</v>
      </c>
      <c r="J124" s="5">
        <v>45544</v>
      </c>
      <c r="K124" s="5">
        <v>45596</v>
      </c>
      <c r="L124" s="5">
        <v>45744</v>
      </c>
      <c r="M124" t="s">
        <v>255</v>
      </c>
      <c r="N124" t="s">
        <v>264</v>
      </c>
    </row>
    <row r="125" spans="1:14" x14ac:dyDescent="0.2">
      <c r="A125" s="4" t="s">
        <v>135</v>
      </c>
      <c r="B125" s="5">
        <v>24451</v>
      </c>
      <c r="C125">
        <f t="shared" ca="1" si="1"/>
        <v>58</v>
      </c>
      <c r="D125" t="s">
        <v>225</v>
      </c>
      <c r="E125" t="s">
        <v>228</v>
      </c>
      <c r="F125" t="s">
        <v>241</v>
      </c>
      <c r="G125" t="s">
        <v>247</v>
      </c>
      <c r="H125" t="s">
        <v>250</v>
      </c>
      <c r="I125" s="5">
        <v>45415</v>
      </c>
      <c r="J125" s="5">
        <v>45417</v>
      </c>
      <c r="K125" s="5">
        <v>45423</v>
      </c>
      <c r="L125" s="5">
        <v>45574</v>
      </c>
      <c r="M125" t="s">
        <v>255</v>
      </c>
      <c r="N125" t="s">
        <v>272</v>
      </c>
    </row>
    <row r="126" spans="1:14" x14ac:dyDescent="0.2">
      <c r="A126" s="4" t="s">
        <v>136</v>
      </c>
      <c r="B126" s="5">
        <v>33612</v>
      </c>
      <c r="C126">
        <f t="shared" ca="1" si="1"/>
        <v>33</v>
      </c>
      <c r="D126" t="s">
        <v>224</v>
      </c>
      <c r="E126" t="s">
        <v>230</v>
      </c>
      <c r="F126" t="s">
        <v>243</v>
      </c>
      <c r="G126" t="s">
        <v>247</v>
      </c>
      <c r="H126" t="s">
        <v>250</v>
      </c>
      <c r="I126" s="5">
        <v>45336</v>
      </c>
      <c r="J126" s="5">
        <v>45378</v>
      </c>
      <c r="K126" s="5">
        <v>45401</v>
      </c>
      <c r="L126" s="5">
        <v>45536</v>
      </c>
      <c r="M126" t="s">
        <v>255</v>
      </c>
      <c r="N126" t="s">
        <v>272</v>
      </c>
    </row>
    <row r="127" spans="1:14" x14ac:dyDescent="0.2">
      <c r="A127" s="4" t="s">
        <v>137</v>
      </c>
      <c r="B127" s="5">
        <v>24065</v>
      </c>
      <c r="C127">
        <f t="shared" ca="1" si="1"/>
        <v>59</v>
      </c>
      <c r="D127" t="s">
        <v>224</v>
      </c>
      <c r="E127" t="s">
        <v>229</v>
      </c>
      <c r="F127" t="s">
        <v>243</v>
      </c>
      <c r="G127" t="s">
        <v>247</v>
      </c>
      <c r="H127" t="s">
        <v>253</v>
      </c>
      <c r="I127" s="5">
        <v>45306</v>
      </c>
      <c r="J127" s="5">
        <v>45322</v>
      </c>
      <c r="K127" s="5">
        <v>45353</v>
      </c>
      <c r="L127" s="5">
        <v>45498</v>
      </c>
      <c r="M127" t="s">
        <v>255</v>
      </c>
      <c r="N127" t="s">
        <v>262</v>
      </c>
    </row>
    <row r="128" spans="1:14" x14ac:dyDescent="0.2">
      <c r="A128" s="4" t="s">
        <v>138</v>
      </c>
      <c r="B128" s="5">
        <v>31841</v>
      </c>
      <c r="C128">
        <f t="shared" ca="1" si="1"/>
        <v>38</v>
      </c>
      <c r="D128" t="s">
        <v>225</v>
      </c>
      <c r="E128" t="s">
        <v>230</v>
      </c>
      <c r="F128" t="s">
        <v>243</v>
      </c>
      <c r="G128" t="s">
        <v>247</v>
      </c>
      <c r="H128" t="s">
        <v>250</v>
      </c>
      <c r="I128" s="5">
        <v>45345</v>
      </c>
      <c r="J128" s="5">
        <v>45392</v>
      </c>
      <c r="K128" s="5">
        <v>45440</v>
      </c>
      <c r="L128" s="5">
        <v>45592</v>
      </c>
      <c r="M128" t="s">
        <v>255</v>
      </c>
      <c r="N128" t="s">
        <v>261</v>
      </c>
    </row>
    <row r="129" spans="1:14" x14ac:dyDescent="0.2">
      <c r="A129" s="4" t="s">
        <v>139</v>
      </c>
      <c r="B129" s="5">
        <v>33879</v>
      </c>
      <c r="C129">
        <f t="shared" ca="1" si="1"/>
        <v>32</v>
      </c>
      <c r="D129" t="s">
        <v>225</v>
      </c>
      <c r="E129" t="s">
        <v>230</v>
      </c>
      <c r="F129" t="s">
        <v>243</v>
      </c>
      <c r="G129" t="s">
        <v>247</v>
      </c>
      <c r="H129" t="s">
        <v>250</v>
      </c>
      <c r="I129" s="5">
        <v>45588</v>
      </c>
      <c r="J129" s="5">
        <v>45633</v>
      </c>
      <c r="K129" s="5">
        <v>45659</v>
      </c>
      <c r="L129" s="5">
        <v>45830</v>
      </c>
      <c r="M129" t="s">
        <v>255</v>
      </c>
      <c r="N129" t="s">
        <v>272</v>
      </c>
    </row>
    <row r="130" spans="1:14" x14ac:dyDescent="0.2">
      <c r="A130" s="4" t="s">
        <v>140</v>
      </c>
      <c r="B130" s="5">
        <v>35136</v>
      </c>
      <c r="C130">
        <f t="shared" ca="1" si="1"/>
        <v>29</v>
      </c>
      <c r="D130" t="s">
        <v>225</v>
      </c>
      <c r="E130" t="s">
        <v>228</v>
      </c>
      <c r="F130" t="s">
        <v>242</v>
      </c>
      <c r="G130" t="s">
        <v>247</v>
      </c>
      <c r="H130" t="s">
        <v>250</v>
      </c>
      <c r="I130" s="5">
        <v>45432</v>
      </c>
      <c r="J130" s="5">
        <v>45466</v>
      </c>
      <c r="K130" s="5">
        <v>45468</v>
      </c>
      <c r="L130" s="5">
        <v>45611</v>
      </c>
      <c r="M130" t="s">
        <v>255</v>
      </c>
      <c r="N130" t="s">
        <v>263</v>
      </c>
    </row>
    <row r="131" spans="1:14" x14ac:dyDescent="0.2">
      <c r="A131" s="4" t="s">
        <v>141</v>
      </c>
      <c r="B131" s="5">
        <v>26394</v>
      </c>
      <c r="C131">
        <f t="shared" ca="1" si="1"/>
        <v>53</v>
      </c>
      <c r="D131" t="s">
        <v>225</v>
      </c>
      <c r="E131" t="s">
        <v>230</v>
      </c>
      <c r="F131" t="s">
        <v>243</v>
      </c>
      <c r="G131" t="s">
        <v>247</v>
      </c>
      <c r="H131" t="s">
        <v>252</v>
      </c>
      <c r="I131" s="5">
        <v>45458</v>
      </c>
      <c r="J131" s="5"/>
      <c r="K131" s="5"/>
      <c r="L131" s="5"/>
      <c r="M131" t="s">
        <v>256</v>
      </c>
    </row>
    <row r="132" spans="1:14" x14ac:dyDescent="0.2">
      <c r="A132" s="4" t="s">
        <v>142</v>
      </c>
      <c r="B132" s="5">
        <v>30968</v>
      </c>
      <c r="C132">
        <f t="shared" ref="C132:C195" ca="1" si="2">INT((TODAY()-B132)/365.25)</f>
        <v>40</v>
      </c>
      <c r="D132" t="s">
        <v>225</v>
      </c>
      <c r="E132" t="s">
        <v>228</v>
      </c>
      <c r="F132" t="s">
        <v>242</v>
      </c>
      <c r="G132" t="s">
        <v>247</v>
      </c>
      <c r="H132" t="s">
        <v>250</v>
      </c>
      <c r="I132" s="5">
        <v>45374</v>
      </c>
      <c r="J132" s="5">
        <v>45421</v>
      </c>
      <c r="K132" s="5">
        <v>45458</v>
      </c>
      <c r="L132" s="5">
        <v>45623</v>
      </c>
      <c r="M132" t="s">
        <v>255</v>
      </c>
      <c r="N132" t="s">
        <v>261</v>
      </c>
    </row>
    <row r="133" spans="1:14" x14ac:dyDescent="0.2">
      <c r="A133" s="4" t="s">
        <v>143</v>
      </c>
      <c r="B133" s="5">
        <v>25435</v>
      </c>
      <c r="C133">
        <f t="shared" ca="1" si="2"/>
        <v>56</v>
      </c>
      <c r="D133" t="s">
        <v>225</v>
      </c>
      <c r="E133" t="s">
        <v>230</v>
      </c>
      <c r="F133" t="s">
        <v>243</v>
      </c>
      <c r="G133" t="s">
        <v>246</v>
      </c>
      <c r="H133" t="s">
        <v>253</v>
      </c>
      <c r="I133" s="5">
        <v>45434</v>
      </c>
      <c r="J133" s="5"/>
      <c r="K133" s="5"/>
      <c r="L133" s="5"/>
      <c r="M133" t="s">
        <v>256</v>
      </c>
    </row>
    <row r="134" spans="1:14" x14ac:dyDescent="0.2">
      <c r="A134" s="4" t="s">
        <v>144</v>
      </c>
      <c r="B134" s="5">
        <v>25783</v>
      </c>
      <c r="C134">
        <f t="shared" ca="1" si="2"/>
        <v>55</v>
      </c>
      <c r="D134" t="s">
        <v>225</v>
      </c>
      <c r="E134" t="s">
        <v>228</v>
      </c>
      <c r="F134" t="s">
        <v>242</v>
      </c>
      <c r="G134" t="s">
        <v>247</v>
      </c>
      <c r="H134" t="s">
        <v>250</v>
      </c>
      <c r="I134" s="5">
        <v>45385</v>
      </c>
      <c r="J134" s="5">
        <v>45417</v>
      </c>
      <c r="K134" s="5">
        <v>45421</v>
      </c>
      <c r="L134" s="5">
        <v>45550</v>
      </c>
      <c r="M134" t="s">
        <v>255</v>
      </c>
      <c r="N134" t="s">
        <v>272</v>
      </c>
    </row>
    <row r="135" spans="1:14" x14ac:dyDescent="0.2">
      <c r="A135" s="4" t="s">
        <v>145</v>
      </c>
      <c r="B135" s="5">
        <v>27751</v>
      </c>
      <c r="C135">
        <f t="shared" ca="1" si="2"/>
        <v>49</v>
      </c>
      <c r="D135" t="s">
        <v>225</v>
      </c>
      <c r="E135" t="s">
        <v>230</v>
      </c>
      <c r="F135" t="s">
        <v>243</v>
      </c>
      <c r="G135" t="s">
        <v>247</v>
      </c>
      <c r="H135" t="s">
        <v>250</v>
      </c>
      <c r="I135" s="5">
        <v>45314</v>
      </c>
      <c r="J135" s="5">
        <v>45317</v>
      </c>
      <c r="K135" s="5">
        <v>45368</v>
      </c>
      <c r="L135" s="5">
        <v>45547</v>
      </c>
      <c r="M135" t="s">
        <v>255</v>
      </c>
      <c r="N135" t="s">
        <v>263</v>
      </c>
    </row>
    <row r="136" spans="1:14" x14ac:dyDescent="0.2">
      <c r="A136" s="4" t="s">
        <v>146</v>
      </c>
      <c r="B136" s="5">
        <v>37912</v>
      </c>
      <c r="C136">
        <f t="shared" ca="1" si="2"/>
        <v>21</v>
      </c>
      <c r="D136" t="s">
        <v>225</v>
      </c>
      <c r="E136" t="s">
        <v>229</v>
      </c>
      <c r="F136" t="s">
        <v>243</v>
      </c>
      <c r="G136" t="s">
        <v>247</v>
      </c>
      <c r="H136" t="s">
        <v>250</v>
      </c>
      <c r="I136" s="5">
        <v>45398</v>
      </c>
      <c r="J136" s="5">
        <v>45427</v>
      </c>
      <c r="K136" s="5">
        <v>45435</v>
      </c>
      <c r="L136" s="5">
        <v>45614</v>
      </c>
      <c r="M136" t="s">
        <v>255</v>
      </c>
      <c r="N136" t="s">
        <v>272</v>
      </c>
    </row>
    <row r="137" spans="1:14" x14ac:dyDescent="0.2">
      <c r="A137" s="4" t="s">
        <v>147</v>
      </c>
      <c r="B137" s="5">
        <v>21807</v>
      </c>
      <c r="C137">
        <f t="shared" ca="1" si="2"/>
        <v>66</v>
      </c>
      <c r="D137" t="s">
        <v>225</v>
      </c>
      <c r="E137" t="s">
        <v>230</v>
      </c>
      <c r="F137" t="s">
        <v>243</v>
      </c>
      <c r="G137" t="s">
        <v>247</v>
      </c>
      <c r="H137" t="s">
        <v>253</v>
      </c>
      <c r="I137" s="5">
        <v>45464</v>
      </c>
      <c r="J137" s="5">
        <v>45476</v>
      </c>
      <c r="K137" s="5">
        <v>45480</v>
      </c>
      <c r="L137" s="5">
        <v>45616</v>
      </c>
      <c r="M137" t="s">
        <v>255</v>
      </c>
      <c r="N137" t="s">
        <v>261</v>
      </c>
    </row>
    <row r="138" spans="1:14" x14ac:dyDescent="0.2">
      <c r="A138" s="4" t="s">
        <v>148</v>
      </c>
      <c r="B138" s="5">
        <v>35713</v>
      </c>
      <c r="C138">
        <f t="shared" ca="1" si="2"/>
        <v>27</v>
      </c>
      <c r="D138" t="s">
        <v>225</v>
      </c>
      <c r="E138" t="s">
        <v>228</v>
      </c>
      <c r="F138" t="s">
        <v>242</v>
      </c>
      <c r="G138" t="s">
        <v>247</v>
      </c>
      <c r="H138" t="s">
        <v>252</v>
      </c>
      <c r="I138" s="5">
        <v>45623</v>
      </c>
      <c r="J138" s="5">
        <v>45657</v>
      </c>
      <c r="K138" s="5"/>
      <c r="L138" s="5"/>
      <c r="M138" t="s">
        <v>259</v>
      </c>
    </row>
    <row r="139" spans="1:14" x14ac:dyDescent="0.2">
      <c r="A139" s="4" t="s">
        <v>149</v>
      </c>
      <c r="B139" s="5">
        <v>26020</v>
      </c>
      <c r="C139">
        <f t="shared" ca="1" si="2"/>
        <v>54</v>
      </c>
      <c r="D139" t="s">
        <v>225</v>
      </c>
      <c r="E139" t="s">
        <v>228</v>
      </c>
      <c r="F139" t="s">
        <v>242</v>
      </c>
      <c r="G139" t="s">
        <v>247</v>
      </c>
      <c r="H139" t="s">
        <v>250</v>
      </c>
      <c r="I139" s="5">
        <v>45349</v>
      </c>
      <c r="J139" s="5">
        <v>45355</v>
      </c>
      <c r="K139" s="5"/>
      <c r="L139" s="5"/>
      <c r="M139" t="s">
        <v>259</v>
      </c>
    </row>
    <row r="140" spans="1:14" x14ac:dyDescent="0.2">
      <c r="A140" s="4" t="s">
        <v>150</v>
      </c>
      <c r="B140" s="5">
        <v>28412</v>
      </c>
      <c r="C140">
        <f t="shared" ca="1" si="2"/>
        <v>47</v>
      </c>
      <c r="D140" t="s">
        <v>224</v>
      </c>
      <c r="E140" t="s">
        <v>236</v>
      </c>
      <c r="F140" t="s">
        <v>227</v>
      </c>
      <c r="G140" t="s">
        <v>247</v>
      </c>
      <c r="H140" t="s">
        <v>251</v>
      </c>
      <c r="I140" s="5">
        <v>45405</v>
      </c>
      <c r="J140" s="5">
        <v>45447</v>
      </c>
      <c r="K140" s="5">
        <v>45495</v>
      </c>
      <c r="L140" s="5">
        <v>45668</v>
      </c>
      <c r="M140" t="s">
        <v>255</v>
      </c>
      <c r="N140" t="s">
        <v>272</v>
      </c>
    </row>
    <row r="141" spans="1:14" x14ac:dyDescent="0.2">
      <c r="A141" s="4" t="s">
        <v>151</v>
      </c>
      <c r="B141" s="5">
        <v>34996</v>
      </c>
      <c r="C141">
        <f t="shared" ca="1" si="2"/>
        <v>29</v>
      </c>
      <c r="D141" t="s">
        <v>224</v>
      </c>
      <c r="E141" t="s">
        <v>230</v>
      </c>
      <c r="F141" t="s">
        <v>243</v>
      </c>
      <c r="G141" t="s">
        <v>247</v>
      </c>
      <c r="H141" t="s">
        <v>252</v>
      </c>
      <c r="I141" s="5">
        <v>45603</v>
      </c>
      <c r="J141" s="5">
        <v>45623</v>
      </c>
      <c r="K141" s="5">
        <v>45658</v>
      </c>
      <c r="L141" s="5">
        <v>45816</v>
      </c>
      <c r="M141" t="s">
        <v>255</v>
      </c>
      <c r="N141" t="s">
        <v>262</v>
      </c>
    </row>
    <row r="142" spans="1:14" x14ac:dyDescent="0.2">
      <c r="A142" s="4" t="s">
        <v>152</v>
      </c>
      <c r="B142" s="5">
        <v>29785</v>
      </c>
      <c r="C142">
        <f t="shared" ca="1" si="2"/>
        <v>44</v>
      </c>
      <c r="D142" t="s">
        <v>224</v>
      </c>
      <c r="E142" t="s">
        <v>228</v>
      </c>
      <c r="F142" t="s">
        <v>242</v>
      </c>
      <c r="G142" t="s">
        <v>247</v>
      </c>
      <c r="H142" t="s">
        <v>251</v>
      </c>
      <c r="I142" s="5">
        <v>45555</v>
      </c>
      <c r="J142" s="5">
        <v>45569</v>
      </c>
      <c r="K142" s="5">
        <v>45606</v>
      </c>
      <c r="L142" s="5">
        <v>45775</v>
      </c>
      <c r="M142" t="s">
        <v>255</v>
      </c>
      <c r="N142" t="s">
        <v>263</v>
      </c>
    </row>
    <row r="143" spans="1:14" x14ac:dyDescent="0.2">
      <c r="A143" s="4" t="s">
        <v>153</v>
      </c>
      <c r="B143" s="5">
        <v>25530</v>
      </c>
      <c r="C143">
        <f t="shared" ca="1" si="2"/>
        <v>55</v>
      </c>
      <c r="D143" t="s">
        <v>225</v>
      </c>
      <c r="E143" t="s">
        <v>230</v>
      </c>
      <c r="F143" t="s">
        <v>243</v>
      </c>
      <c r="G143" t="s">
        <v>247</v>
      </c>
      <c r="H143" t="s">
        <v>252</v>
      </c>
      <c r="I143" s="5">
        <v>45571</v>
      </c>
      <c r="J143" s="5">
        <v>45620</v>
      </c>
      <c r="K143" s="5">
        <v>45621</v>
      </c>
      <c r="L143" s="5">
        <v>45786</v>
      </c>
      <c r="M143" t="s">
        <v>255</v>
      </c>
      <c r="N143" t="s">
        <v>262</v>
      </c>
    </row>
    <row r="144" spans="1:14" x14ac:dyDescent="0.2">
      <c r="A144" s="4" t="s">
        <v>154</v>
      </c>
      <c r="B144" s="5">
        <v>37575</v>
      </c>
      <c r="C144">
        <f t="shared" ca="1" si="2"/>
        <v>22</v>
      </c>
      <c r="D144" t="s">
        <v>225</v>
      </c>
      <c r="E144" t="s">
        <v>228</v>
      </c>
      <c r="F144" t="s">
        <v>242</v>
      </c>
      <c r="G144" t="s">
        <v>247</v>
      </c>
      <c r="H144" t="s">
        <v>253</v>
      </c>
      <c r="I144" s="5">
        <v>45530</v>
      </c>
      <c r="J144" s="5">
        <v>45540</v>
      </c>
      <c r="K144" s="5">
        <v>45572</v>
      </c>
      <c r="L144" s="5">
        <v>45743</v>
      </c>
      <c r="M144" t="s">
        <v>255</v>
      </c>
      <c r="N144" t="s">
        <v>264</v>
      </c>
    </row>
    <row r="145" spans="1:14" x14ac:dyDescent="0.2">
      <c r="A145" s="4" t="s">
        <v>155</v>
      </c>
      <c r="B145" s="5">
        <v>26400</v>
      </c>
      <c r="C145">
        <f t="shared" ca="1" si="2"/>
        <v>53</v>
      </c>
      <c r="D145" t="s">
        <v>225</v>
      </c>
      <c r="E145" t="s">
        <v>228</v>
      </c>
      <c r="F145" t="s">
        <v>242</v>
      </c>
      <c r="G145" t="s">
        <v>247</v>
      </c>
      <c r="H145" t="s">
        <v>253</v>
      </c>
      <c r="I145" s="5">
        <v>45417</v>
      </c>
      <c r="J145" s="5">
        <v>45433</v>
      </c>
      <c r="K145" s="5">
        <v>45477</v>
      </c>
      <c r="L145" s="5">
        <v>45635</v>
      </c>
      <c r="M145" t="s">
        <v>255</v>
      </c>
      <c r="N145" t="s">
        <v>263</v>
      </c>
    </row>
    <row r="146" spans="1:14" x14ac:dyDescent="0.2">
      <c r="A146" s="4" t="s">
        <v>156</v>
      </c>
      <c r="B146" s="5">
        <v>23472</v>
      </c>
      <c r="C146">
        <f t="shared" ca="1" si="2"/>
        <v>61</v>
      </c>
      <c r="D146" t="s">
        <v>224</v>
      </c>
      <c r="E146" t="s">
        <v>230</v>
      </c>
      <c r="F146" t="s">
        <v>243</v>
      </c>
      <c r="G146" t="s">
        <v>247</v>
      </c>
      <c r="H146" t="s">
        <v>252</v>
      </c>
      <c r="I146" s="5">
        <v>45405</v>
      </c>
      <c r="J146" s="5">
        <v>45414</v>
      </c>
      <c r="K146" s="5">
        <v>45472</v>
      </c>
      <c r="L146" s="5">
        <v>45609</v>
      </c>
      <c r="M146" t="s">
        <v>255</v>
      </c>
      <c r="N146" t="s">
        <v>272</v>
      </c>
    </row>
    <row r="147" spans="1:14" x14ac:dyDescent="0.2">
      <c r="A147" s="4" t="s">
        <v>157</v>
      </c>
      <c r="B147" s="5">
        <v>35044</v>
      </c>
      <c r="C147">
        <f t="shared" ca="1" si="2"/>
        <v>29</v>
      </c>
      <c r="D147" t="s">
        <v>225</v>
      </c>
      <c r="E147" t="s">
        <v>228</v>
      </c>
      <c r="F147" t="s">
        <v>242</v>
      </c>
      <c r="G147" t="s">
        <v>247</v>
      </c>
      <c r="H147" t="s">
        <v>253</v>
      </c>
      <c r="I147" s="5">
        <v>45502</v>
      </c>
      <c r="J147" s="5">
        <v>45516</v>
      </c>
      <c r="K147" s="5">
        <v>45523</v>
      </c>
      <c r="L147" s="5">
        <v>45673</v>
      </c>
      <c r="M147" t="s">
        <v>255</v>
      </c>
      <c r="N147" t="s">
        <v>272</v>
      </c>
    </row>
    <row r="148" spans="1:14" x14ac:dyDescent="0.2">
      <c r="A148" s="4" t="s">
        <v>158</v>
      </c>
      <c r="B148" s="5">
        <v>26656</v>
      </c>
      <c r="C148">
        <f t="shared" ca="1" si="2"/>
        <v>52</v>
      </c>
      <c r="D148" t="s">
        <v>224</v>
      </c>
      <c r="E148" t="s">
        <v>230</v>
      </c>
      <c r="F148" t="s">
        <v>243</v>
      </c>
      <c r="G148" t="s">
        <v>247</v>
      </c>
      <c r="H148" t="s">
        <v>253</v>
      </c>
      <c r="I148" s="5">
        <v>45486</v>
      </c>
      <c r="J148" s="5">
        <v>45531</v>
      </c>
      <c r="K148" s="5">
        <v>45556</v>
      </c>
      <c r="L148" s="5">
        <v>45695</v>
      </c>
      <c r="M148" t="s">
        <v>255</v>
      </c>
      <c r="N148" t="s">
        <v>272</v>
      </c>
    </row>
    <row r="149" spans="1:14" x14ac:dyDescent="0.2">
      <c r="A149" s="4" t="s">
        <v>159</v>
      </c>
      <c r="B149" s="5">
        <v>27693</v>
      </c>
      <c r="C149">
        <f t="shared" ca="1" si="2"/>
        <v>49</v>
      </c>
      <c r="D149" t="s">
        <v>226</v>
      </c>
      <c r="E149" t="s">
        <v>229</v>
      </c>
      <c r="F149" t="s">
        <v>243</v>
      </c>
      <c r="G149" t="s">
        <v>247</v>
      </c>
      <c r="H149" t="s">
        <v>253</v>
      </c>
      <c r="I149" s="5">
        <v>45652</v>
      </c>
      <c r="J149" s="5">
        <v>45675</v>
      </c>
      <c r="K149" s="5">
        <v>45696</v>
      </c>
      <c r="L149" s="5">
        <v>45860</v>
      </c>
      <c r="M149" t="s">
        <v>255</v>
      </c>
      <c r="N149" t="s">
        <v>261</v>
      </c>
    </row>
    <row r="150" spans="1:14" x14ac:dyDescent="0.2">
      <c r="A150" s="4" t="s">
        <v>160</v>
      </c>
      <c r="B150" s="5">
        <v>26127</v>
      </c>
      <c r="C150">
        <f t="shared" ca="1" si="2"/>
        <v>54</v>
      </c>
      <c r="D150" t="s">
        <v>225</v>
      </c>
      <c r="E150" t="s">
        <v>228</v>
      </c>
      <c r="F150" t="s">
        <v>242</v>
      </c>
      <c r="G150" t="s">
        <v>247</v>
      </c>
      <c r="H150" t="s">
        <v>252</v>
      </c>
      <c r="I150" s="5">
        <v>45322</v>
      </c>
      <c r="J150" s="5">
        <v>45353</v>
      </c>
      <c r="K150" s="5">
        <v>45379</v>
      </c>
      <c r="L150" s="5">
        <v>45554</v>
      </c>
      <c r="M150" t="s">
        <v>255</v>
      </c>
      <c r="N150" t="s">
        <v>264</v>
      </c>
    </row>
    <row r="151" spans="1:14" x14ac:dyDescent="0.2">
      <c r="A151" s="4" t="s">
        <v>161</v>
      </c>
      <c r="B151" s="5">
        <v>25721</v>
      </c>
      <c r="C151">
        <f t="shared" ca="1" si="2"/>
        <v>55</v>
      </c>
      <c r="D151" t="s">
        <v>225</v>
      </c>
      <c r="E151" t="s">
        <v>230</v>
      </c>
      <c r="F151" t="s">
        <v>243</v>
      </c>
      <c r="G151" t="s">
        <v>247</v>
      </c>
      <c r="H151" t="s">
        <v>252</v>
      </c>
      <c r="I151" s="5">
        <v>45360</v>
      </c>
      <c r="J151" s="5">
        <v>45389</v>
      </c>
      <c r="K151" s="5">
        <v>45447</v>
      </c>
      <c r="L151" s="5">
        <v>45627</v>
      </c>
      <c r="M151" t="s">
        <v>255</v>
      </c>
      <c r="N151" t="s">
        <v>261</v>
      </c>
    </row>
    <row r="152" spans="1:14" x14ac:dyDescent="0.2">
      <c r="A152" s="4" t="s">
        <v>162</v>
      </c>
      <c r="B152" s="5">
        <v>37736</v>
      </c>
      <c r="C152">
        <f t="shared" ca="1" si="2"/>
        <v>22</v>
      </c>
      <c r="D152" t="s">
        <v>225</v>
      </c>
      <c r="E152" t="s">
        <v>231</v>
      </c>
      <c r="F152" t="s">
        <v>241</v>
      </c>
      <c r="G152" t="s">
        <v>246</v>
      </c>
      <c r="H152" t="s">
        <v>253</v>
      </c>
      <c r="I152" s="5">
        <v>45326</v>
      </c>
      <c r="J152" s="5">
        <v>45356</v>
      </c>
      <c r="K152" s="5">
        <v>45366</v>
      </c>
      <c r="L152" s="5">
        <v>45486</v>
      </c>
      <c r="M152" t="s">
        <v>255</v>
      </c>
      <c r="N152" t="s">
        <v>261</v>
      </c>
    </row>
    <row r="153" spans="1:14" x14ac:dyDescent="0.2">
      <c r="A153" s="4" t="s">
        <v>163</v>
      </c>
      <c r="B153" s="5">
        <v>21799</v>
      </c>
      <c r="C153">
        <f t="shared" ca="1" si="2"/>
        <v>66</v>
      </c>
      <c r="D153" t="s">
        <v>225</v>
      </c>
      <c r="E153" t="s">
        <v>228</v>
      </c>
      <c r="F153" t="s">
        <v>242</v>
      </c>
      <c r="G153" t="s">
        <v>246</v>
      </c>
      <c r="H153" t="s">
        <v>254</v>
      </c>
      <c r="I153" s="5">
        <v>45364</v>
      </c>
      <c r="J153" s="5">
        <v>45380</v>
      </c>
      <c r="K153" s="5">
        <v>45425</v>
      </c>
      <c r="L153" s="5">
        <v>45579</v>
      </c>
      <c r="M153" t="s">
        <v>255</v>
      </c>
      <c r="N153" t="s">
        <v>263</v>
      </c>
    </row>
    <row r="154" spans="1:14" x14ac:dyDescent="0.2">
      <c r="A154" s="4" t="s">
        <v>164</v>
      </c>
      <c r="B154" s="5">
        <v>34340</v>
      </c>
      <c r="C154">
        <f t="shared" ca="1" si="2"/>
        <v>31</v>
      </c>
      <c r="D154" t="s">
        <v>225</v>
      </c>
      <c r="E154" t="s">
        <v>229</v>
      </c>
      <c r="F154" t="s">
        <v>243</v>
      </c>
      <c r="G154" t="s">
        <v>247</v>
      </c>
      <c r="H154" t="s">
        <v>252</v>
      </c>
      <c r="I154" s="5">
        <v>45317</v>
      </c>
      <c r="J154" s="5">
        <v>45325</v>
      </c>
      <c r="K154" s="5">
        <v>45369</v>
      </c>
      <c r="L154" s="5">
        <v>45495</v>
      </c>
      <c r="M154" t="s">
        <v>255</v>
      </c>
      <c r="N154" t="s">
        <v>261</v>
      </c>
    </row>
    <row r="155" spans="1:14" x14ac:dyDescent="0.2">
      <c r="A155" s="4" t="s">
        <v>165</v>
      </c>
      <c r="B155" s="5">
        <v>23938</v>
      </c>
      <c r="C155">
        <f t="shared" ca="1" si="2"/>
        <v>60</v>
      </c>
      <c r="D155" t="s">
        <v>225</v>
      </c>
      <c r="E155" t="s">
        <v>229</v>
      </c>
      <c r="F155" t="s">
        <v>243</v>
      </c>
      <c r="G155" t="s">
        <v>247</v>
      </c>
      <c r="H155" t="s">
        <v>250</v>
      </c>
      <c r="I155" s="5">
        <v>45303</v>
      </c>
      <c r="J155" s="5">
        <v>45352</v>
      </c>
      <c r="K155" s="5">
        <v>45359</v>
      </c>
      <c r="L155" s="5">
        <v>45507</v>
      </c>
      <c r="M155" t="s">
        <v>255</v>
      </c>
      <c r="N155" t="s">
        <v>272</v>
      </c>
    </row>
    <row r="156" spans="1:14" x14ac:dyDescent="0.2">
      <c r="A156" s="4" t="s">
        <v>166</v>
      </c>
      <c r="B156" s="5">
        <v>29337</v>
      </c>
      <c r="C156">
        <f t="shared" ca="1" si="2"/>
        <v>45</v>
      </c>
      <c r="D156" t="s">
        <v>225</v>
      </c>
      <c r="E156" t="s">
        <v>232</v>
      </c>
      <c r="F156" t="s">
        <v>243</v>
      </c>
      <c r="G156" t="s">
        <v>248</v>
      </c>
      <c r="H156" t="s">
        <v>253</v>
      </c>
      <c r="I156" s="5">
        <v>45459</v>
      </c>
      <c r="J156" s="5">
        <v>45461</v>
      </c>
      <c r="K156" s="5">
        <v>45476</v>
      </c>
      <c r="L156" s="5">
        <v>45615</v>
      </c>
      <c r="M156" t="s">
        <v>255</v>
      </c>
      <c r="N156" t="s">
        <v>272</v>
      </c>
    </row>
    <row r="157" spans="1:14" x14ac:dyDescent="0.2">
      <c r="A157" s="4" t="s">
        <v>167</v>
      </c>
      <c r="B157" s="5">
        <v>25261</v>
      </c>
      <c r="C157">
        <f t="shared" ca="1" si="2"/>
        <v>56</v>
      </c>
      <c r="D157" t="s">
        <v>224</v>
      </c>
      <c r="E157" t="s">
        <v>228</v>
      </c>
      <c r="F157" t="s">
        <v>242</v>
      </c>
      <c r="G157" t="s">
        <v>247</v>
      </c>
      <c r="H157" t="s">
        <v>252</v>
      </c>
      <c r="I157" s="5">
        <v>45519</v>
      </c>
      <c r="J157" s="5">
        <v>45526</v>
      </c>
      <c r="K157" s="5">
        <v>45559</v>
      </c>
      <c r="L157" s="5">
        <v>45724</v>
      </c>
      <c r="M157" t="s">
        <v>255</v>
      </c>
      <c r="N157" t="s">
        <v>261</v>
      </c>
    </row>
    <row r="158" spans="1:14" x14ac:dyDescent="0.2">
      <c r="A158" s="4" t="s">
        <v>168</v>
      </c>
      <c r="B158" s="5">
        <v>36055</v>
      </c>
      <c r="C158">
        <f t="shared" ca="1" si="2"/>
        <v>27</v>
      </c>
      <c r="D158" t="s">
        <v>225</v>
      </c>
      <c r="E158" t="s">
        <v>230</v>
      </c>
      <c r="F158" t="s">
        <v>243</v>
      </c>
      <c r="G158" t="s">
        <v>247</v>
      </c>
      <c r="H158" t="s">
        <v>253</v>
      </c>
      <c r="I158" s="5">
        <v>45470</v>
      </c>
      <c r="J158" s="5">
        <v>45514</v>
      </c>
      <c r="K158" s="5">
        <v>45530</v>
      </c>
      <c r="L158" s="5">
        <v>45709</v>
      </c>
      <c r="M158" t="s">
        <v>255</v>
      </c>
      <c r="N158" t="s">
        <v>261</v>
      </c>
    </row>
    <row r="159" spans="1:14" x14ac:dyDescent="0.2">
      <c r="A159" s="4" t="s">
        <v>169</v>
      </c>
      <c r="B159" s="5">
        <v>25698</v>
      </c>
      <c r="C159">
        <f t="shared" ca="1" si="2"/>
        <v>55</v>
      </c>
      <c r="D159" t="s">
        <v>225</v>
      </c>
      <c r="E159" t="s">
        <v>228</v>
      </c>
      <c r="F159" t="s">
        <v>242</v>
      </c>
      <c r="G159" t="s">
        <v>247</v>
      </c>
      <c r="H159" t="s">
        <v>253</v>
      </c>
      <c r="I159" s="5">
        <v>45454</v>
      </c>
      <c r="J159" s="5">
        <v>45464</v>
      </c>
      <c r="K159" s="5">
        <v>45481</v>
      </c>
      <c r="L159" s="5">
        <v>45601</v>
      </c>
      <c r="M159" t="s">
        <v>255</v>
      </c>
      <c r="N159" t="s">
        <v>263</v>
      </c>
    </row>
    <row r="160" spans="1:14" x14ac:dyDescent="0.2">
      <c r="A160" s="4" t="s">
        <v>170</v>
      </c>
      <c r="B160" s="5">
        <v>32127</v>
      </c>
      <c r="C160">
        <f t="shared" ca="1" si="2"/>
        <v>37</v>
      </c>
      <c r="D160" t="s">
        <v>224</v>
      </c>
      <c r="E160" t="s">
        <v>230</v>
      </c>
      <c r="F160" t="s">
        <v>243</v>
      </c>
      <c r="G160" t="s">
        <v>247</v>
      </c>
      <c r="H160" t="s">
        <v>250</v>
      </c>
      <c r="I160" s="5">
        <v>45585</v>
      </c>
      <c r="J160" s="5">
        <v>45623</v>
      </c>
      <c r="K160" s="5">
        <v>45630</v>
      </c>
      <c r="L160" s="5">
        <v>45801</v>
      </c>
      <c r="M160" t="s">
        <v>255</v>
      </c>
      <c r="N160" t="s">
        <v>263</v>
      </c>
    </row>
    <row r="161" spans="1:14" x14ac:dyDescent="0.2">
      <c r="A161" s="4" t="s">
        <v>171</v>
      </c>
      <c r="B161" s="5">
        <v>32188</v>
      </c>
      <c r="C161">
        <f t="shared" ca="1" si="2"/>
        <v>37</v>
      </c>
      <c r="D161" t="s">
        <v>226</v>
      </c>
      <c r="E161" t="s">
        <v>230</v>
      </c>
      <c r="F161" t="s">
        <v>243</v>
      </c>
      <c r="G161" t="s">
        <v>246</v>
      </c>
      <c r="H161" t="s">
        <v>253</v>
      </c>
      <c r="I161" s="5">
        <v>45314</v>
      </c>
      <c r="J161" s="5">
        <v>45360</v>
      </c>
      <c r="K161" s="5">
        <v>45392</v>
      </c>
      <c r="L161" s="5">
        <v>45519</v>
      </c>
      <c r="M161" t="s">
        <v>255</v>
      </c>
      <c r="N161" t="s">
        <v>272</v>
      </c>
    </row>
    <row r="162" spans="1:14" x14ac:dyDescent="0.2">
      <c r="A162" s="4" t="s">
        <v>172</v>
      </c>
      <c r="B162" s="5">
        <v>38336</v>
      </c>
      <c r="C162">
        <f t="shared" ca="1" si="2"/>
        <v>20</v>
      </c>
      <c r="D162" t="s">
        <v>225</v>
      </c>
      <c r="E162" t="s">
        <v>228</v>
      </c>
      <c r="F162" t="s">
        <v>242</v>
      </c>
      <c r="G162" t="s">
        <v>247</v>
      </c>
      <c r="H162" t="s">
        <v>253</v>
      </c>
      <c r="I162" s="5">
        <v>45622</v>
      </c>
      <c r="J162" s="5">
        <v>45653</v>
      </c>
      <c r="K162" s="5">
        <v>45674</v>
      </c>
      <c r="L162" s="5">
        <v>45832</v>
      </c>
      <c r="M162" t="s">
        <v>255</v>
      </c>
      <c r="N162" t="s">
        <v>264</v>
      </c>
    </row>
    <row r="163" spans="1:14" x14ac:dyDescent="0.2">
      <c r="A163" s="4" t="s">
        <v>173</v>
      </c>
      <c r="B163" s="5">
        <v>38028</v>
      </c>
      <c r="C163">
        <f t="shared" ca="1" si="2"/>
        <v>21</v>
      </c>
      <c r="D163" t="s">
        <v>225</v>
      </c>
      <c r="E163" t="s">
        <v>230</v>
      </c>
      <c r="F163" t="s">
        <v>243</v>
      </c>
      <c r="G163" t="s">
        <v>248</v>
      </c>
      <c r="H163" t="s">
        <v>252</v>
      </c>
      <c r="I163" s="5">
        <v>45379</v>
      </c>
      <c r="J163" s="5">
        <v>45423</v>
      </c>
      <c r="K163" s="5">
        <v>45458</v>
      </c>
      <c r="L163" s="5">
        <v>45613</v>
      </c>
      <c r="M163" t="s">
        <v>255</v>
      </c>
      <c r="N163" t="s">
        <v>261</v>
      </c>
    </row>
    <row r="164" spans="1:14" x14ac:dyDescent="0.2">
      <c r="A164" s="4" t="s">
        <v>174</v>
      </c>
      <c r="B164" s="5">
        <v>32101</v>
      </c>
      <c r="C164">
        <f t="shared" ca="1" si="2"/>
        <v>37</v>
      </c>
      <c r="D164" t="s">
        <v>225</v>
      </c>
      <c r="E164" t="s">
        <v>228</v>
      </c>
      <c r="F164" t="s">
        <v>245</v>
      </c>
      <c r="G164" t="s">
        <v>247</v>
      </c>
      <c r="H164" t="s">
        <v>250</v>
      </c>
      <c r="I164" s="5">
        <v>45505</v>
      </c>
      <c r="J164" s="5">
        <v>45509</v>
      </c>
      <c r="K164" s="5">
        <v>45551</v>
      </c>
      <c r="L164" s="5">
        <v>45713</v>
      </c>
      <c r="M164" t="s">
        <v>255</v>
      </c>
      <c r="N164" t="s">
        <v>272</v>
      </c>
    </row>
    <row r="165" spans="1:14" x14ac:dyDescent="0.2">
      <c r="A165" s="4" t="s">
        <v>175</v>
      </c>
      <c r="B165" s="5">
        <v>32602</v>
      </c>
      <c r="C165">
        <f t="shared" ca="1" si="2"/>
        <v>36</v>
      </c>
      <c r="D165" t="s">
        <v>224</v>
      </c>
      <c r="E165" t="s">
        <v>230</v>
      </c>
      <c r="F165" t="s">
        <v>243</v>
      </c>
      <c r="G165" t="s">
        <v>247</v>
      </c>
      <c r="H165" t="s">
        <v>253</v>
      </c>
      <c r="I165" s="5">
        <v>45542</v>
      </c>
      <c r="J165" s="5">
        <v>45591</v>
      </c>
      <c r="K165" s="5">
        <v>45633</v>
      </c>
      <c r="L165" s="5">
        <v>45756</v>
      </c>
      <c r="M165" t="s">
        <v>255</v>
      </c>
      <c r="N165" t="s">
        <v>262</v>
      </c>
    </row>
    <row r="166" spans="1:14" x14ac:dyDescent="0.2">
      <c r="A166" s="4" t="s">
        <v>176</v>
      </c>
      <c r="B166" s="5">
        <v>38037</v>
      </c>
      <c r="C166">
        <f t="shared" ca="1" si="2"/>
        <v>21</v>
      </c>
      <c r="D166" t="s">
        <v>225</v>
      </c>
      <c r="E166" t="s">
        <v>228</v>
      </c>
      <c r="F166" t="s">
        <v>242</v>
      </c>
      <c r="G166" t="s">
        <v>247</v>
      </c>
      <c r="H166" t="s">
        <v>251</v>
      </c>
      <c r="I166" s="5">
        <v>45583</v>
      </c>
      <c r="J166" s="5">
        <v>45593</v>
      </c>
      <c r="K166" s="5">
        <v>45624</v>
      </c>
      <c r="L166" s="5">
        <v>45768</v>
      </c>
      <c r="M166" t="s">
        <v>255</v>
      </c>
      <c r="N166" t="s">
        <v>261</v>
      </c>
    </row>
    <row r="167" spans="1:14" x14ac:dyDescent="0.2">
      <c r="A167" s="4" t="s">
        <v>177</v>
      </c>
      <c r="B167" s="5">
        <v>31105</v>
      </c>
      <c r="C167">
        <f t="shared" ca="1" si="2"/>
        <v>40</v>
      </c>
      <c r="D167" t="s">
        <v>225</v>
      </c>
      <c r="E167" t="s">
        <v>231</v>
      </c>
      <c r="F167" t="s">
        <v>241</v>
      </c>
      <c r="G167" t="s">
        <v>246</v>
      </c>
      <c r="H167" t="s">
        <v>254</v>
      </c>
      <c r="I167" s="5">
        <v>45387</v>
      </c>
      <c r="J167" s="5">
        <v>45419</v>
      </c>
      <c r="K167" s="5">
        <v>45459</v>
      </c>
      <c r="L167" s="5">
        <v>45601</v>
      </c>
      <c r="M167" t="s">
        <v>255</v>
      </c>
      <c r="N167" t="s">
        <v>264</v>
      </c>
    </row>
    <row r="168" spans="1:14" x14ac:dyDescent="0.2">
      <c r="A168" s="4" t="s">
        <v>178</v>
      </c>
      <c r="B168" s="5">
        <v>36760</v>
      </c>
      <c r="C168">
        <f t="shared" ca="1" si="2"/>
        <v>25</v>
      </c>
      <c r="D168" t="s">
        <v>224</v>
      </c>
      <c r="E168" t="s">
        <v>228</v>
      </c>
      <c r="F168" t="s">
        <v>242</v>
      </c>
      <c r="G168" t="s">
        <v>247</v>
      </c>
      <c r="H168" t="s">
        <v>252</v>
      </c>
      <c r="I168" s="5">
        <v>45292</v>
      </c>
      <c r="J168" s="5">
        <v>45293</v>
      </c>
      <c r="K168" s="5">
        <v>45346</v>
      </c>
      <c r="L168" s="5">
        <v>45507</v>
      </c>
      <c r="M168" t="s">
        <v>255</v>
      </c>
      <c r="N168" t="s">
        <v>264</v>
      </c>
    </row>
    <row r="169" spans="1:14" x14ac:dyDescent="0.2">
      <c r="A169" s="4" t="s">
        <v>179</v>
      </c>
      <c r="B169" s="5">
        <v>35362</v>
      </c>
      <c r="C169">
        <f t="shared" ca="1" si="2"/>
        <v>28</v>
      </c>
      <c r="D169" t="s">
        <v>225</v>
      </c>
      <c r="E169" t="s">
        <v>229</v>
      </c>
      <c r="F169" t="s">
        <v>243</v>
      </c>
      <c r="G169" t="s">
        <v>246</v>
      </c>
      <c r="H169" t="s">
        <v>252</v>
      </c>
      <c r="I169" s="5">
        <v>45401</v>
      </c>
      <c r="J169" s="5">
        <v>45415</v>
      </c>
      <c r="K169" s="5">
        <v>45470</v>
      </c>
      <c r="L169" s="5">
        <v>45618</v>
      </c>
      <c r="M169" t="s">
        <v>255</v>
      </c>
      <c r="N169" t="s">
        <v>261</v>
      </c>
    </row>
    <row r="170" spans="1:14" x14ac:dyDescent="0.2">
      <c r="A170" s="4" t="s">
        <v>180</v>
      </c>
      <c r="B170" s="5">
        <v>37232</v>
      </c>
      <c r="C170">
        <f t="shared" ca="1" si="2"/>
        <v>23</v>
      </c>
      <c r="D170" t="s">
        <v>225</v>
      </c>
      <c r="E170" t="s">
        <v>228</v>
      </c>
      <c r="F170" t="s">
        <v>242</v>
      </c>
      <c r="G170" t="s">
        <v>247</v>
      </c>
      <c r="H170" t="s">
        <v>252</v>
      </c>
      <c r="I170" s="5">
        <v>45549</v>
      </c>
      <c r="J170" s="5">
        <v>45590</v>
      </c>
      <c r="K170" s="5">
        <v>45634</v>
      </c>
      <c r="L170" s="5">
        <v>45775</v>
      </c>
      <c r="M170" t="s">
        <v>255</v>
      </c>
      <c r="N170" t="s">
        <v>264</v>
      </c>
    </row>
    <row r="171" spans="1:14" x14ac:dyDescent="0.2">
      <c r="A171" s="4" t="s">
        <v>181</v>
      </c>
      <c r="B171" s="5">
        <v>33567</v>
      </c>
      <c r="C171">
        <f t="shared" ca="1" si="2"/>
        <v>33</v>
      </c>
      <c r="D171" t="s">
        <v>225</v>
      </c>
      <c r="E171" t="s">
        <v>228</v>
      </c>
      <c r="F171" t="s">
        <v>242</v>
      </c>
      <c r="G171" t="s">
        <v>246</v>
      </c>
      <c r="H171" t="s">
        <v>253</v>
      </c>
      <c r="I171" s="5">
        <v>45523</v>
      </c>
      <c r="J171" s="5">
        <v>45532</v>
      </c>
      <c r="K171" s="5">
        <v>45583</v>
      </c>
      <c r="L171" s="5">
        <v>45738</v>
      </c>
      <c r="M171" t="s">
        <v>255</v>
      </c>
      <c r="N171" t="s">
        <v>263</v>
      </c>
    </row>
    <row r="172" spans="1:14" x14ac:dyDescent="0.2">
      <c r="A172" s="4" t="s">
        <v>182</v>
      </c>
      <c r="B172" s="5">
        <v>30333</v>
      </c>
      <c r="C172">
        <f t="shared" ca="1" si="2"/>
        <v>42</v>
      </c>
      <c r="D172" t="s">
        <v>224</v>
      </c>
      <c r="E172" t="s">
        <v>232</v>
      </c>
      <c r="F172" t="s">
        <v>243</v>
      </c>
      <c r="G172" t="s">
        <v>247</v>
      </c>
      <c r="H172" t="s">
        <v>253</v>
      </c>
      <c r="I172" s="5">
        <v>45410</v>
      </c>
      <c r="J172" s="5">
        <v>45426</v>
      </c>
      <c r="K172" s="5">
        <v>45428</v>
      </c>
      <c r="L172" s="5">
        <v>45605</v>
      </c>
      <c r="M172" t="s">
        <v>255</v>
      </c>
      <c r="N172" t="s">
        <v>261</v>
      </c>
    </row>
    <row r="173" spans="1:14" x14ac:dyDescent="0.2">
      <c r="A173" s="4" t="s">
        <v>183</v>
      </c>
      <c r="B173" s="5">
        <v>21311</v>
      </c>
      <c r="C173">
        <f t="shared" ca="1" si="2"/>
        <v>67</v>
      </c>
      <c r="D173" t="s">
        <v>224</v>
      </c>
      <c r="E173" t="s">
        <v>228</v>
      </c>
      <c r="F173" t="s">
        <v>242</v>
      </c>
      <c r="G173" t="s">
        <v>247</v>
      </c>
      <c r="H173" t="s">
        <v>252</v>
      </c>
      <c r="I173" s="5">
        <v>45416</v>
      </c>
      <c r="J173" s="5">
        <v>45425</v>
      </c>
      <c r="K173" s="5">
        <v>45430</v>
      </c>
      <c r="L173" s="5">
        <v>45550</v>
      </c>
      <c r="M173" t="s">
        <v>255</v>
      </c>
      <c r="N173" t="s">
        <v>272</v>
      </c>
    </row>
    <row r="174" spans="1:14" x14ac:dyDescent="0.2">
      <c r="A174" s="4" t="s">
        <v>184</v>
      </c>
      <c r="B174" s="5">
        <v>33298</v>
      </c>
      <c r="C174">
        <f t="shared" ca="1" si="2"/>
        <v>34</v>
      </c>
      <c r="D174" t="s">
        <v>225</v>
      </c>
      <c r="E174" t="s">
        <v>230</v>
      </c>
      <c r="F174" t="s">
        <v>243</v>
      </c>
      <c r="G174" t="s">
        <v>247</v>
      </c>
      <c r="H174" t="s">
        <v>253</v>
      </c>
      <c r="I174" s="5">
        <v>45439</v>
      </c>
      <c r="J174" s="5">
        <v>45464</v>
      </c>
      <c r="K174" s="5">
        <v>45479</v>
      </c>
      <c r="L174" s="5">
        <v>45608</v>
      </c>
      <c r="M174" t="s">
        <v>255</v>
      </c>
      <c r="N174" t="s">
        <v>264</v>
      </c>
    </row>
    <row r="175" spans="1:14" x14ac:dyDescent="0.2">
      <c r="A175" s="4" t="s">
        <v>185</v>
      </c>
      <c r="B175" s="5">
        <v>24214</v>
      </c>
      <c r="C175">
        <f t="shared" ca="1" si="2"/>
        <v>59</v>
      </c>
      <c r="D175" t="s">
        <v>225</v>
      </c>
      <c r="E175" t="s">
        <v>231</v>
      </c>
      <c r="F175" t="s">
        <v>241</v>
      </c>
      <c r="G175" t="s">
        <v>247</v>
      </c>
      <c r="H175" t="s">
        <v>252</v>
      </c>
      <c r="I175" s="5">
        <v>45635</v>
      </c>
      <c r="J175" s="5">
        <v>45649</v>
      </c>
      <c r="K175" s="5">
        <v>45677</v>
      </c>
      <c r="L175" s="5">
        <v>45798</v>
      </c>
      <c r="M175" t="s">
        <v>255</v>
      </c>
      <c r="N175" t="s">
        <v>272</v>
      </c>
    </row>
    <row r="176" spans="1:14" x14ac:dyDescent="0.2">
      <c r="A176" s="4" t="s">
        <v>186</v>
      </c>
      <c r="B176" s="5">
        <v>35761</v>
      </c>
      <c r="C176">
        <f t="shared" ca="1" si="2"/>
        <v>27</v>
      </c>
      <c r="D176" t="s">
        <v>225</v>
      </c>
      <c r="E176" t="s">
        <v>228</v>
      </c>
      <c r="F176" t="s">
        <v>245</v>
      </c>
      <c r="G176" t="s">
        <v>247</v>
      </c>
      <c r="H176" t="s">
        <v>253</v>
      </c>
      <c r="I176" s="5">
        <v>45444</v>
      </c>
      <c r="J176" s="5">
        <v>45457</v>
      </c>
      <c r="K176" s="5">
        <v>45476</v>
      </c>
      <c r="L176" s="5">
        <v>45647</v>
      </c>
      <c r="M176" t="s">
        <v>255</v>
      </c>
      <c r="N176" t="s">
        <v>261</v>
      </c>
    </row>
    <row r="177" spans="1:14" x14ac:dyDescent="0.2">
      <c r="A177" s="4" t="s">
        <v>187</v>
      </c>
      <c r="B177" s="5">
        <v>24757</v>
      </c>
      <c r="C177">
        <f t="shared" ca="1" si="2"/>
        <v>57</v>
      </c>
      <c r="D177" t="s">
        <v>224</v>
      </c>
      <c r="E177" t="s">
        <v>228</v>
      </c>
      <c r="F177" t="s">
        <v>245</v>
      </c>
      <c r="G177" t="s">
        <v>246</v>
      </c>
      <c r="H177" t="s">
        <v>250</v>
      </c>
      <c r="I177" s="5">
        <v>45359</v>
      </c>
      <c r="J177" s="5">
        <v>45375</v>
      </c>
      <c r="K177" s="5">
        <v>45396</v>
      </c>
      <c r="L177" s="5">
        <v>45545</v>
      </c>
      <c r="M177" t="s">
        <v>255</v>
      </c>
      <c r="N177" t="s">
        <v>264</v>
      </c>
    </row>
    <row r="178" spans="1:14" x14ac:dyDescent="0.2">
      <c r="A178" s="4" t="s">
        <v>188</v>
      </c>
      <c r="B178" s="5">
        <v>27876</v>
      </c>
      <c r="C178">
        <f t="shared" ca="1" si="2"/>
        <v>49</v>
      </c>
      <c r="D178" t="s">
        <v>224</v>
      </c>
      <c r="E178" t="s">
        <v>240</v>
      </c>
      <c r="F178" t="s">
        <v>241</v>
      </c>
      <c r="G178" t="s">
        <v>247</v>
      </c>
      <c r="H178" t="s">
        <v>253</v>
      </c>
      <c r="I178" s="5">
        <v>45532</v>
      </c>
      <c r="J178" s="5">
        <v>45555</v>
      </c>
      <c r="K178" s="5">
        <v>45573</v>
      </c>
      <c r="L178" s="5">
        <v>45705</v>
      </c>
      <c r="M178" t="s">
        <v>255</v>
      </c>
      <c r="N178" t="s">
        <v>262</v>
      </c>
    </row>
    <row r="179" spans="1:14" x14ac:dyDescent="0.2">
      <c r="A179" s="4" t="s">
        <v>189</v>
      </c>
      <c r="B179" s="5">
        <v>26334</v>
      </c>
      <c r="C179">
        <f t="shared" ca="1" si="2"/>
        <v>53</v>
      </c>
      <c r="D179" t="s">
        <v>225</v>
      </c>
      <c r="E179" t="s">
        <v>240</v>
      </c>
      <c r="F179" t="s">
        <v>241</v>
      </c>
      <c r="G179" t="s">
        <v>247</v>
      </c>
      <c r="H179" t="s">
        <v>250</v>
      </c>
      <c r="I179" s="5">
        <v>45368</v>
      </c>
      <c r="J179" s="5">
        <v>45406</v>
      </c>
      <c r="K179" s="5">
        <v>45410</v>
      </c>
      <c r="L179" s="5">
        <v>45567</v>
      </c>
      <c r="M179" t="s">
        <v>255</v>
      </c>
      <c r="N179" t="s">
        <v>263</v>
      </c>
    </row>
    <row r="180" spans="1:14" x14ac:dyDescent="0.2">
      <c r="A180" s="4" t="s">
        <v>190</v>
      </c>
      <c r="B180" s="5">
        <v>38551</v>
      </c>
      <c r="C180">
        <f t="shared" ca="1" si="2"/>
        <v>20</v>
      </c>
      <c r="D180" t="s">
        <v>225</v>
      </c>
      <c r="E180" t="s">
        <v>230</v>
      </c>
      <c r="F180" t="s">
        <v>243</v>
      </c>
      <c r="G180" t="s">
        <v>246</v>
      </c>
      <c r="H180" t="s">
        <v>250</v>
      </c>
      <c r="I180" s="5">
        <v>45445</v>
      </c>
      <c r="J180" s="5">
        <v>45459</v>
      </c>
      <c r="K180" s="5">
        <v>45511</v>
      </c>
      <c r="L180" s="5">
        <v>45648</v>
      </c>
      <c r="M180" t="s">
        <v>255</v>
      </c>
      <c r="N180" t="s">
        <v>261</v>
      </c>
    </row>
    <row r="181" spans="1:14" x14ac:dyDescent="0.2">
      <c r="A181" s="4" t="s">
        <v>191</v>
      </c>
      <c r="B181" s="5">
        <v>29362</v>
      </c>
      <c r="C181">
        <f t="shared" ca="1" si="2"/>
        <v>45</v>
      </c>
      <c r="D181" t="s">
        <v>225</v>
      </c>
      <c r="E181" t="s">
        <v>230</v>
      </c>
      <c r="F181" t="s">
        <v>243</v>
      </c>
      <c r="G181" t="s">
        <v>247</v>
      </c>
      <c r="H181" t="s">
        <v>252</v>
      </c>
      <c r="I181" s="5">
        <v>45395</v>
      </c>
      <c r="J181" s="5">
        <v>45421</v>
      </c>
      <c r="K181" s="5">
        <v>45459</v>
      </c>
      <c r="L181" s="5">
        <v>45607</v>
      </c>
      <c r="M181" t="s">
        <v>255</v>
      </c>
      <c r="N181" t="s">
        <v>262</v>
      </c>
    </row>
    <row r="182" spans="1:14" x14ac:dyDescent="0.2">
      <c r="A182" s="4" t="s">
        <v>192</v>
      </c>
      <c r="B182" s="5">
        <v>22730</v>
      </c>
      <c r="C182">
        <f t="shared" ca="1" si="2"/>
        <v>63</v>
      </c>
      <c r="D182" t="s">
        <v>224</v>
      </c>
      <c r="E182" t="s">
        <v>228</v>
      </c>
      <c r="F182" t="s">
        <v>242</v>
      </c>
      <c r="G182" t="s">
        <v>247</v>
      </c>
      <c r="H182" t="s">
        <v>250</v>
      </c>
      <c r="I182" s="5">
        <v>45424</v>
      </c>
      <c r="J182" s="5">
        <v>45471</v>
      </c>
      <c r="K182" s="5">
        <v>45530</v>
      </c>
      <c r="L182" s="5">
        <v>45664</v>
      </c>
      <c r="M182" t="s">
        <v>255</v>
      </c>
      <c r="N182" t="s">
        <v>263</v>
      </c>
    </row>
    <row r="183" spans="1:14" x14ac:dyDescent="0.2">
      <c r="A183" s="4" t="s">
        <v>193</v>
      </c>
      <c r="B183" s="5">
        <v>30974</v>
      </c>
      <c r="C183">
        <f t="shared" ca="1" si="2"/>
        <v>40</v>
      </c>
      <c r="D183" t="s">
        <v>225</v>
      </c>
      <c r="E183" t="s">
        <v>228</v>
      </c>
      <c r="F183" t="s">
        <v>245</v>
      </c>
      <c r="G183" t="s">
        <v>247</v>
      </c>
      <c r="H183" t="s">
        <v>250</v>
      </c>
      <c r="I183" s="5">
        <v>45567</v>
      </c>
      <c r="J183" s="5">
        <v>45593</v>
      </c>
      <c r="K183" s="5">
        <v>45631</v>
      </c>
      <c r="L183" s="5">
        <v>45799</v>
      </c>
      <c r="M183" t="s">
        <v>255</v>
      </c>
      <c r="N183" t="s">
        <v>263</v>
      </c>
    </row>
    <row r="184" spans="1:14" x14ac:dyDescent="0.2">
      <c r="A184" s="4" t="s">
        <v>194</v>
      </c>
      <c r="B184" s="5">
        <v>33316</v>
      </c>
      <c r="C184">
        <f t="shared" ca="1" si="2"/>
        <v>34</v>
      </c>
      <c r="D184" t="s">
        <v>225</v>
      </c>
      <c r="E184" t="s">
        <v>228</v>
      </c>
      <c r="F184" t="s">
        <v>242</v>
      </c>
      <c r="G184" t="s">
        <v>247</v>
      </c>
      <c r="H184" t="s">
        <v>250</v>
      </c>
      <c r="I184" s="5">
        <v>45360</v>
      </c>
      <c r="J184" s="5">
        <v>45407</v>
      </c>
      <c r="K184" s="5">
        <v>45458</v>
      </c>
      <c r="L184" s="5">
        <v>45616</v>
      </c>
      <c r="M184" t="s">
        <v>255</v>
      </c>
      <c r="N184" t="s">
        <v>272</v>
      </c>
    </row>
    <row r="185" spans="1:14" x14ac:dyDescent="0.2">
      <c r="A185" s="4" t="s">
        <v>195</v>
      </c>
      <c r="B185" s="5">
        <v>26127</v>
      </c>
      <c r="C185">
        <f t="shared" ca="1" si="2"/>
        <v>54</v>
      </c>
      <c r="D185" t="s">
        <v>225</v>
      </c>
      <c r="E185" t="s">
        <v>230</v>
      </c>
      <c r="F185" t="s">
        <v>243</v>
      </c>
      <c r="G185" t="s">
        <v>246</v>
      </c>
      <c r="H185" t="s">
        <v>251</v>
      </c>
      <c r="I185" s="5">
        <v>45619</v>
      </c>
      <c r="J185" s="5">
        <v>45644</v>
      </c>
      <c r="K185" s="5">
        <v>45667</v>
      </c>
      <c r="L185" s="5">
        <v>45794</v>
      </c>
      <c r="M185" t="s">
        <v>255</v>
      </c>
      <c r="N185" t="s">
        <v>262</v>
      </c>
    </row>
    <row r="186" spans="1:14" x14ac:dyDescent="0.2">
      <c r="A186" s="4" t="s">
        <v>196</v>
      </c>
      <c r="B186" s="5">
        <v>35864</v>
      </c>
      <c r="C186">
        <f t="shared" ca="1" si="2"/>
        <v>27</v>
      </c>
      <c r="D186" t="s">
        <v>225</v>
      </c>
      <c r="E186" t="s">
        <v>231</v>
      </c>
      <c r="F186" t="s">
        <v>241</v>
      </c>
      <c r="G186" t="s">
        <v>247</v>
      </c>
      <c r="H186" t="s">
        <v>252</v>
      </c>
      <c r="I186" s="5">
        <v>45636</v>
      </c>
      <c r="J186" s="5">
        <v>45671</v>
      </c>
      <c r="K186" s="5">
        <v>45722</v>
      </c>
      <c r="L186" s="5">
        <v>45900</v>
      </c>
      <c r="M186" t="s">
        <v>255</v>
      </c>
      <c r="N186" t="s">
        <v>262</v>
      </c>
    </row>
    <row r="187" spans="1:14" x14ac:dyDescent="0.2">
      <c r="A187" s="4" t="s">
        <v>197</v>
      </c>
      <c r="B187" s="5">
        <v>31354</v>
      </c>
      <c r="C187">
        <f t="shared" ca="1" si="2"/>
        <v>39</v>
      </c>
      <c r="D187" t="s">
        <v>224</v>
      </c>
      <c r="E187" t="s">
        <v>231</v>
      </c>
      <c r="F187" t="s">
        <v>241</v>
      </c>
      <c r="G187" t="s">
        <v>246</v>
      </c>
      <c r="H187" t="s">
        <v>254</v>
      </c>
      <c r="I187" s="5">
        <v>45636</v>
      </c>
      <c r="J187" s="5">
        <v>45642</v>
      </c>
      <c r="K187" s="5">
        <v>45650</v>
      </c>
      <c r="L187" s="5">
        <v>45794</v>
      </c>
      <c r="M187" t="s">
        <v>255</v>
      </c>
      <c r="N187" t="s">
        <v>264</v>
      </c>
    </row>
    <row r="188" spans="1:14" x14ac:dyDescent="0.2">
      <c r="A188" s="4" t="s">
        <v>198</v>
      </c>
      <c r="B188" s="5">
        <v>25833</v>
      </c>
      <c r="C188">
        <f t="shared" ca="1" si="2"/>
        <v>55</v>
      </c>
      <c r="D188" t="s">
        <v>225</v>
      </c>
      <c r="E188" t="s">
        <v>229</v>
      </c>
      <c r="F188" t="s">
        <v>243</v>
      </c>
      <c r="G188" t="s">
        <v>247</v>
      </c>
      <c r="H188" t="s">
        <v>253</v>
      </c>
      <c r="I188" s="5">
        <v>45513</v>
      </c>
      <c r="J188" s="5">
        <v>45554</v>
      </c>
      <c r="K188" s="5">
        <v>45603</v>
      </c>
      <c r="L188" s="5">
        <v>45764</v>
      </c>
      <c r="M188" t="s">
        <v>255</v>
      </c>
      <c r="N188" t="s">
        <v>264</v>
      </c>
    </row>
    <row r="189" spans="1:14" x14ac:dyDescent="0.2">
      <c r="A189" s="4" t="s">
        <v>199</v>
      </c>
      <c r="B189" s="5">
        <v>35970</v>
      </c>
      <c r="C189">
        <f t="shared" ca="1" si="2"/>
        <v>27</v>
      </c>
      <c r="D189" t="s">
        <v>225</v>
      </c>
      <c r="E189" t="s">
        <v>229</v>
      </c>
      <c r="F189" t="s">
        <v>243</v>
      </c>
      <c r="G189" t="s">
        <v>247</v>
      </c>
      <c r="H189" t="s">
        <v>252</v>
      </c>
      <c r="I189" s="5">
        <v>45526</v>
      </c>
      <c r="J189" s="5">
        <v>45566</v>
      </c>
      <c r="K189" s="5">
        <v>45619</v>
      </c>
      <c r="L189" s="5">
        <v>45757</v>
      </c>
      <c r="M189" t="s">
        <v>255</v>
      </c>
      <c r="N189" t="s">
        <v>262</v>
      </c>
    </row>
    <row r="190" spans="1:14" x14ac:dyDescent="0.2">
      <c r="A190" s="4" t="s">
        <v>200</v>
      </c>
      <c r="B190" s="5">
        <v>28968</v>
      </c>
      <c r="C190">
        <f t="shared" ca="1" si="2"/>
        <v>46</v>
      </c>
      <c r="D190" t="s">
        <v>225</v>
      </c>
      <c r="E190" t="s">
        <v>229</v>
      </c>
      <c r="F190" t="s">
        <v>243</v>
      </c>
      <c r="G190" t="s">
        <v>246</v>
      </c>
      <c r="H190" t="s">
        <v>252</v>
      </c>
      <c r="I190" s="5">
        <v>45300</v>
      </c>
      <c r="J190" s="5">
        <v>45304</v>
      </c>
      <c r="K190" s="5">
        <v>45339</v>
      </c>
      <c r="L190" s="5">
        <v>45519</v>
      </c>
      <c r="M190" t="s">
        <v>255</v>
      </c>
      <c r="N190" t="s">
        <v>262</v>
      </c>
    </row>
    <row r="191" spans="1:14" x14ac:dyDescent="0.2">
      <c r="A191" s="4" t="s">
        <v>201</v>
      </c>
      <c r="B191" s="5">
        <v>25826</v>
      </c>
      <c r="C191">
        <f t="shared" ca="1" si="2"/>
        <v>55</v>
      </c>
      <c r="D191" t="s">
        <v>224</v>
      </c>
      <c r="E191" t="s">
        <v>229</v>
      </c>
      <c r="F191" t="s">
        <v>243</v>
      </c>
      <c r="G191" t="s">
        <v>247</v>
      </c>
      <c r="H191" t="s">
        <v>252</v>
      </c>
      <c r="I191" s="5">
        <v>45333</v>
      </c>
      <c r="J191" s="5">
        <v>45373</v>
      </c>
      <c r="K191" s="5">
        <v>45390</v>
      </c>
      <c r="L191" s="5">
        <v>45521</v>
      </c>
      <c r="M191" t="s">
        <v>255</v>
      </c>
      <c r="N191" t="s">
        <v>263</v>
      </c>
    </row>
    <row r="192" spans="1:14" x14ac:dyDescent="0.2">
      <c r="A192" s="4" t="s">
        <v>202</v>
      </c>
      <c r="B192" s="5">
        <v>23821</v>
      </c>
      <c r="C192">
        <f t="shared" ca="1" si="2"/>
        <v>60</v>
      </c>
      <c r="D192" t="s">
        <v>225</v>
      </c>
      <c r="E192" t="s">
        <v>228</v>
      </c>
      <c r="F192" t="s">
        <v>242</v>
      </c>
      <c r="G192" t="s">
        <v>247</v>
      </c>
      <c r="H192" t="s">
        <v>250</v>
      </c>
      <c r="I192" s="5">
        <v>45484</v>
      </c>
      <c r="J192" s="5">
        <v>45524</v>
      </c>
      <c r="K192" s="5">
        <v>45536</v>
      </c>
      <c r="L192" s="5">
        <v>45659</v>
      </c>
      <c r="M192" t="s">
        <v>255</v>
      </c>
      <c r="N192" t="s">
        <v>272</v>
      </c>
    </row>
    <row r="193" spans="1:14" x14ac:dyDescent="0.2">
      <c r="A193" s="4" t="s">
        <v>203</v>
      </c>
      <c r="B193" s="5">
        <v>34002</v>
      </c>
      <c r="C193">
        <f t="shared" ca="1" si="2"/>
        <v>32</v>
      </c>
      <c r="D193" t="s">
        <v>225</v>
      </c>
      <c r="E193" t="s">
        <v>230</v>
      </c>
      <c r="F193" t="s">
        <v>243</v>
      </c>
      <c r="G193" t="s">
        <v>248</v>
      </c>
      <c r="H193" t="s">
        <v>252</v>
      </c>
      <c r="I193" s="5">
        <v>45365</v>
      </c>
      <c r="J193" s="5">
        <v>45407</v>
      </c>
      <c r="K193" s="5">
        <v>45433</v>
      </c>
      <c r="L193" s="5">
        <v>45612</v>
      </c>
      <c r="M193" t="s">
        <v>255</v>
      </c>
      <c r="N193" t="s">
        <v>272</v>
      </c>
    </row>
    <row r="194" spans="1:14" x14ac:dyDescent="0.2">
      <c r="A194" s="4" t="s">
        <v>204</v>
      </c>
      <c r="B194" s="5">
        <v>31309</v>
      </c>
      <c r="C194">
        <f t="shared" ca="1" si="2"/>
        <v>40</v>
      </c>
      <c r="D194" t="s">
        <v>225</v>
      </c>
      <c r="E194" t="s">
        <v>228</v>
      </c>
      <c r="F194" t="s">
        <v>245</v>
      </c>
      <c r="G194" t="s">
        <v>247</v>
      </c>
      <c r="H194" t="s">
        <v>253</v>
      </c>
      <c r="I194" s="5">
        <v>45486</v>
      </c>
      <c r="J194" s="5">
        <v>45501</v>
      </c>
      <c r="K194" s="5">
        <v>45522</v>
      </c>
      <c r="L194" s="5">
        <v>45677</v>
      </c>
      <c r="M194" t="s">
        <v>255</v>
      </c>
      <c r="N194" t="s">
        <v>263</v>
      </c>
    </row>
    <row r="195" spans="1:14" x14ac:dyDescent="0.2">
      <c r="A195" s="4" t="s">
        <v>205</v>
      </c>
      <c r="B195" s="5">
        <v>35737</v>
      </c>
      <c r="C195">
        <f t="shared" ca="1" si="2"/>
        <v>27</v>
      </c>
      <c r="D195" t="s">
        <v>225</v>
      </c>
      <c r="E195" t="s">
        <v>230</v>
      </c>
      <c r="F195" t="s">
        <v>243</v>
      </c>
      <c r="G195" t="s">
        <v>247</v>
      </c>
      <c r="H195" t="s">
        <v>252</v>
      </c>
      <c r="I195" s="5">
        <v>45303</v>
      </c>
      <c r="J195" s="5">
        <v>45350</v>
      </c>
      <c r="K195" s="5">
        <v>45402</v>
      </c>
      <c r="L195" s="5">
        <v>45578</v>
      </c>
      <c r="M195" t="s">
        <v>255</v>
      </c>
      <c r="N195" t="s">
        <v>264</v>
      </c>
    </row>
    <row r="196" spans="1:14" x14ac:dyDescent="0.2">
      <c r="A196" s="4" t="s">
        <v>206</v>
      </c>
      <c r="B196" s="5">
        <v>25859</v>
      </c>
      <c r="C196">
        <f t="shared" ref="C196:C213" ca="1" si="3">INT((TODAY()-B196)/365.25)</f>
        <v>54</v>
      </c>
      <c r="D196" t="s">
        <v>224</v>
      </c>
      <c r="E196" t="s">
        <v>228</v>
      </c>
      <c r="F196" t="s">
        <v>242</v>
      </c>
      <c r="G196" t="s">
        <v>246</v>
      </c>
      <c r="H196" t="s">
        <v>250</v>
      </c>
      <c r="I196" s="5">
        <v>45372</v>
      </c>
      <c r="J196" s="5">
        <v>45416</v>
      </c>
      <c r="K196" s="5">
        <v>45436</v>
      </c>
      <c r="L196" s="5">
        <v>45595</v>
      </c>
      <c r="M196" t="s">
        <v>255</v>
      </c>
      <c r="N196" t="s">
        <v>272</v>
      </c>
    </row>
    <row r="197" spans="1:14" x14ac:dyDescent="0.2">
      <c r="A197" s="4" t="s">
        <v>207</v>
      </c>
      <c r="B197" s="5">
        <v>25356</v>
      </c>
      <c r="C197">
        <f t="shared" ca="1" si="3"/>
        <v>56</v>
      </c>
      <c r="D197" t="s">
        <v>224</v>
      </c>
      <c r="E197" t="s">
        <v>230</v>
      </c>
      <c r="F197" t="s">
        <v>243</v>
      </c>
      <c r="G197" t="s">
        <v>246</v>
      </c>
      <c r="H197" t="s">
        <v>250</v>
      </c>
      <c r="I197" s="5">
        <v>45490</v>
      </c>
      <c r="J197" s="5">
        <v>45532</v>
      </c>
      <c r="K197" s="5">
        <v>45581</v>
      </c>
      <c r="L197" s="5">
        <v>45729</v>
      </c>
      <c r="M197" t="s">
        <v>255</v>
      </c>
      <c r="N197" t="s">
        <v>272</v>
      </c>
    </row>
    <row r="198" spans="1:14" x14ac:dyDescent="0.2">
      <c r="A198" s="4" t="s">
        <v>208</v>
      </c>
      <c r="B198" s="5">
        <v>22537</v>
      </c>
      <c r="C198">
        <f t="shared" ca="1" si="3"/>
        <v>64</v>
      </c>
      <c r="D198" t="s">
        <v>224</v>
      </c>
      <c r="E198" t="s">
        <v>230</v>
      </c>
      <c r="F198" t="s">
        <v>243</v>
      </c>
      <c r="G198" t="s">
        <v>246</v>
      </c>
      <c r="H198" t="s">
        <v>250</v>
      </c>
      <c r="I198" s="5">
        <v>45605</v>
      </c>
      <c r="J198" s="5">
        <v>45623</v>
      </c>
      <c r="K198" s="5">
        <v>45639</v>
      </c>
      <c r="L198" s="5">
        <v>45786</v>
      </c>
      <c r="M198" t="s">
        <v>255</v>
      </c>
      <c r="N198" t="s">
        <v>263</v>
      </c>
    </row>
    <row r="199" spans="1:14" x14ac:dyDescent="0.2">
      <c r="A199" s="4" t="s">
        <v>209</v>
      </c>
      <c r="B199" s="5">
        <v>25530</v>
      </c>
      <c r="C199">
        <f t="shared" ca="1" si="3"/>
        <v>55</v>
      </c>
      <c r="D199" t="s">
        <v>225</v>
      </c>
      <c r="E199" t="s">
        <v>228</v>
      </c>
      <c r="F199" t="s">
        <v>242</v>
      </c>
      <c r="G199" t="s">
        <v>248</v>
      </c>
      <c r="H199" t="s">
        <v>252</v>
      </c>
      <c r="I199" s="5">
        <v>45582</v>
      </c>
      <c r="J199" s="5">
        <v>45628</v>
      </c>
      <c r="K199" s="5">
        <v>45675</v>
      </c>
      <c r="L199" s="5">
        <v>45799</v>
      </c>
      <c r="M199" t="s">
        <v>255</v>
      </c>
      <c r="N199" t="s">
        <v>261</v>
      </c>
    </row>
    <row r="200" spans="1:14" x14ac:dyDescent="0.2">
      <c r="A200" s="4" t="s">
        <v>210</v>
      </c>
      <c r="B200" s="5">
        <v>23485</v>
      </c>
      <c r="C200">
        <f t="shared" ca="1" si="3"/>
        <v>61</v>
      </c>
      <c r="D200" t="s">
        <v>224</v>
      </c>
      <c r="E200" t="s">
        <v>229</v>
      </c>
      <c r="F200" t="s">
        <v>243</v>
      </c>
      <c r="G200" t="s">
        <v>246</v>
      </c>
      <c r="H200" t="s">
        <v>250</v>
      </c>
      <c r="I200" s="5">
        <v>45337</v>
      </c>
      <c r="J200" s="5">
        <v>45356</v>
      </c>
      <c r="K200" s="5">
        <v>45401</v>
      </c>
      <c r="L200" s="5">
        <v>45545</v>
      </c>
      <c r="M200" t="s">
        <v>255</v>
      </c>
      <c r="N200" t="s">
        <v>263</v>
      </c>
    </row>
    <row r="201" spans="1:14" x14ac:dyDescent="0.2">
      <c r="A201" s="4" t="s">
        <v>211</v>
      </c>
      <c r="B201" s="5">
        <v>32851</v>
      </c>
      <c r="C201">
        <f t="shared" ca="1" si="3"/>
        <v>35</v>
      </c>
      <c r="D201" t="s">
        <v>225</v>
      </c>
      <c r="E201" t="s">
        <v>230</v>
      </c>
      <c r="F201" t="s">
        <v>243</v>
      </c>
      <c r="G201" t="s">
        <v>247</v>
      </c>
      <c r="H201" t="s">
        <v>252</v>
      </c>
      <c r="I201" s="5">
        <v>45436</v>
      </c>
      <c r="J201" s="5">
        <v>45446</v>
      </c>
      <c r="K201" s="5">
        <v>45476</v>
      </c>
      <c r="L201" s="5">
        <v>45628</v>
      </c>
      <c r="M201" t="s">
        <v>255</v>
      </c>
      <c r="N201" t="s">
        <v>263</v>
      </c>
    </row>
    <row r="202" spans="1:14" x14ac:dyDescent="0.2">
      <c r="A202" s="4" t="s">
        <v>212</v>
      </c>
      <c r="B202" s="5">
        <v>27795</v>
      </c>
      <c r="C202">
        <f t="shared" ca="1" si="3"/>
        <v>49</v>
      </c>
      <c r="D202" t="s">
        <v>225</v>
      </c>
      <c r="E202" t="s">
        <v>228</v>
      </c>
      <c r="F202" t="s">
        <v>242</v>
      </c>
      <c r="G202" t="s">
        <v>247</v>
      </c>
      <c r="H202" t="s">
        <v>252</v>
      </c>
      <c r="I202" s="5">
        <v>45385</v>
      </c>
      <c r="J202" s="5">
        <v>45406</v>
      </c>
      <c r="K202" s="5">
        <v>45464</v>
      </c>
      <c r="L202" s="5">
        <v>45608</v>
      </c>
      <c r="M202" t="s">
        <v>255</v>
      </c>
      <c r="N202" t="s">
        <v>263</v>
      </c>
    </row>
    <row r="203" spans="1:14" x14ac:dyDescent="0.2">
      <c r="A203" s="4" t="s">
        <v>213</v>
      </c>
      <c r="B203" s="5">
        <v>29684</v>
      </c>
      <c r="C203">
        <f t="shared" ca="1" si="3"/>
        <v>44</v>
      </c>
      <c r="D203" t="s">
        <v>224</v>
      </c>
      <c r="E203" t="s">
        <v>229</v>
      </c>
      <c r="F203" t="s">
        <v>243</v>
      </c>
      <c r="G203" t="s">
        <v>247</v>
      </c>
      <c r="H203" t="s">
        <v>251</v>
      </c>
      <c r="I203" s="5">
        <v>45609</v>
      </c>
      <c r="J203" s="5">
        <v>45657</v>
      </c>
      <c r="K203" s="5">
        <v>45662</v>
      </c>
      <c r="L203" s="5">
        <v>45817</v>
      </c>
      <c r="M203" t="s">
        <v>255</v>
      </c>
      <c r="N203" t="s">
        <v>262</v>
      </c>
    </row>
    <row r="204" spans="1:14" x14ac:dyDescent="0.2">
      <c r="A204" s="4" t="s">
        <v>214</v>
      </c>
      <c r="B204" s="5">
        <v>28525</v>
      </c>
      <c r="C204">
        <f t="shared" ca="1" si="3"/>
        <v>47</v>
      </c>
      <c r="D204" t="s">
        <v>225</v>
      </c>
      <c r="E204" t="s">
        <v>228</v>
      </c>
      <c r="F204" t="s">
        <v>245</v>
      </c>
      <c r="G204" t="s">
        <v>247</v>
      </c>
      <c r="H204" t="s">
        <v>253</v>
      </c>
      <c r="I204" s="5">
        <v>45301</v>
      </c>
      <c r="J204" s="5">
        <v>45311</v>
      </c>
      <c r="K204" s="5">
        <v>45317</v>
      </c>
      <c r="L204" s="5">
        <v>45493</v>
      </c>
      <c r="M204" t="s">
        <v>255</v>
      </c>
      <c r="N204" t="s">
        <v>262</v>
      </c>
    </row>
    <row r="205" spans="1:14" x14ac:dyDescent="0.2">
      <c r="A205" s="4" t="s">
        <v>215</v>
      </c>
      <c r="B205" s="5">
        <v>38415</v>
      </c>
      <c r="C205">
        <f t="shared" ca="1" si="3"/>
        <v>20</v>
      </c>
      <c r="D205" t="s">
        <v>224</v>
      </c>
      <c r="E205" t="s">
        <v>230</v>
      </c>
      <c r="F205" t="s">
        <v>243</v>
      </c>
      <c r="G205" t="s">
        <v>246</v>
      </c>
      <c r="H205" t="s">
        <v>252</v>
      </c>
      <c r="I205" s="5">
        <v>45628</v>
      </c>
      <c r="J205" s="5">
        <v>45635</v>
      </c>
      <c r="K205" s="5">
        <v>45664</v>
      </c>
      <c r="L205" s="5">
        <v>45829</v>
      </c>
      <c r="M205" t="s">
        <v>255</v>
      </c>
      <c r="N205" t="s">
        <v>272</v>
      </c>
    </row>
    <row r="206" spans="1:14" x14ac:dyDescent="0.2">
      <c r="A206" s="4" t="s">
        <v>216</v>
      </c>
      <c r="B206" s="5">
        <v>28142</v>
      </c>
      <c r="C206">
        <f t="shared" ca="1" si="3"/>
        <v>48</v>
      </c>
      <c r="D206" t="s">
        <v>225</v>
      </c>
      <c r="E206" t="s">
        <v>237</v>
      </c>
      <c r="F206" t="s">
        <v>245</v>
      </c>
      <c r="G206" t="s">
        <v>247</v>
      </c>
      <c r="H206" t="s">
        <v>250</v>
      </c>
      <c r="I206" s="5">
        <v>45356</v>
      </c>
      <c r="J206" s="5">
        <v>45383</v>
      </c>
      <c r="K206" s="5">
        <v>45437</v>
      </c>
      <c r="L206" s="5">
        <v>45574</v>
      </c>
      <c r="M206" t="s">
        <v>255</v>
      </c>
      <c r="N206" t="s">
        <v>264</v>
      </c>
    </row>
    <row r="207" spans="1:14" x14ac:dyDescent="0.2">
      <c r="A207" s="4" t="s">
        <v>217</v>
      </c>
      <c r="B207" s="5">
        <v>21419</v>
      </c>
      <c r="C207">
        <f t="shared" ca="1" si="3"/>
        <v>67</v>
      </c>
      <c r="D207" t="s">
        <v>224</v>
      </c>
      <c r="E207" t="s">
        <v>238</v>
      </c>
      <c r="F207" t="s">
        <v>227</v>
      </c>
      <c r="G207" t="s">
        <v>247</v>
      </c>
      <c r="H207" t="s">
        <v>252</v>
      </c>
      <c r="I207" s="5">
        <v>45319</v>
      </c>
      <c r="J207" s="5">
        <v>45320</v>
      </c>
      <c r="K207" s="5">
        <v>45326</v>
      </c>
      <c r="L207" s="5">
        <v>45452</v>
      </c>
      <c r="M207" t="s">
        <v>255</v>
      </c>
      <c r="N207" t="s">
        <v>261</v>
      </c>
    </row>
    <row r="208" spans="1:14" x14ac:dyDescent="0.2">
      <c r="A208" s="4" t="s">
        <v>218</v>
      </c>
      <c r="B208" s="5">
        <v>33005</v>
      </c>
      <c r="C208">
        <f t="shared" ca="1" si="3"/>
        <v>35</v>
      </c>
      <c r="D208" t="s">
        <v>224</v>
      </c>
      <c r="E208" t="s">
        <v>239</v>
      </c>
      <c r="F208" t="s">
        <v>227</v>
      </c>
      <c r="G208" t="s">
        <v>246</v>
      </c>
      <c r="H208" t="s">
        <v>250</v>
      </c>
      <c r="I208" s="5">
        <v>45314</v>
      </c>
      <c r="J208" s="5">
        <v>45330</v>
      </c>
      <c r="K208" s="5">
        <v>45337</v>
      </c>
      <c r="L208" s="5">
        <v>45507</v>
      </c>
      <c r="M208" t="s">
        <v>255</v>
      </c>
      <c r="N208" t="s">
        <v>262</v>
      </c>
    </row>
    <row r="209" spans="1:14" x14ac:dyDescent="0.2">
      <c r="A209" s="4" t="s">
        <v>219</v>
      </c>
      <c r="B209" s="5">
        <v>25023</v>
      </c>
      <c r="C209">
        <f t="shared" ca="1" si="3"/>
        <v>57</v>
      </c>
      <c r="D209" t="s">
        <v>225</v>
      </c>
      <c r="E209" t="s">
        <v>230</v>
      </c>
      <c r="F209" t="s">
        <v>243</v>
      </c>
      <c r="G209" t="s">
        <v>247</v>
      </c>
      <c r="H209" t="s">
        <v>252</v>
      </c>
      <c r="I209" s="5">
        <v>45543</v>
      </c>
      <c r="J209" s="5">
        <v>45569</v>
      </c>
      <c r="K209" s="5">
        <v>45617</v>
      </c>
      <c r="L209" s="5">
        <v>45782</v>
      </c>
      <c r="M209" t="s">
        <v>255</v>
      </c>
      <c r="N209" t="s">
        <v>263</v>
      </c>
    </row>
    <row r="210" spans="1:14" x14ac:dyDescent="0.2">
      <c r="A210" s="4" t="s">
        <v>220</v>
      </c>
      <c r="B210" s="5">
        <v>22831</v>
      </c>
      <c r="C210">
        <f t="shared" ca="1" si="3"/>
        <v>63</v>
      </c>
      <c r="D210" t="s">
        <v>225</v>
      </c>
      <c r="E210" t="s">
        <v>231</v>
      </c>
      <c r="F210" t="s">
        <v>241</v>
      </c>
      <c r="G210" t="s">
        <v>247</v>
      </c>
      <c r="H210" t="s">
        <v>252</v>
      </c>
      <c r="I210" s="5">
        <v>45649</v>
      </c>
      <c r="J210" s="5">
        <v>45673</v>
      </c>
      <c r="K210" s="5">
        <v>45720</v>
      </c>
      <c r="L210" s="5">
        <v>45855</v>
      </c>
      <c r="M210" t="s">
        <v>255</v>
      </c>
      <c r="N210" t="s">
        <v>264</v>
      </c>
    </row>
    <row r="211" spans="1:14" x14ac:dyDescent="0.2">
      <c r="A211" s="4" t="s">
        <v>221</v>
      </c>
      <c r="B211" s="5">
        <v>37238</v>
      </c>
      <c r="C211">
        <f t="shared" ca="1" si="3"/>
        <v>23</v>
      </c>
      <c r="D211" t="s">
        <v>225</v>
      </c>
      <c r="E211" t="s">
        <v>229</v>
      </c>
      <c r="F211" t="s">
        <v>243</v>
      </c>
      <c r="G211" t="s">
        <v>246</v>
      </c>
      <c r="H211" t="s">
        <v>250</v>
      </c>
      <c r="I211" s="5">
        <v>45611</v>
      </c>
      <c r="J211" s="5">
        <v>45634</v>
      </c>
      <c r="K211" s="5">
        <v>45649</v>
      </c>
      <c r="L211" s="5">
        <v>45816</v>
      </c>
      <c r="M211" t="s">
        <v>255</v>
      </c>
      <c r="N211" t="s">
        <v>262</v>
      </c>
    </row>
    <row r="212" spans="1:14" x14ac:dyDescent="0.2">
      <c r="A212" s="4" t="s">
        <v>222</v>
      </c>
      <c r="B212" s="5">
        <v>26822</v>
      </c>
      <c r="C212">
        <f t="shared" ca="1" si="3"/>
        <v>52</v>
      </c>
      <c r="D212" t="s">
        <v>224</v>
      </c>
      <c r="E212" t="s">
        <v>230</v>
      </c>
      <c r="F212" t="s">
        <v>243</v>
      </c>
      <c r="G212" t="s">
        <v>247</v>
      </c>
      <c r="H212" t="s">
        <v>252</v>
      </c>
      <c r="I212" s="5">
        <v>45634</v>
      </c>
      <c r="J212" s="5">
        <v>45665</v>
      </c>
      <c r="K212" s="5">
        <v>45706</v>
      </c>
      <c r="L212" s="5">
        <v>45858</v>
      </c>
      <c r="M212" t="s">
        <v>255</v>
      </c>
      <c r="N212" t="s">
        <v>272</v>
      </c>
    </row>
    <row r="213" spans="1:14" x14ac:dyDescent="0.2">
      <c r="A213" s="4" t="s">
        <v>223</v>
      </c>
      <c r="B213" s="5">
        <v>26638</v>
      </c>
      <c r="C213">
        <f t="shared" ca="1" si="3"/>
        <v>52</v>
      </c>
      <c r="D213" t="s">
        <v>225</v>
      </c>
      <c r="E213" t="s">
        <v>230</v>
      </c>
      <c r="F213" t="s">
        <v>243</v>
      </c>
      <c r="G213" t="s">
        <v>247</v>
      </c>
      <c r="H213" t="s">
        <v>250</v>
      </c>
      <c r="I213" s="5">
        <v>45642</v>
      </c>
      <c r="J213" s="5">
        <v>45684</v>
      </c>
      <c r="K213" s="5">
        <v>45739</v>
      </c>
      <c r="L213" s="5">
        <v>45895</v>
      </c>
      <c r="M213" t="s">
        <v>255</v>
      </c>
      <c r="N213" t="s">
        <v>264</v>
      </c>
    </row>
  </sheetData>
  <phoneticPr fontId="3" type="noConversion"/>
  <dataValidations count="3">
    <dataValidation type="list" allowBlank="1" showInputMessage="1" showErrorMessage="1" sqref="D3:D213" xr:uid="{8D898BCE-A043-F749-BE5F-360F61894C96}">
      <formula1>"Male, Female, N/A"</formula1>
    </dataValidation>
    <dataValidation type="list" allowBlank="1" showInputMessage="1" showErrorMessage="1" sqref="M3 M20:M213" xr:uid="{31823567-3EED-0D42-8687-93F199FEA854}">
      <formula1>"Completed,  Referred (waiting), Assessed (awaiting allocation), Withdrawn, Not Suitable"</formula1>
    </dataValidation>
    <dataValidation type="list" allowBlank="1" showInputMessage="1" showErrorMessage="1" sqref="M4:M19" xr:uid="{25639032-825C-D44F-B932-69AE4A8039DD}">
      <formula1>"Completed,  Referred (waiting), Assessed (awaiting allocation), Withdrawn, Not Suitable, Allocated (active)"</formula1>
    </dataValidation>
  </dataValidations>
  <pageMargins left="0.7" right="0.7" top="0.75" bottom="0.75" header="0.3" footer="0.3"/>
  <ignoredErrors>
    <ignoredError sqref="A4 A6 A5 A7:A12 A13:A213" numberStoredAsText="1"/>
    <ignoredError sqref="D3" listDataValidatio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815D3-195C-424D-A7C9-00B810012C05}">
  <dimension ref="A1:U214"/>
  <sheetViews>
    <sheetView topLeftCell="L58" zoomScale="125" zoomScaleNormal="184" workbookViewId="0">
      <selection activeCell="Q20" sqref="Q20"/>
    </sheetView>
  </sheetViews>
  <sheetFormatPr baseColWidth="10" defaultRowHeight="16" x14ac:dyDescent="0.2"/>
  <cols>
    <col min="1" max="4" width="11" customWidth="1"/>
    <col min="5" max="5" width="15" customWidth="1"/>
    <col min="6" max="6" width="30.83203125" customWidth="1"/>
    <col min="7" max="7" width="26.5" customWidth="1"/>
    <col min="8" max="8" width="20.83203125" customWidth="1"/>
    <col min="9" max="9" width="23.1640625" customWidth="1"/>
    <col min="10" max="10" width="22.33203125" customWidth="1"/>
    <col min="11" max="11" width="22.1640625" customWidth="1"/>
    <col min="12" max="12" width="27.6640625" customWidth="1"/>
    <col min="13" max="13" width="24.5" customWidth="1"/>
    <col min="14" max="14" width="22.6640625" customWidth="1"/>
    <col min="15" max="15" width="22.83203125" customWidth="1"/>
    <col min="16" max="16" width="18.33203125" customWidth="1"/>
    <col min="17" max="17" width="20.1640625" customWidth="1"/>
    <col min="18" max="18" width="21.1640625" customWidth="1"/>
    <col min="19" max="19" width="23.83203125" customWidth="1"/>
    <col min="20" max="20" width="25.83203125" customWidth="1"/>
  </cols>
  <sheetData>
    <row r="1" spans="1:21" ht="37" x14ac:dyDescent="0.45">
      <c r="G1" s="1" t="s">
        <v>1</v>
      </c>
      <c r="H1" s="1"/>
      <c r="I1" s="2"/>
      <c r="J1" s="2"/>
      <c r="K1" s="2"/>
      <c r="L1" s="2"/>
    </row>
    <row r="3" spans="1:21" x14ac:dyDescent="0.2">
      <c r="A3" s="4" t="s">
        <v>0</v>
      </c>
      <c r="B3" s="5" t="s">
        <v>2</v>
      </c>
      <c r="C3" s="3" t="s">
        <v>3</v>
      </c>
      <c r="D3" s="3" t="s">
        <v>269</v>
      </c>
      <c r="E3" t="s">
        <v>4</v>
      </c>
      <c r="F3" t="s">
        <v>5</v>
      </c>
      <c r="G3" t="s">
        <v>6</v>
      </c>
      <c r="H3" t="s">
        <v>268</v>
      </c>
      <c r="I3" t="s">
        <v>7</v>
      </c>
      <c r="J3" t="s">
        <v>249</v>
      </c>
      <c r="K3" s="5" t="s">
        <v>8</v>
      </c>
      <c r="L3" s="6" t="s">
        <v>270</v>
      </c>
      <c r="M3" t="s">
        <v>9</v>
      </c>
      <c r="N3" t="s">
        <v>326</v>
      </c>
      <c r="O3" t="s">
        <v>288</v>
      </c>
      <c r="P3" s="18" t="s">
        <v>10</v>
      </c>
      <c r="Q3" s="5" t="s">
        <v>327</v>
      </c>
      <c r="R3" t="s">
        <v>289</v>
      </c>
      <c r="S3" t="s">
        <v>11</v>
      </c>
      <c r="T3" t="s">
        <v>12</v>
      </c>
      <c r="U3" t="s">
        <v>13</v>
      </c>
    </row>
    <row r="4" spans="1:21" x14ac:dyDescent="0.2">
      <c r="A4" s="4" t="s">
        <v>15</v>
      </c>
      <c r="B4" s="5">
        <v>31213</v>
      </c>
      <c r="C4">
        <f ca="1">INT((TODAY()-B4)/365.25)</f>
        <v>40</v>
      </c>
      <c r="D4" t="str">
        <f ca="1">IF(OR(ISBLANK(C4), C4 ="N/A"), "N/A",
  IF(VALUE(C4) &lt; 18, "0–17",
    IF(VALUE(C4) &lt; 25, "18–24",
      IF(VALUE(C4) &lt; 35, "25–34",
        IF(VALUE(C4) &lt; 45, "35–44",
          IF(VALUE(C4) &lt; 55, "45–54",
            IF(VALUE(C4) &lt; 65, "55–64", "65+")
          )
        )
      )
    )
  )
)</f>
        <v>35–44</v>
      </c>
      <c r="E4" t="s">
        <v>225</v>
      </c>
      <c r="F4" t="s">
        <v>227</v>
      </c>
      <c r="G4" t="s">
        <v>227</v>
      </c>
      <c r="H4" t="str">
        <f t="shared" ref="H4:H67" si="0">IF(OR(G4="Other",G4="Black / African / Caribbean", G4="Asian"), "BAME", "White")</f>
        <v>BAME</v>
      </c>
      <c r="I4" t="s">
        <v>246</v>
      </c>
      <c r="J4" t="s">
        <v>250</v>
      </c>
      <c r="K4" s="5">
        <v>45311</v>
      </c>
      <c r="L4" s="7" t="str">
        <f>TEXT(K4,"mmmm yyyyy")</f>
        <v>January 2024</v>
      </c>
      <c r="M4" s="5">
        <v>45335</v>
      </c>
      <c r="N4" s="5">
        <f>IF(ISNUMBER(Table32[[#This Row],[Date Assessed]]),Table32[[#This Row],[Date Assessed]], DATE(1900,1,1))</f>
        <v>45335</v>
      </c>
      <c r="O4" s="13">
        <f>IF(OR(Table32[[#This Row],[Date Assessed]]="N/A",  Table32[[#This Row],[Date Referred]] = "N/A"), "N/A",  Table32[[#This Row],[Date Assessed]]-Table32[[#This Row],[Date Referred]])</f>
        <v>24</v>
      </c>
      <c r="P4" s="18">
        <v>45362</v>
      </c>
      <c r="Q4" s="5">
        <f>IF(ISNUMBER(Table32[[#This Row],[Date Allocated]]),Table32[[#This Row],[Date Allocated]],DATE(1900,1,1))</f>
        <v>45362</v>
      </c>
      <c r="R4" s="14">
        <f>IF(OR(Table32[[#This Row],[Date Assessed]]="N/A",Table32[[#This Row],[Date Allocated]]="N/A"),"N/A",Table32[[#This Row],[Date Allocated]]-Table32[[#This Row],[Date Assessed]])</f>
        <v>27</v>
      </c>
      <c r="S4" s="5">
        <v>45528</v>
      </c>
      <c r="T4" t="s">
        <v>255</v>
      </c>
      <c r="U4" t="s">
        <v>262</v>
      </c>
    </row>
    <row r="5" spans="1:21" x14ac:dyDescent="0.2">
      <c r="A5" s="4" t="s">
        <v>14</v>
      </c>
      <c r="B5" s="5">
        <v>33516</v>
      </c>
      <c r="C5">
        <f t="shared" ref="C5:C68" ca="1" si="1">INT((TODAY()-B5)/365.25)</f>
        <v>33</v>
      </c>
      <c r="D5" t="str">
        <f t="shared" ref="D5:D67" ca="1" si="2">IF(OR(ISBLANK(C5), C5 ="N/A"), "N/A",
  IF(VALUE(C5) &lt; 18, "0–17",
    IF(VALUE(C5) &lt; 25, "18–24",
      IF(VALUE(C5) &lt; 35, "25–34",
        IF(VALUE(C5) &lt; 45, "35–44",
          IF(VALUE(C5) &lt; 55, "45–54",
            IF(VALUE(C5) &lt; 65, "55–64", "65+")
          )
        )
      )
    )
  )
)</f>
        <v>25–34</v>
      </c>
      <c r="E5" t="s">
        <v>225</v>
      </c>
      <c r="F5" t="s">
        <v>228</v>
      </c>
      <c r="G5" t="s">
        <v>241</v>
      </c>
      <c r="H5" t="str">
        <f t="shared" si="0"/>
        <v>BAME</v>
      </c>
      <c r="I5" t="s">
        <v>247</v>
      </c>
      <c r="J5" t="s">
        <v>250</v>
      </c>
      <c r="K5" s="5">
        <v>45494</v>
      </c>
      <c r="L5" s="7" t="str">
        <f t="shared" ref="L5:L68" si="3">TEXT(K5,"mmmm yyyyy")</f>
        <v>July 2024</v>
      </c>
      <c r="M5" s="5">
        <v>45509</v>
      </c>
      <c r="N5" s="5">
        <f>IF(ISNUMBER(Table32[[#This Row],[Date Assessed]]),Table32[[#This Row],[Date Assessed]], DATE(1900,1,1))</f>
        <v>45509</v>
      </c>
      <c r="O5" s="13">
        <f>IF(OR(Table32[[#This Row],[Date Assessed]]="N/A",  Table32[[#This Row],[Date Referred]] = "N/A"), "N/A",  Table32[[#This Row],[Date Assessed]]-Table32[[#This Row],[Date Referred]])</f>
        <v>15</v>
      </c>
      <c r="P5" s="18">
        <v>45543</v>
      </c>
      <c r="Q5" s="5">
        <f>IF(ISNUMBER(Table32[[#This Row],[Date Allocated]]),Table32[[#This Row],[Date Allocated]],DATE(1900,1,1))</f>
        <v>45543</v>
      </c>
      <c r="R5" s="14">
        <f>IF(OR(Table32[[#This Row],[Date Assessed]]="N/A",Table32[[#This Row],[Date Allocated]]="N/A"),"N/A",Table32[[#This Row],[Date Allocated]]-Table32[[#This Row],[Date Assessed]])</f>
        <v>34</v>
      </c>
      <c r="S5" s="5">
        <v>45709</v>
      </c>
      <c r="T5" t="s">
        <v>255</v>
      </c>
      <c r="U5" t="s">
        <v>263</v>
      </c>
    </row>
    <row r="6" spans="1:21" x14ac:dyDescent="0.2">
      <c r="A6" s="4" t="s">
        <v>16</v>
      </c>
      <c r="B6" s="5">
        <v>21725</v>
      </c>
      <c r="C6">
        <f t="shared" ca="1" si="1"/>
        <v>66</v>
      </c>
      <c r="D6" t="str">
        <f t="shared" ca="1" si="2"/>
        <v>65+</v>
      </c>
      <c r="E6" t="s">
        <v>225</v>
      </c>
      <c r="F6" t="s">
        <v>228</v>
      </c>
      <c r="G6" t="s">
        <v>242</v>
      </c>
      <c r="H6" t="str">
        <f t="shared" si="0"/>
        <v>White</v>
      </c>
      <c r="I6" t="s">
        <v>247</v>
      </c>
      <c r="J6" t="s">
        <v>227</v>
      </c>
      <c r="K6" s="5">
        <v>45501</v>
      </c>
      <c r="L6" s="7" t="str">
        <f t="shared" si="3"/>
        <v>July 2024</v>
      </c>
      <c r="M6" s="5">
        <v>45528</v>
      </c>
      <c r="N6" s="5">
        <f>IF(ISNUMBER(Table32[[#This Row],[Date Assessed]]),Table32[[#This Row],[Date Assessed]], DATE(1900,1,1))</f>
        <v>45528</v>
      </c>
      <c r="O6" s="13">
        <f>IF(OR(Table32[[#This Row],[Date Assessed]]="N/A",  Table32[[#This Row],[Date Referred]] = "N/A"), "N/A",  Table32[[#This Row],[Date Assessed]]-Table32[[#This Row],[Date Referred]])</f>
        <v>27</v>
      </c>
      <c r="P6" s="18">
        <v>45563</v>
      </c>
      <c r="Q6" s="5">
        <f>IF(ISNUMBER(Table32[[#This Row],[Date Allocated]]),Table32[[#This Row],[Date Allocated]],DATE(1900,1,1))</f>
        <v>45563</v>
      </c>
      <c r="R6" s="14">
        <f>IF(OR(Table32[[#This Row],[Date Assessed]]="N/A",Table32[[#This Row],[Date Allocated]]="N/A"),"N/A",Table32[[#This Row],[Date Allocated]]-Table32[[#This Row],[Date Assessed]])</f>
        <v>35</v>
      </c>
      <c r="S6" s="5">
        <v>45731</v>
      </c>
      <c r="T6" t="s">
        <v>255</v>
      </c>
      <c r="U6" t="s">
        <v>272</v>
      </c>
    </row>
    <row r="7" spans="1:21" x14ac:dyDescent="0.2">
      <c r="A7" s="4" t="s">
        <v>17</v>
      </c>
      <c r="B7" s="5">
        <v>37030</v>
      </c>
      <c r="C7">
        <f t="shared" ca="1" si="1"/>
        <v>24</v>
      </c>
      <c r="D7" t="str">
        <f t="shared" ca="1" si="2"/>
        <v>18–24</v>
      </c>
      <c r="E7" t="s">
        <v>225</v>
      </c>
      <c r="F7" t="s">
        <v>229</v>
      </c>
      <c r="G7" t="s">
        <v>243</v>
      </c>
      <c r="H7" t="str">
        <f t="shared" si="0"/>
        <v>BAME</v>
      </c>
      <c r="I7" t="s">
        <v>247</v>
      </c>
      <c r="J7" t="s">
        <v>251</v>
      </c>
      <c r="K7" s="5">
        <v>45422</v>
      </c>
      <c r="L7" s="7" t="str">
        <f t="shared" si="3"/>
        <v>May 2024</v>
      </c>
      <c r="M7" s="5">
        <v>45448</v>
      </c>
      <c r="N7" s="5">
        <f>IF(ISNUMBER(Table32[[#This Row],[Date Assessed]]),Table32[[#This Row],[Date Assessed]], DATE(1900,1,1))</f>
        <v>45448</v>
      </c>
      <c r="O7" s="13">
        <f>IF(OR(Table32[[#This Row],[Date Assessed]]="N/A",  Table32[[#This Row],[Date Referred]] = "N/A"), "N/A",  Table32[[#This Row],[Date Assessed]]-Table32[[#This Row],[Date Referred]])</f>
        <v>26</v>
      </c>
      <c r="P7" s="18">
        <v>45475</v>
      </c>
      <c r="Q7" s="5">
        <f>IF(ISNUMBER(Table32[[#This Row],[Date Allocated]]),Table32[[#This Row],[Date Allocated]],DATE(1900,1,1))</f>
        <v>45475</v>
      </c>
      <c r="R7" s="14">
        <f>IF(OR(Table32[[#This Row],[Date Assessed]]="N/A",Table32[[#This Row],[Date Allocated]]="N/A"),"N/A",Table32[[#This Row],[Date Allocated]]-Table32[[#This Row],[Date Assessed]])</f>
        <v>27</v>
      </c>
      <c r="S7" s="5">
        <v>45601</v>
      </c>
      <c r="T7" t="s">
        <v>255</v>
      </c>
      <c r="U7" t="s">
        <v>272</v>
      </c>
    </row>
    <row r="8" spans="1:21" x14ac:dyDescent="0.2">
      <c r="A8" s="4" t="s">
        <v>18</v>
      </c>
      <c r="B8" s="5">
        <v>33380</v>
      </c>
      <c r="C8">
        <f t="shared" ca="1" si="1"/>
        <v>34</v>
      </c>
      <c r="D8" t="str">
        <f t="shared" ca="1" si="2"/>
        <v>25–34</v>
      </c>
      <c r="E8" t="s">
        <v>225</v>
      </c>
      <c r="F8" t="s">
        <v>228</v>
      </c>
      <c r="G8" t="s">
        <v>242</v>
      </c>
      <c r="H8" t="str">
        <f t="shared" si="0"/>
        <v>White</v>
      </c>
      <c r="I8" t="s">
        <v>247</v>
      </c>
      <c r="J8" t="s">
        <v>250</v>
      </c>
      <c r="K8" s="5">
        <v>45462</v>
      </c>
      <c r="L8" s="7" t="str">
        <f t="shared" si="3"/>
        <v>June 2024</v>
      </c>
      <c r="M8" s="5">
        <v>45473</v>
      </c>
      <c r="N8" s="5">
        <f>IF(ISNUMBER(Table32[[#This Row],[Date Assessed]]),Table32[[#This Row],[Date Assessed]], DATE(1900,1,1))</f>
        <v>45473</v>
      </c>
      <c r="O8" s="13">
        <f>IF(OR(Table32[[#This Row],[Date Assessed]]="N/A",  Table32[[#This Row],[Date Referred]] = "N/A"), "N/A",  Table32[[#This Row],[Date Assessed]]-Table32[[#This Row],[Date Referred]])</f>
        <v>11</v>
      </c>
      <c r="P8" s="18">
        <v>45485</v>
      </c>
      <c r="Q8" s="5">
        <f>IF(ISNUMBER(Table32[[#This Row],[Date Allocated]]),Table32[[#This Row],[Date Allocated]],DATE(1900,1,1))</f>
        <v>45485</v>
      </c>
      <c r="R8" s="14">
        <f>IF(OR(Table32[[#This Row],[Date Assessed]]="N/A",Table32[[#This Row],[Date Allocated]]="N/A"),"N/A",Table32[[#This Row],[Date Allocated]]-Table32[[#This Row],[Date Assessed]])</f>
        <v>12</v>
      </c>
      <c r="S8" s="5">
        <v>45613</v>
      </c>
      <c r="T8" t="s">
        <v>255</v>
      </c>
      <c r="U8" t="s">
        <v>263</v>
      </c>
    </row>
    <row r="9" spans="1:21" x14ac:dyDescent="0.2">
      <c r="A9" s="4" t="s">
        <v>19</v>
      </c>
      <c r="B9" s="5">
        <v>24511</v>
      </c>
      <c r="C9">
        <f t="shared" ca="1" si="1"/>
        <v>58</v>
      </c>
      <c r="D9" t="str">
        <f t="shared" ca="1" si="2"/>
        <v>55–64</v>
      </c>
      <c r="E9" t="s">
        <v>225</v>
      </c>
      <c r="F9" t="s">
        <v>229</v>
      </c>
      <c r="G9" t="s">
        <v>243</v>
      </c>
      <c r="H9" t="str">
        <f t="shared" si="0"/>
        <v>BAME</v>
      </c>
      <c r="I9" t="s">
        <v>247</v>
      </c>
      <c r="J9" t="s">
        <v>252</v>
      </c>
      <c r="K9" s="5">
        <v>45622</v>
      </c>
      <c r="L9" s="7" t="str">
        <f t="shared" si="3"/>
        <v>November 2024</v>
      </c>
      <c r="M9" s="5">
        <v>45666</v>
      </c>
      <c r="N9" s="5">
        <f>IF(ISNUMBER(Table32[[#This Row],[Date Assessed]]),Table32[[#This Row],[Date Assessed]], DATE(1900,1,1))</f>
        <v>45666</v>
      </c>
      <c r="O9" s="13">
        <f>IF(OR(Table32[[#This Row],[Date Assessed]]="N/A",  Table32[[#This Row],[Date Referred]] = "N/A"), "N/A",  Table32[[#This Row],[Date Assessed]]-Table32[[#This Row],[Date Referred]])</f>
        <v>44</v>
      </c>
      <c r="P9" s="18">
        <v>45680</v>
      </c>
      <c r="Q9" s="5">
        <f>IF(ISNUMBER(Table32[[#This Row],[Date Allocated]]),Table32[[#This Row],[Date Allocated]],DATE(1900,1,1))</f>
        <v>45680</v>
      </c>
      <c r="R9" s="14">
        <f>IF(OR(Table32[[#This Row],[Date Assessed]]="N/A",Table32[[#This Row],[Date Allocated]]="N/A"),"N/A",Table32[[#This Row],[Date Allocated]]-Table32[[#This Row],[Date Assessed]])</f>
        <v>14</v>
      </c>
      <c r="S9" s="5">
        <v>45817</v>
      </c>
      <c r="T9" t="s">
        <v>255</v>
      </c>
      <c r="U9" t="s">
        <v>261</v>
      </c>
    </row>
    <row r="10" spans="1:21" x14ac:dyDescent="0.2">
      <c r="A10" s="4" t="s">
        <v>20</v>
      </c>
      <c r="B10" s="5">
        <v>22164</v>
      </c>
      <c r="C10">
        <f t="shared" ca="1" si="1"/>
        <v>65</v>
      </c>
      <c r="D10" t="str">
        <f t="shared" ca="1" si="2"/>
        <v>65+</v>
      </c>
      <c r="E10" t="s">
        <v>225</v>
      </c>
      <c r="F10" t="s">
        <v>230</v>
      </c>
      <c r="G10" t="s">
        <v>243</v>
      </c>
      <c r="H10" t="str">
        <f t="shared" si="0"/>
        <v>BAME</v>
      </c>
      <c r="I10" t="s">
        <v>247</v>
      </c>
      <c r="J10" t="s">
        <v>250</v>
      </c>
      <c r="K10" s="5">
        <v>45644</v>
      </c>
      <c r="L10" s="7" t="str">
        <f t="shared" si="3"/>
        <v>December 2024</v>
      </c>
      <c r="M10" s="5">
        <v>45678</v>
      </c>
      <c r="N10" s="5">
        <f>IF(ISNUMBER(Table32[[#This Row],[Date Assessed]]),Table32[[#This Row],[Date Assessed]], DATE(1900,1,1))</f>
        <v>45678</v>
      </c>
      <c r="O10" s="13">
        <f>IF(OR(Table32[[#This Row],[Date Assessed]]="N/A",  Table32[[#This Row],[Date Referred]] = "N/A"), "N/A",  Table32[[#This Row],[Date Assessed]]-Table32[[#This Row],[Date Referred]])</f>
        <v>34</v>
      </c>
      <c r="P10" s="18">
        <v>45731</v>
      </c>
      <c r="Q10" s="5">
        <f>IF(ISNUMBER(Table32[[#This Row],[Date Allocated]]),Table32[[#This Row],[Date Allocated]],DATE(1900,1,1))</f>
        <v>45731</v>
      </c>
      <c r="R10" s="14">
        <f>IF(OR(Table32[[#This Row],[Date Assessed]]="N/A",Table32[[#This Row],[Date Allocated]]="N/A"),"N/A",Table32[[#This Row],[Date Allocated]]-Table32[[#This Row],[Date Assessed]])</f>
        <v>53</v>
      </c>
      <c r="S10" s="5" t="s">
        <v>226</v>
      </c>
      <c r="T10" t="s">
        <v>260</v>
      </c>
      <c r="U10" t="s">
        <v>262</v>
      </c>
    </row>
    <row r="11" spans="1:21" x14ac:dyDescent="0.2">
      <c r="A11" s="4" t="s">
        <v>21</v>
      </c>
      <c r="B11" s="5">
        <v>30515</v>
      </c>
      <c r="C11">
        <f t="shared" ca="1" si="1"/>
        <v>42</v>
      </c>
      <c r="D11" t="str">
        <f t="shared" ca="1" si="2"/>
        <v>35–44</v>
      </c>
      <c r="E11" t="s">
        <v>225</v>
      </c>
      <c r="F11" t="s">
        <v>228</v>
      </c>
      <c r="G11" t="s">
        <v>242</v>
      </c>
      <c r="H11" t="str">
        <f t="shared" si="0"/>
        <v>White</v>
      </c>
      <c r="I11" t="s">
        <v>247</v>
      </c>
      <c r="J11" t="s">
        <v>252</v>
      </c>
      <c r="K11" s="5">
        <v>45502</v>
      </c>
      <c r="L11" s="7" t="str">
        <f t="shared" si="3"/>
        <v>July 2024</v>
      </c>
      <c r="M11" s="5">
        <v>45522</v>
      </c>
      <c r="N11" s="5">
        <f>IF(ISNUMBER(Table32[[#This Row],[Date Assessed]]),Table32[[#This Row],[Date Assessed]], DATE(1900,1,1))</f>
        <v>45522</v>
      </c>
      <c r="O11" s="13">
        <f>IF(OR(Table32[[#This Row],[Date Assessed]]="N/A",  Table32[[#This Row],[Date Referred]] = "N/A"), "N/A",  Table32[[#This Row],[Date Assessed]]-Table32[[#This Row],[Date Referred]])</f>
        <v>20</v>
      </c>
      <c r="P11" s="18">
        <v>45570</v>
      </c>
      <c r="Q11" s="5">
        <f>IF(ISNUMBER(Table32[[#This Row],[Date Allocated]]),Table32[[#This Row],[Date Allocated]],DATE(1900,1,1))</f>
        <v>45570</v>
      </c>
      <c r="R11" s="14">
        <f>IF(OR(Table32[[#This Row],[Date Assessed]]="N/A",Table32[[#This Row],[Date Allocated]]="N/A"),"N/A",Table32[[#This Row],[Date Allocated]]-Table32[[#This Row],[Date Assessed]])</f>
        <v>48</v>
      </c>
      <c r="S11" s="5" t="s">
        <v>226</v>
      </c>
      <c r="T11" t="s">
        <v>260</v>
      </c>
      <c r="U11" t="s">
        <v>272</v>
      </c>
    </row>
    <row r="12" spans="1:21" x14ac:dyDescent="0.2">
      <c r="A12" s="4" t="s">
        <v>22</v>
      </c>
      <c r="B12" s="5">
        <v>30776</v>
      </c>
      <c r="C12">
        <f t="shared" ca="1" si="1"/>
        <v>41</v>
      </c>
      <c r="D12" t="str">
        <f t="shared" ca="1" si="2"/>
        <v>35–44</v>
      </c>
      <c r="E12" t="s">
        <v>225</v>
      </c>
      <c r="F12" t="s">
        <v>230</v>
      </c>
      <c r="G12" t="s">
        <v>243</v>
      </c>
      <c r="H12" t="str">
        <f t="shared" si="0"/>
        <v>BAME</v>
      </c>
      <c r="I12" t="s">
        <v>247</v>
      </c>
      <c r="J12" t="s">
        <v>251</v>
      </c>
      <c r="K12" s="5">
        <v>45499</v>
      </c>
      <c r="L12" s="7" t="str">
        <f t="shared" si="3"/>
        <v>July 2024</v>
      </c>
      <c r="M12" s="5">
        <v>45513</v>
      </c>
      <c r="N12" s="5">
        <f>IF(ISNUMBER(Table32[[#This Row],[Date Assessed]]),Table32[[#This Row],[Date Assessed]], DATE(1900,1,1))</f>
        <v>45513</v>
      </c>
      <c r="O12" s="13">
        <f>IF(OR(Table32[[#This Row],[Date Assessed]]="N/A",  Table32[[#This Row],[Date Referred]] = "N/A"), "N/A",  Table32[[#This Row],[Date Assessed]]-Table32[[#This Row],[Date Referred]])</f>
        <v>14</v>
      </c>
      <c r="P12" s="18">
        <v>45533</v>
      </c>
      <c r="Q12" s="5">
        <f>IF(ISNUMBER(Table32[[#This Row],[Date Allocated]]),Table32[[#This Row],[Date Allocated]],DATE(1900,1,1))</f>
        <v>45533</v>
      </c>
      <c r="R12" s="14">
        <f>IF(OR(Table32[[#This Row],[Date Assessed]]="N/A",Table32[[#This Row],[Date Allocated]]="N/A"),"N/A",Table32[[#This Row],[Date Allocated]]-Table32[[#This Row],[Date Assessed]])</f>
        <v>20</v>
      </c>
      <c r="S12" s="5">
        <v>45713</v>
      </c>
      <c r="T12" t="s">
        <v>255</v>
      </c>
      <c r="U12" t="s">
        <v>264</v>
      </c>
    </row>
    <row r="13" spans="1:21" x14ac:dyDescent="0.2">
      <c r="A13" s="4" t="s">
        <v>23</v>
      </c>
      <c r="B13" s="5">
        <v>33887</v>
      </c>
      <c r="C13">
        <f t="shared" ca="1" si="1"/>
        <v>32</v>
      </c>
      <c r="D13" t="str">
        <f t="shared" ca="1" si="2"/>
        <v>25–34</v>
      </c>
      <c r="E13" t="s">
        <v>225</v>
      </c>
      <c r="F13" t="s">
        <v>228</v>
      </c>
      <c r="G13" t="s">
        <v>243</v>
      </c>
      <c r="H13" t="str">
        <f t="shared" si="0"/>
        <v>BAME</v>
      </c>
      <c r="I13" t="s">
        <v>247</v>
      </c>
      <c r="J13" t="s">
        <v>252</v>
      </c>
      <c r="K13" s="5">
        <v>45412</v>
      </c>
      <c r="L13" s="7" t="str">
        <f t="shared" si="3"/>
        <v>April 2024</v>
      </c>
      <c r="M13" s="5">
        <v>45426</v>
      </c>
      <c r="N13" s="5">
        <f>IF(ISNUMBER(Table32[[#This Row],[Date Assessed]]),Table32[[#This Row],[Date Assessed]], DATE(1900,1,1))</f>
        <v>45426</v>
      </c>
      <c r="O13" s="13">
        <f>IF(OR(Table32[[#This Row],[Date Assessed]]="N/A",  Table32[[#This Row],[Date Referred]] = "N/A"), "N/A",  Table32[[#This Row],[Date Assessed]]-Table32[[#This Row],[Date Referred]])</f>
        <v>14</v>
      </c>
      <c r="P13" s="18">
        <v>45475</v>
      </c>
      <c r="Q13" s="5">
        <f>IF(ISNUMBER(Table32[[#This Row],[Date Allocated]]),Table32[[#This Row],[Date Allocated]],DATE(1900,1,1))</f>
        <v>45475</v>
      </c>
      <c r="R13" s="14">
        <f>IF(OR(Table32[[#This Row],[Date Assessed]]="N/A",Table32[[#This Row],[Date Allocated]]="N/A"),"N/A",Table32[[#This Row],[Date Allocated]]-Table32[[#This Row],[Date Assessed]])</f>
        <v>49</v>
      </c>
      <c r="S13" s="5">
        <v>45625</v>
      </c>
      <c r="T13" t="s">
        <v>255</v>
      </c>
      <c r="U13" t="s">
        <v>261</v>
      </c>
    </row>
    <row r="14" spans="1:21" x14ac:dyDescent="0.2">
      <c r="A14" s="4" t="s">
        <v>24</v>
      </c>
      <c r="B14" s="5">
        <v>32408</v>
      </c>
      <c r="C14">
        <f t="shared" ca="1" si="1"/>
        <v>37</v>
      </c>
      <c r="D14" t="str">
        <f t="shared" ca="1" si="2"/>
        <v>35–44</v>
      </c>
      <c r="E14" t="s">
        <v>225</v>
      </c>
      <c r="F14" t="s">
        <v>231</v>
      </c>
      <c r="G14" t="s">
        <v>241</v>
      </c>
      <c r="H14" t="str">
        <f t="shared" si="0"/>
        <v>BAME</v>
      </c>
      <c r="I14" t="s">
        <v>247</v>
      </c>
      <c r="J14" t="s">
        <v>252</v>
      </c>
      <c r="K14" s="5">
        <v>45363</v>
      </c>
      <c r="L14" s="7" t="str">
        <f t="shared" si="3"/>
        <v>March 2024</v>
      </c>
      <c r="M14" s="5">
        <v>45411</v>
      </c>
      <c r="N14" s="5">
        <f>IF(ISNUMBER(Table32[[#This Row],[Date Assessed]]),Table32[[#This Row],[Date Assessed]], DATE(1900,1,1))</f>
        <v>45411</v>
      </c>
      <c r="O14" s="13">
        <f>IF(OR(Table32[[#This Row],[Date Assessed]]="N/A",  Table32[[#This Row],[Date Referred]] = "N/A"), "N/A",  Table32[[#This Row],[Date Assessed]]-Table32[[#This Row],[Date Referred]])</f>
        <v>48</v>
      </c>
      <c r="P14" s="18">
        <v>45450</v>
      </c>
      <c r="Q14" s="5">
        <f>IF(ISNUMBER(Table32[[#This Row],[Date Allocated]]),Table32[[#This Row],[Date Allocated]],DATE(1900,1,1))</f>
        <v>45450</v>
      </c>
      <c r="R14" s="14">
        <f>IF(OR(Table32[[#This Row],[Date Assessed]]="N/A",Table32[[#This Row],[Date Allocated]]="N/A"),"N/A",Table32[[#This Row],[Date Allocated]]-Table32[[#This Row],[Date Assessed]])</f>
        <v>39</v>
      </c>
      <c r="S14" s="5">
        <v>45624</v>
      </c>
      <c r="T14" t="s">
        <v>255</v>
      </c>
      <c r="U14" t="s">
        <v>272</v>
      </c>
    </row>
    <row r="15" spans="1:21" x14ac:dyDescent="0.2">
      <c r="A15" s="4" t="s">
        <v>25</v>
      </c>
      <c r="B15" s="5">
        <v>31041</v>
      </c>
      <c r="C15">
        <f t="shared" ca="1" si="1"/>
        <v>40</v>
      </c>
      <c r="D15" t="str">
        <f t="shared" ca="1" si="2"/>
        <v>35–44</v>
      </c>
      <c r="E15" t="s">
        <v>225</v>
      </c>
      <c r="F15" t="s">
        <v>231</v>
      </c>
      <c r="G15" t="s">
        <v>241</v>
      </c>
      <c r="H15" t="str">
        <f t="shared" si="0"/>
        <v>BAME</v>
      </c>
      <c r="I15" t="s">
        <v>247</v>
      </c>
      <c r="J15" t="s">
        <v>250</v>
      </c>
      <c r="K15" s="5">
        <v>45477</v>
      </c>
      <c r="L15" s="7" t="str">
        <f t="shared" si="3"/>
        <v>July 2024</v>
      </c>
      <c r="M15" s="5">
        <v>45495</v>
      </c>
      <c r="N15" s="5">
        <f>IF(ISNUMBER(Table32[[#This Row],[Date Assessed]]),Table32[[#This Row],[Date Assessed]], DATE(1900,1,1))</f>
        <v>45495</v>
      </c>
      <c r="O15" s="13">
        <f>IF(OR(Table32[[#This Row],[Date Assessed]]="N/A",  Table32[[#This Row],[Date Referred]] = "N/A"), "N/A",  Table32[[#This Row],[Date Assessed]]-Table32[[#This Row],[Date Referred]])</f>
        <v>18</v>
      </c>
      <c r="P15" s="18">
        <v>45507</v>
      </c>
      <c r="Q15" s="5">
        <f>IF(ISNUMBER(Table32[[#This Row],[Date Allocated]]),Table32[[#This Row],[Date Allocated]],DATE(1900,1,1))</f>
        <v>45507</v>
      </c>
      <c r="R15" s="14">
        <f>IF(OR(Table32[[#This Row],[Date Assessed]]="N/A",Table32[[#This Row],[Date Allocated]]="N/A"),"N/A",Table32[[#This Row],[Date Allocated]]-Table32[[#This Row],[Date Assessed]])</f>
        <v>12</v>
      </c>
      <c r="S15" s="5">
        <v>45669</v>
      </c>
      <c r="T15" t="s">
        <v>255</v>
      </c>
      <c r="U15" t="s">
        <v>264</v>
      </c>
    </row>
    <row r="16" spans="1:21" x14ac:dyDescent="0.2">
      <c r="A16" s="4" t="s">
        <v>26</v>
      </c>
      <c r="B16" s="5">
        <v>33122</v>
      </c>
      <c r="C16">
        <f t="shared" ca="1" si="1"/>
        <v>35</v>
      </c>
      <c r="D16" t="str">
        <f t="shared" ca="1" si="2"/>
        <v>35–44</v>
      </c>
      <c r="E16" t="s">
        <v>225</v>
      </c>
      <c r="F16" t="s">
        <v>228</v>
      </c>
      <c r="G16" t="s">
        <v>242</v>
      </c>
      <c r="H16" t="str">
        <f t="shared" si="0"/>
        <v>White</v>
      </c>
      <c r="I16" t="s">
        <v>247</v>
      </c>
      <c r="J16" t="s">
        <v>252</v>
      </c>
      <c r="K16" s="5">
        <v>45567</v>
      </c>
      <c r="L16" s="7" t="str">
        <f t="shared" si="3"/>
        <v>October 2024</v>
      </c>
      <c r="M16" s="5">
        <v>45590</v>
      </c>
      <c r="N16" s="5">
        <f>IF(ISNUMBER(Table32[[#This Row],[Date Assessed]]),Table32[[#This Row],[Date Assessed]], DATE(1900,1,1))</f>
        <v>45590</v>
      </c>
      <c r="O16" s="13">
        <f>IF(OR(Table32[[#This Row],[Date Assessed]]="N/A",  Table32[[#This Row],[Date Referred]] = "N/A"), "N/A",  Table32[[#This Row],[Date Assessed]]-Table32[[#This Row],[Date Referred]])</f>
        <v>23</v>
      </c>
      <c r="P16" s="18">
        <v>45624</v>
      </c>
      <c r="Q16" s="5">
        <f>IF(ISNUMBER(Table32[[#This Row],[Date Allocated]]),Table32[[#This Row],[Date Allocated]],DATE(1900,1,1))</f>
        <v>45624</v>
      </c>
      <c r="R16" s="14">
        <f>IF(OR(Table32[[#This Row],[Date Assessed]]="N/A",Table32[[#This Row],[Date Allocated]]="N/A"),"N/A",Table32[[#This Row],[Date Allocated]]-Table32[[#This Row],[Date Assessed]])</f>
        <v>34</v>
      </c>
      <c r="S16" s="5" t="s">
        <v>226</v>
      </c>
      <c r="T16" t="s">
        <v>260</v>
      </c>
      <c r="U16" t="s">
        <v>272</v>
      </c>
    </row>
    <row r="17" spans="1:21" x14ac:dyDescent="0.2">
      <c r="A17" s="4" t="s">
        <v>27</v>
      </c>
      <c r="B17" s="5">
        <v>27623</v>
      </c>
      <c r="C17">
        <f t="shared" ca="1" si="1"/>
        <v>50</v>
      </c>
      <c r="D17" t="str">
        <f t="shared" ca="1" si="2"/>
        <v>45–54</v>
      </c>
      <c r="E17" t="s">
        <v>225</v>
      </c>
      <c r="F17" t="s">
        <v>229</v>
      </c>
      <c r="G17" t="s">
        <v>243</v>
      </c>
      <c r="H17" t="str">
        <f t="shared" si="0"/>
        <v>BAME</v>
      </c>
      <c r="I17" t="s">
        <v>247</v>
      </c>
      <c r="J17" t="s">
        <v>250</v>
      </c>
      <c r="K17" s="5">
        <v>45539</v>
      </c>
      <c r="L17" s="7" t="str">
        <f t="shared" si="3"/>
        <v>September 2024</v>
      </c>
      <c r="M17" s="5">
        <v>45588</v>
      </c>
      <c r="N17" s="5">
        <f>IF(ISNUMBER(Table32[[#This Row],[Date Assessed]]),Table32[[#This Row],[Date Assessed]], DATE(1900,1,1))</f>
        <v>45588</v>
      </c>
      <c r="O17" s="13">
        <f>IF(OR(Table32[[#This Row],[Date Assessed]]="N/A",  Table32[[#This Row],[Date Referred]] = "N/A"), "N/A",  Table32[[#This Row],[Date Assessed]]-Table32[[#This Row],[Date Referred]])</f>
        <v>49</v>
      </c>
      <c r="P17" s="18">
        <v>45628</v>
      </c>
      <c r="Q17" s="5">
        <f>IF(ISNUMBER(Table32[[#This Row],[Date Allocated]]),Table32[[#This Row],[Date Allocated]],DATE(1900,1,1))</f>
        <v>45628</v>
      </c>
      <c r="R17" s="14">
        <f>IF(OR(Table32[[#This Row],[Date Assessed]]="N/A",Table32[[#This Row],[Date Allocated]]="N/A"),"N/A",Table32[[#This Row],[Date Allocated]]-Table32[[#This Row],[Date Assessed]])</f>
        <v>40</v>
      </c>
      <c r="S17" s="5" t="s">
        <v>226</v>
      </c>
      <c r="T17" t="s">
        <v>260</v>
      </c>
      <c r="U17" t="s">
        <v>264</v>
      </c>
    </row>
    <row r="18" spans="1:21" x14ac:dyDescent="0.2">
      <c r="A18" s="4" t="s">
        <v>28</v>
      </c>
      <c r="B18" s="5">
        <v>31485</v>
      </c>
      <c r="C18">
        <f t="shared" ca="1" si="1"/>
        <v>39</v>
      </c>
      <c r="D18" t="str">
        <f t="shared" ca="1" si="2"/>
        <v>35–44</v>
      </c>
      <c r="E18" t="s">
        <v>225</v>
      </c>
      <c r="F18" t="s">
        <v>228</v>
      </c>
      <c r="G18" t="s">
        <v>242</v>
      </c>
      <c r="H18" t="str">
        <f t="shared" si="0"/>
        <v>White</v>
      </c>
      <c r="I18" t="s">
        <v>246</v>
      </c>
      <c r="J18" t="s">
        <v>252</v>
      </c>
      <c r="K18" s="5">
        <v>45413</v>
      </c>
      <c r="L18" s="7" t="str">
        <f t="shared" si="3"/>
        <v>May 2024</v>
      </c>
      <c r="M18" s="5">
        <v>45454</v>
      </c>
      <c r="N18" s="5">
        <f>IF(ISNUMBER(Table32[[#This Row],[Date Assessed]]),Table32[[#This Row],[Date Assessed]], DATE(1900,1,1))</f>
        <v>45454</v>
      </c>
      <c r="O18" s="13">
        <f>IF(OR(Table32[[#This Row],[Date Assessed]]="N/A",  Table32[[#This Row],[Date Referred]] = "N/A"), "N/A",  Table32[[#This Row],[Date Assessed]]-Table32[[#This Row],[Date Referred]])</f>
        <v>41</v>
      </c>
      <c r="P18" s="18">
        <v>45503</v>
      </c>
      <c r="Q18" s="5">
        <f>IF(ISNUMBER(Table32[[#This Row],[Date Allocated]]),Table32[[#This Row],[Date Allocated]],DATE(1900,1,1))</f>
        <v>45503</v>
      </c>
      <c r="R18" s="14">
        <f>IF(OR(Table32[[#This Row],[Date Assessed]]="N/A",Table32[[#This Row],[Date Allocated]]="N/A"),"N/A",Table32[[#This Row],[Date Allocated]]-Table32[[#This Row],[Date Assessed]])</f>
        <v>49</v>
      </c>
      <c r="S18" s="5">
        <v>45628</v>
      </c>
      <c r="T18" t="s">
        <v>255</v>
      </c>
      <c r="U18" t="s">
        <v>272</v>
      </c>
    </row>
    <row r="19" spans="1:21" x14ac:dyDescent="0.2">
      <c r="A19" s="4" t="s">
        <v>29</v>
      </c>
      <c r="B19" s="5">
        <v>29876</v>
      </c>
      <c r="C19">
        <f t="shared" ca="1" si="1"/>
        <v>43</v>
      </c>
      <c r="D19" t="str">
        <f t="shared" ca="1" si="2"/>
        <v>35–44</v>
      </c>
      <c r="E19" t="s">
        <v>224</v>
      </c>
      <c r="F19" t="s">
        <v>229</v>
      </c>
      <c r="G19" t="s">
        <v>243</v>
      </c>
      <c r="H19" t="str">
        <f t="shared" si="0"/>
        <v>BAME</v>
      </c>
      <c r="I19" t="s">
        <v>247</v>
      </c>
      <c r="J19" t="s">
        <v>252</v>
      </c>
      <c r="K19" s="5">
        <v>45433</v>
      </c>
      <c r="L19" s="7" t="str">
        <f t="shared" si="3"/>
        <v>May 2024</v>
      </c>
      <c r="M19" s="5">
        <v>45464</v>
      </c>
      <c r="N19" s="5">
        <f>IF(ISNUMBER(Table32[[#This Row],[Date Assessed]]),Table32[[#This Row],[Date Assessed]], DATE(1900,1,1))</f>
        <v>45464</v>
      </c>
      <c r="O19" s="13">
        <f>IF(OR(Table32[[#This Row],[Date Assessed]]="N/A",  Table32[[#This Row],[Date Referred]] = "N/A"), "N/A",  Table32[[#This Row],[Date Assessed]]-Table32[[#This Row],[Date Referred]])</f>
        <v>31</v>
      </c>
      <c r="P19" s="18">
        <v>45508</v>
      </c>
      <c r="Q19" s="5">
        <f>IF(ISNUMBER(Table32[[#This Row],[Date Allocated]]),Table32[[#This Row],[Date Allocated]],DATE(1900,1,1))</f>
        <v>45508</v>
      </c>
      <c r="R19" s="14">
        <f>IF(OR(Table32[[#This Row],[Date Assessed]]="N/A",Table32[[#This Row],[Date Allocated]]="N/A"),"N/A",Table32[[#This Row],[Date Allocated]]-Table32[[#This Row],[Date Assessed]])</f>
        <v>44</v>
      </c>
      <c r="S19" s="5">
        <v>45657</v>
      </c>
      <c r="T19" t="s">
        <v>255</v>
      </c>
      <c r="U19" t="s">
        <v>272</v>
      </c>
    </row>
    <row r="20" spans="1:21" x14ac:dyDescent="0.2">
      <c r="A20" s="4" t="s">
        <v>30</v>
      </c>
      <c r="B20" s="5">
        <v>27428</v>
      </c>
      <c r="C20">
        <f t="shared" ca="1" si="1"/>
        <v>50</v>
      </c>
      <c r="D20" t="str">
        <f t="shared" ca="1" si="2"/>
        <v>45–54</v>
      </c>
      <c r="E20" t="s">
        <v>224</v>
      </c>
      <c r="F20" t="s">
        <v>230</v>
      </c>
      <c r="G20" t="s">
        <v>243</v>
      </c>
      <c r="H20" t="str">
        <f t="shared" si="0"/>
        <v>BAME</v>
      </c>
      <c r="I20" t="s">
        <v>247</v>
      </c>
      <c r="J20" t="s">
        <v>250</v>
      </c>
      <c r="K20" s="5">
        <v>45656</v>
      </c>
      <c r="L20" s="7" t="str">
        <f t="shared" si="3"/>
        <v>December 2024</v>
      </c>
      <c r="M20" s="5" t="s">
        <v>226</v>
      </c>
      <c r="N20" s="5">
        <f>IF(ISNUMBER(Table32[[#This Row],[Date Assessed]]),Table32[[#This Row],[Date Assessed]], DATE(1900,1,1))</f>
        <v>1</v>
      </c>
      <c r="O20" s="13" t="str">
        <f>IF(OR(Table32[[#This Row],[Date Assessed]]="N/A",  Table32[[#This Row],[Date Referred]] = "N/A"), "N/A",  Table32[[#This Row],[Date Assessed]]-Table32[[#This Row],[Date Referred]])</f>
        <v>N/A</v>
      </c>
      <c r="P20" s="18" t="s">
        <v>226</v>
      </c>
      <c r="Q20" s="5">
        <f>IF(ISNUMBER(Table32[[#This Row],[Date Allocated]]),Table32[[#This Row],[Date Allocated]],DATE(1900,1,1))</f>
        <v>1</v>
      </c>
      <c r="R20" s="14" t="str">
        <f>IF(OR(Table32[[#This Row],[Date Assessed]]="N/A",Table32[[#This Row],[Date Allocated]]="N/A"),"N/A",Table32[[#This Row],[Date Allocated]]-Table32[[#This Row],[Date Assessed]])</f>
        <v>N/A</v>
      </c>
      <c r="S20" s="5" t="s">
        <v>226</v>
      </c>
      <c r="T20" t="s">
        <v>256</v>
      </c>
      <c r="U20" t="s">
        <v>263</v>
      </c>
    </row>
    <row r="21" spans="1:21" x14ac:dyDescent="0.2">
      <c r="A21" s="4" t="s">
        <v>31</v>
      </c>
      <c r="B21" s="5">
        <v>35616</v>
      </c>
      <c r="C21">
        <f t="shared" ca="1" si="1"/>
        <v>28</v>
      </c>
      <c r="D21" t="str">
        <f t="shared" ca="1" si="2"/>
        <v>25–34</v>
      </c>
      <c r="E21" t="s">
        <v>225</v>
      </c>
      <c r="F21" t="s">
        <v>228</v>
      </c>
      <c r="G21" t="s">
        <v>241</v>
      </c>
      <c r="H21" t="str">
        <f t="shared" si="0"/>
        <v>BAME</v>
      </c>
      <c r="I21" t="s">
        <v>246</v>
      </c>
      <c r="J21" t="s">
        <v>253</v>
      </c>
      <c r="K21" s="5">
        <v>45575</v>
      </c>
      <c r="L21" s="7" t="str">
        <f t="shared" si="3"/>
        <v>October 2024</v>
      </c>
      <c r="M21" s="5" t="s">
        <v>226</v>
      </c>
      <c r="N21" s="5">
        <f>IF(ISNUMBER(Table32[[#This Row],[Date Assessed]]),Table32[[#This Row],[Date Assessed]], DATE(1900,1,1))</f>
        <v>1</v>
      </c>
      <c r="O21" s="13" t="str">
        <f>IF(OR(Table32[[#This Row],[Date Assessed]]="N/A",  Table32[[#This Row],[Date Referred]] = "N/A"), "N/A",  Table32[[#This Row],[Date Assessed]]-Table32[[#This Row],[Date Referred]])</f>
        <v>N/A</v>
      </c>
      <c r="P21" s="18" t="s">
        <v>226</v>
      </c>
      <c r="Q21" s="5">
        <f>IF(ISNUMBER(Table32[[#This Row],[Date Allocated]]),Table32[[#This Row],[Date Allocated]],DATE(1900,1,1))</f>
        <v>1</v>
      </c>
      <c r="R21" s="14" t="str">
        <f>IF(OR(Table32[[#This Row],[Date Assessed]]="N/A",Table32[[#This Row],[Date Allocated]]="N/A"),"N/A",Table32[[#This Row],[Date Allocated]]-Table32[[#This Row],[Date Assessed]])</f>
        <v>N/A</v>
      </c>
      <c r="S21" s="5" t="s">
        <v>226</v>
      </c>
      <c r="T21" t="s">
        <v>256</v>
      </c>
      <c r="U21" t="s">
        <v>261</v>
      </c>
    </row>
    <row r="22" spans="1:21" x14ac:dyDescent="0.2">
      <c r="A22" s="4" t="s">
        <v>32</v>
      </c>
      <c r="B22" s="5">
        <v>23381</v>
      </c>
      <c r="C22">
        <f t="shared" ca="1" si="1"/>
        <v>61</v>
      </c>
      <c r="D22" t="str">
        <f t="shared" ca="1" si="2"/>
        <v>55–64</v>
      </c>
      <c r="E22" t="s">
        <v>225</v>
      </c>
      <c r="F22" t="s">
        <v>236</v>
      </c>
      <c r="G22" t="s">
        <v>227</v>
      </c>
      <c r="H22" t="str">
        <f t="shared" si="0"/>
        <v>BAME</v>
      </c>
      <c r="I22" t="s">
        <v>246</v>
      </c>
      <c r="J22" t="s">
        <v>250</v>
      </c>
      <c r="K22" s="5">
        <v>45312</v>
      </c>
      <c r="L22" s="7" t="str">
        <f t="shared" si="3"/>
        <v>January 2024</v>
      </c>
      <c r="M22" s="5">
        <v>45359</v>
      </c>
      <c r="N22" s="5">
        <f>IF(ISNUMBER(Table32[[#This Row],[Date Assessed]]),Table32[[#This Row],[Date Assessed]], DATE(1900,1,1))</f>
        <v>45359</v>
      </c>
      <c r="O22" s="13">
        <f>IF(OR(Table32[[#This Row],[Date Assessed]]="N/A",  Table32[[#This Row],[Date Referred]] = "N/A"), "N/A",  Table32[[#This Row],[Date Assessed]]-Table32[[#This Row],[Date Referred]])</f>
        <v>47</v>
      </c>
      <c r="P22" s="18">
        <v>45379</v>
      </c>
      <c r="Q22" s="5">
        <f>IF(ISNUMBER(Table32[[#This Row],[Date Allocated]]),Table32[[#This Row],[Date Allocated]],DATE(1900,1,1))</f>
        <v>45379</v>
      </c>
      <c r="R22" s="14">
        <f>IF(OR(Table32[[#This Row],[Date Assessed]]="N/A",Table32[[#This Row],[Date Allocated]]="N/A"),"N/A",Table32[[#This Row],[Date Allocated]]-Table32[[#This Row],[Date Assessed]])</f>
        <v>20</v>
      </c>
      <c r="S22" s="5">
        <v>45552</v>
      </c>
      <c r="T22" t="s">
        <v>255</v>
      </c>
      <c r="U22" t="s">
        <v>262</v>
      </c>
    </row>
    <row r="23" spans="1:21" x14ac:dyDescent="0.2">
      <c r="A23" s="4" t="s">
        <v>33</v>
      </c>
      <c r="B23" s="5">
        <v>38094</v>
      </c>
      <c r="C23">
        <f t="shared" ca="1" si="1"/>
        <v>21</v>
      </c>
      <c r="D23" t="str">
        <f t="shared" ca="1" si="2"/>
        <v>18–24</v>
      </c>
      <c r="E23" t="s">
        <v>224</v>
      </c>
      <c r="F23" t="s">
        <v>228</v>
      </c>
      <c r="G23" t="s">
        <v>242</v>
      </c>
      <c r="H23" t="str">
        <f t="shared" si="0"/>
        <v>White</v>
      </c>
      <c r="I23" t="s">
        <v>247</v>
      </c>
      <c r="J23" t="s">
        <v>251</v>
      </c>
      <c r="K23" s="5">
        <v>45640</v>
      </c>
      <c r="L23" s="7" t="str">
        <f t="shared" si="3"/>
        <v>December 2024</v>
      </c>
      <c r="M23" s="5">
        <v>45662</v>
      </c>
      <c r="N23" s="5">
        <f>IF(ISNUMBER(Table32[[#This Row],[Date Assessed]]),Table32[[#This Row],[Date Assessed]], DATE(1900,1,1))</f>
        <v>45662</v>
      </c>
      <c r="O23" s="13">
        <f>IF(OR(Table32[[#This Row],[Date Assessed]]="N/A",  Table32[[#This Row],[Date Referred]] = "N/A"), "N/A",  Table32[[#This Row],[Date Assessed]]-Table32[[#This Row],[Date Referred]])</f>
        <v>22</v>
      </c>
      <c r="P23" s="18">
        <v>45707</v>
      </c>
      <c r="Q23" s="5">
        <f>IF(ISNUMBER(Table32[[#This Row],[Date Allocated]]),Table32[[#This Row],[Date Allocated]],DATE(1900,1,1))</f>
        <v>45707</v>
      </c>
      <c r="R23" s="14">
        <f>IF(OR(Table32[[#This Row],[Date Assessed]]="N/A",Table32[[#This Row],[Date Allocated]]="N/A"),"N/A",Table32[[#This Row],[Date Allocated]]-Table32[[#This Row],[Date Assessed]])</f>
        <v>45</v>
      </c>
      <c r="S23" s="5">
        <v>45838</v>
      </c>
      <c r="T23" t="s">
        <v>255</v>
      </c>
      <c r="U23" t="s">
        <v>261</v>
      </c>
    </row>
    <row r="24" spans="1:21" x14ac:dyDescent="0.2">
      <c r="A24" s="4" t="s">
        <v>34</v>
      </c>
      <c r="B24" s="5">
        <v>29064</v>
      </c>
      <c r="C24">
        <f t="shared" ca="1" si="1"/>
        <v>46</v>
      </c>
      <c r="D24" t="str">
        <f t="shared" ca="1" si="2"/>
        <v>45–54</v>
      </c>
      <c r="E24" t="s">
        <v>224</v>
      </c>
      <c r="F24" t="s">
        <v>230</v>
      </c>
      <c r="G24" t="s">
        <v>243</v>
      </c>
      <c r="H24" t="str">
        <f t="shared" si="0"/>
        <v>BAME</v>
      </c>
      <c r="I24" t="s">
        <v>247</v>
      </c>
      <c r="J24" t="s">
        <v>253</v>
      </c>
      <c r="K24" s="5">
        <v>45380</v>
      </c>
      <c r="L24" s="7" t="str">
        <f t="shared" si="3"/>
        <v>March 2024</v>
      </c>
      <c r="M24" s="5">
        <v>45406</v>
      </c>
      <c r="N24" s="5">
        <f>IF(ISNUMBER(Table32[[#This Row],[Date Assessed]]),Table32[[#This Row],[Date Assessed]], DATE(1900,1,1))</f>
        <v>45406</v>
      </c>
      <c r="O24" s="13">
        <f>IF(OR(Table32[[#This Row],[Date Assessed]]="N/A",  Table32[[#This Row],[Date Referred]] = "N/A"), "N/A",  Table32[[#This Row],[Date Assessed]]-Table32[[#This Row],[Date Referred]])</f>
        <v>26</v>
      </c>
      <c r="P24" s="18">
        <v>45457</v>
      </c>
      <c r="Q24" s="5">
        <f>IF(ISNUMBER(Table32[[#This Row],[Date Allocated]]),Table32[[#This Row],[Date Allocated]],DATE(1900,1,1))</f>
        <v>45457</v>
      </c>
      <c r="R24" s="14">
        <f>IF(OR(Table32[[#This Row],[Date Assessed]]="N/A",Table32[[#This Row],[Date Allocated]]="N/A"),"N/A",Table32[[#This Row],[Date Allocated]]-Table32[[#This Row],[Date Assessed]])</f>
        <v>51</v>
      </c>
      <c r="S24" s="5">
        <v>45613</v>
      </c>
      <c r="T24" t="s">
        <v>255</v>
      </c>
      <c r="U24" t="s">
        <v>264</v>
      </c>
    </row>
    <row r="25" spans="1:21" x14ac:dyDescent="0.2">
      <c r="A25" s="4" t="s">
        <v>35</v>
      </c>
      <c r="B25" s="5">
        <v>24575</v>
      </c>
      <c r="C25">
        <f t="shared" ca="1" si="1"/>
        <v>58</v>
      </c>
      <c r="D25" t="str">
        <f t="shared" ca="1" si="2"/>
        <v>55–64</v>
      </c>
      <c r="E25" t="s">
        <v>225</v>
      </c>
      <c r="F25" t="s">
        <v>231</v>
      </c>
      <c r="G25" t="s">
        <v>241</v>
      </c>
      <c r="H25" t="str">
        <f t="shared" si="0"/>
        <v>BAME</v>
      </c>
      <c r="I25" t="s">
        <v>247</v>
      </c>
      <c r="J25" t="s">
        <v>252</v>
      </c>
      <c r="K25" s="5">
        <v>45343</v>
      </c>
      <c r="L25" s="7" t="str">
        <f t="shared" si="3"/>
        <v>February 2024</v>
      </c>
      <c r="M25" s="5">
        <v>45355</v>
      </c>
      <c r="N25" s="5">
        <f>IF(ISNUMBER(Table32[[#This Row],[Date Assessed]]),Table32[[#This Row],[Date Assessed]], DATE(1900,1,1))</f>
        <v>45355</v>
      </c>
      <c r="O25" s="13">
        <f>IF(OR(Table32[[#This Row],[Date Assessed]]="N/A",  Table32[[#This Row],[Date Referred]] = "N/A"), "N/A",  Table32[[#This Row],[Date Assessed]]-Table32[[#This Row],[Date Referred]])</f>
        <v>12</v>
      </c>
      <c r="P25" s="18">
        <v>45362</v>
      </c>
      <c r="Q25" s="5">
        <f>IF(ISNUMBER(Table32[[#This Row],[Date Allocated]]),Table32[[#This Row],[Date Allocated]],DATE(1900,1,1))</f>
        <v>45362</v>
      </c>
      <c r="R25" s="14">
        <f>IF(OR(Table32[[#This Row],[Date Assessed]]="N/A",Table32[[#This Row],[Date Allocated]]="N/A"),"N/A",Table32[[#This Row],[Date Allocated]]-Table32[[#This Row],[Date Assessed]])</f>
        <v>7</v>
      </c>
      <c r="S25" s="5">
        <v>45531</v>
      </c>
      <c r="T25" t="s">
        <v>255</v>
      </c>
      <c r="U25" t="s">
        <v>262</v>
      </c>
    </row>
    <row r="26" spans="1:21" x14ac:dyDescent="0.2">
      <c r="A26" s="4" t="s">
        <v>36</v>
      </c>
      <c r="B26" s="5">
        <v>28813</v>
      </c>
      <c r="C26">
        <f t="shared" ca="1" si="1"/>
        <v>46</v>
      </c>
      <c r="D26" t="str">
        <f t="shared" ca="1" si="2"/>
        <v>45–54</v>
      </c>
      <c r="E26" t="s">
        <v>225</v>
      </c>
      <c r="F26" t="s">
        <v>230</v>
      </c>
      <c r="G26" t="s">
        <v>243</v>
      </c>
      <c r="H26" t="str">
        <f t="shared" si="0"/>
        <v>BAME</v>
      </c>
      <c r="I26" t="s">
        <v>246</v>
      </c>
      <c r="J26" t="s">
        <v>252</v>
      </c>
      <c r="K26" s="5">
        <v>45570</v>
      </c>
      <c r="L26" s="7" t="str">
        <f t="shared" si="3"/>
        <v>October 2024</v>
      </c>
      <c r="M26" s="5">
        <v>45597</v>
      </c>
      <c r="N26" s="5">
        <f>IF(ISNUMBER(Table32[[#This Row],[Date Assessed]]),Table32[[#This Row],[Date Assessed]], DATE(1900,1,1))</f>
        <v>45597</v>
      </c>
      <c r="O26" s="13">
        <f>IF(OR(Table32[[#This Row],[Date Assessed]]="N/A",  Table32[[#This Row],[Date Referred]] = "N/A"), "N/A",  Table32[[#This Row],[Date Assessed]]-Table32[[#This Row],[Date Referred]])</f>
        <v>27</v>
      </c>
      <c r="P26" s="18">
        <v>45651</v>
      </c>
      <c r="Q26" s="5">
        <f>IF(ISNUMBER(Table32[[#This Row],[Date Allocated]]),Table32[[#This Row],[Date Allocated]],DATE(1900,1,1))</f>
        <v>45651</v>
      </c>
      <c r="R26" s="14">
        <f>IF(OR(Table32[[#This Row],[Date Assessed]]="N/A",Table32[[#This Row],[Date Allocated]]="N/A"),"N/A",Table32[[#This Row],[Date Allocated]]-Table32[[#This Row],[Date Assessed]])</f>
        <v>54</v>
      </c>
      <c r="S26" s="5">
        <v>45826</v>
      </c>
      <c r="T26" t="s">
        <v>255</v>
      </c>
      <c r="U26" t="s">
        <v>261</v>
      </c>
    </row>
    <row r="27" spans="1:21" x14ac:dyDescent="0.2">
      <c r="A27" s="4" t="s">
        <v>37</v>
      </c>
      <c r="B27" s="5">
        <v>26215</v>
      </c>
      <c r="C27">
        <f t="shared" ca="1" si="1"/>
        <v>53</v>
      </c>
      <c r="D27" t="str">
        <f t="shared" ca="1" si="2"/>
        <v>45–54</v>
      </c>
      <c r="E27" t="s">
        <v>225</v>
      </c>
      <c r="F27" t="s">
        <v>230</v>
      </c>
      <c r="G27" t="s">
        <v>243</v>
      </c>
      <c r="H27" t="str">
        <f t="shared" si="0"/>
        <v>BAME</v>
      </c>
      <c r="I27" t="s">
        <v>247</v>
      </c>
      <c r="J27" t="s">
        <v>253</v>
      </c>
      <c r="K27" s="5">
        <v>45571</v>
      </c>
      <c r="L27" s="7" t="str">
        <f t="shared" si="3"/>
        <v>October 2024</v>
      </c>
      <c r="M27" s="5">
        <v>45577</v>
      </c>
      <c r="N27" s="5">
        <f>IF(ISNUMBER(Table32[[#This Row],[Date Assessed]]),Table32[[#This Row],[Date Assessed]], DATE(1900,1,1))</f>
        <v>45577</v>
      </c>
      <c r="O27" s="13">
        <f>IF(OR(Table32[[#This Row],[Date Assessed]]="N/A",  Table32[[#This Row],[Date Referred]] = "N/A"), "N/A",  Table32[[#This Row],[Date Assessed]]-Table32[[#This Row],[Date Referred]])</f>
        <v>6</v>
      </c>
      <c r="P27" s="18">
        <v>45632</v>
      </c>
      <c r="Q27" s="5">
        <f>IF(ISNUMBER(Table32[[#This Row],[Date Allocated]]),Table32[[#This Row],[Date Allocated]],DATE(1900,1,1))</f>
        <v>45632</v>
      </c>
      <c r="R27" s="14">
        <f>IF(OR(Table32[[#This Row],[Date Assessed]]="N/A",Table32[[#This Row],[Date Allocated]]="N/A"),"N/A",Table32[[#This Row],[Date Allocated]]-Table32[[#This Row],[Date Assessed]])</f>
        <v>55</v>
      </c>
      <c r="S27" s="5">
        <v>45779</v>
      </c>
      <c r="T27" t="s">
        <v>255</v>
      </c>
      <c r="U27" t="s">
        <v>261</v>
      </c>
    </row>
    <row r="28" spans="1:21" x14ac:dyDescent="0.2">
      <c r="A28" s="4" t="s">
        <v>38</v>
      </c>
      <c r="B28" s="5">
        <v>35197</v>
      </c>
      <c r="C28">
        <f t="shared" ca="1" si="1"/>
        <v>29</v>
      </c>
      <c r="D28" t="str">
        <f t="shared" ca="1" si="2"/>
        <v>25–34</v>
      </c>
      <c r="E28" t="s">
        <v>225</v>
      </c>
      <c r="F28" t="s">
        <v>228</v>
      </c>
      <c r="G28" t="s">
        <v>242</v>
      </c>
      <c r="H28" t="str">
        <f t="shared" si="0"/>
        <v>White</v>
      </c>
      <c r="I28" t="s">
        <v>247</v>
      </c>
      <c r="J28" t="s">
        <v>250</v>
      </c>
      <c r="K28" s="5">
        <v>45346</v>
      </c>
      <c r="L28" s="7" t="str">
        <f t="shared" si="3"/>
        <v>February 2024</v>
      </c>
      <c r="M28" s="5" t="s">
        <v>226</v>
      </c>
      <c r="N28" s="5">
        <f>IF(ISNUMBER(Table32[[#This Row],[Date Assessed]]),Table32[[#This Row],[Date Assessed]], DATE(1900,1,1))</f>
        <v>1</v>
      </c>
      <c r="O28" s="13" t="str">
        <f>IF(OR(Table32[[#This Row],[Date Assessed]]="N/A",  Table32[[#This Row],[Date Referred]] = "N/A"), "N/A",  Table32[[#This Row],[Date Assessed]]-Table32[[#This Row],[Date Referred]])</f>
        <v>N/A</v>
      </c>
      <c r="P28" s="18" t="s">
        <v>226</v>
      </c>
      <c r="Q28" s="5">
        <f>IF(ISNUMBER(Table32[[#This Row],[Date Allocated]]),Table32[[#This Row],[Date Allocated]],DATE(1900,1,1))</f>
        <v>1</v>
      </c>
      <c r="R28" s="14" t="str">
        <f>IF(OR(Table32[[#This Row],[Date Assessed]]="N/A",Table32[[#This Row],[Date Allocated]]="N/A"),"N/A",Table32[[#This Row],[Date Allocated]]-Table32[[#This Row],[Date Assessed]])</f>
        <v>N/A</v>
      </c>
      <c r="S28" s="5" t="s">
        <v>226</v>
      </c>
      <c r="T28" t="s">
        <v>256</v>
      </c>
      <c r="U28" t="s">
        <v>325</v>
      </c>
    </row>
    <row r="29" spans="1:21" x14ac:dyDescent="0.2">
      <c r="A29" s="4" t="s">
        <v>39</v>
      </c>
      <c r="B29" s="5">
        <v>30866</v>
      </c>
      <c r="C29">
        <f t="shared" ca="1" si="1"/>
        <v>41</v>
      </c>
      <c r="D29" t="str">
        <f t="shared" ca="1" si="2"/>
        <v>35–44</v>
      </c>
      <c r="E29" t="s">
        <v>226</v>
      </c>
      <c r="F29" t="s">
        <v>229</v>
      </c>
      <c r="G29" t="s">
        <v>243</v>
      </c>
      <c r="H29" t="str">
        <f t="shared" si="0"/>
        <v>BAME</v>
      </c>
      <c r="I29" t="s">
        <v>247</v>
      </c>
      <c r="J29" t="s">
        <v>253</v>
      </c>
      <c r="K29" s="5">
        <v>45422</v>
      </c>
      <c r="L29" s="7" t="str">
        <f t="shared" si="3"/>
        <v>May 2024</v>
      </c>
      <c r="M29" s="5">
        <v>45454</v>
      </c>
      <c r="N29" s="5">
        <f>IF(ISNUMBER(Table32[[#This Row],[Date Assessed]]),Table32[[#This Row],[Date Assessed]], DATE(1900,1,1))</f>
        <v>45454</v>
      </c>
      <c r="O29" s="13">
        <f>IF(OR(Table32[[#This Row],[Date Assessed]]="N/A",  Table32[[#This Row],[Date Referred]] = "N/A"), "N/A",  Table32[[#This Row],[Date Assessed]]-Table32[[#This Row],[Date Referred]])</f>
        <v>32</v>
      </c>
      <c r="P29" s="18">
        <v>45501</v>
      </c>
      <c r="Q29" s="5">
        <f>IF(ISNUMBER(Table32[[#This Row],[Date Allocated]]),Table32[[#This Row],[Date Allocated]],DATE(1900,1,1))</f>
        <v>45501</v>
      </c>
      <c r="R29" s="14">
        <f>IF(OR(Table32[[#This Row],[Date Assessed]]="N/A",Table32[[#This Row],[Date Allocated]]="N/A"),"N/A",Table32[[#This Row],[Date Allocated]]-Table32[[#This Row],[Date Assessed]])</f>
        <v>47</v>
      </c>
      <c r="S29" s="5">
        <v>45668</v>
      </c>
      <c r="T29" t="s">
        <v>255</v>
      </c>
      <c r="U29" t="s">
        <v>261</v>
      </c>
    </row>
    <row r="30" spans="1:21" x14ac:dyDescent="0.2">
      <c r="A30" s="4" t="s">
        <v>40</v>
      </c>
      <c r="B30" s="5">
        <v>34772</v>
      </c>
      <c r="C30">
        <f t="shared" ca="1" si="1"/>
        <v>30</v>
      </c>
      <c r="D30" t="str">
        <f t="shared" ca="1" si="2"/>
        <v>25–34</v>
      </c>
      <c r="E30" t="s">
        <v>224</v>
      </c>
      <c r="F30" t="s">
        <v>231</v>
      </c>
      <c r="G30" t="s">
        <v>241</v>
      </c>
      <c r="H30" t="str">
        <f t="shared" si="0"/>
        <v>BAME</v>
      </c>
      <c r="I30" t="s">
        <v>246</v>
      </c>
      <c r="J30" t="s">
        <v>250</v>
      </c>
      <c r="K30" s="5">
        <v>45645</v>
      </c>
      <c r="L30" s="7" t="str">
        <f t="shared" si="3"/>
        <v>December 2024</v>
      </c>
      <c r="M30" s="5">
        <v>45652</v>
      </c>
      <c r="N30" s="5">
        <f>IF(ISNUMBER(Table32[[#This Row],[Date Assessed]]),Table32[[#This Row],[Date Assessed]], DATE(1900,1,1))</f>
        <v>45652</v>
      </c>
      <c r="O30" s="13">
        <f>IF(OR(Table32[[#This Row],[Date Assessed]]="N/A",  Table32[[#This Row],[Date Referred]] = "N/A"), "N/A",  Table32[[#This Row],[Date Assessed]]-Table32[[#This Row],[Date Referred]])</f>
        <v>7</v>
      </c>
      <c r="P30" s="18">
        <v>45708</v>
      </c>
      <c r="Q30" s="5">
        <f>IF(ISNUMBER(Table32[[#This Row],[Date Allocated]]),Table32[[#This Row],[Date Allocated]],DATE(1900,1,1))</f>
        <v>45708</v>
      </c>
      <c r="R30" s="14">
        <f>IF(OR(Table32[[#This Row],[Date Assessed]]="N/A",Table32[[#This Row],[Date Allocated]]="N/A"),"N/A",Table32[[#This Row],[Date Allocated]]-Table32[[#This Row],[Date Assessed]])</f>
        <v>56</v>
      </c>
      <c r="S30" s="5">
        <v>45848</v>
      </c>
      <c r="T30" t="s">
        <v>255</v>
      </c>
      <c r="U30" t="s">
        <v>263</v>
      </c>
    </row>
    <row r="31" spans="1:21" x14ac:dyDescent="0.2">
      <c r="A31" s="4" t="s">
        <v>41</v>
      </c>
      <c r="B31" s="5">
        <v>31440</v>
      </c>
      <c r="C31">
        <f t="shared" ca="1" si="1"/>
        <v>39</v>
      </c>
      <c r="D31" t="str">
        <f t="shared" ca="1" si="2"/>
        <v>35–44</v>
      </c>
      <c r="E31" t="s">
        <v>225</v>
      </c>
      <c r="F31" t="s">
        <v>233</v>
      </c>
      <c r="G31" t="s">
        <v>227</v>
      </c>
      <c r="H31" t="str">
        <f t="shared" si="0"/>
        <v>BAME</v>
      </c>
      <c r="I31" t="s">
        <v>247</v>
      </c>
      <c r="J31" t="s">
        <v>253</v>
      </c>
      <c r="K31" s="5">
        <v>45323</v>
      </c>
      <c r="L31" s="7" t="str">
        <f t="shared" si="3"/>
        <v>February 2024</v>
      </c>
      <c r="M31" s="5">
        <v>45345</v>
      </c>
      <c r="N31" s="5">
        <f>IF(ISNUMBER(Table32[[#This Row],[Date Assessed]]),Table32[[#This Row],[Date Assessed]], DATE(1900,1,1))</f>
        <v>45345</v>
      </c>
      <c r="O31" s="13">
        <f>IF(OR(Table32[[#This Row],[Date Assessed]]="N/A",  Table32[[#This Row],[Date Referred]] = "N/A"), "N/A",  Table32[[#This Row],[Date Assessed]]-Table32[[#This Row],[Date Referred]])</f>
        <v>22</v>
      </c>
      <c r="P31" s="18">
        <v>45358</v>
      </c>
      <c r="Q31" s="5">
        <f>IF(ISNUMBER(Table32[[#This Row],[Date Allocated]]),Table32[[#This Row],[Date Allocated]],DATE(1900,1,1))</f>
        <v>45358</v>
      </c>
      <c r="R31" s="14">
        <f>IF(OR(Table32[[#This Row],[Date Assessed]]="N/A",Table32[[#This Row],[Date Allocated]]="N/A"),"N/A",Table32[[#This Row],[Date Allocated]]-Table32[[#This Row],[Date Assessed]])</f>
        <v>13</v>
      </c>
      <c r="S31" s="5">
        <v>45534</v>
      </c>
      <c r="T31" t="s">
        <v>255</v>
      </c>
      <c r="U31" t="s">
        <v>262</v>
      </c>
    </row>
    <row r="32" spans="1:21" x14ac:dyDescent="0.2">
      <c r="A32" s="4" t="s">
        <v>42</v>
      </c>
      <c r="B32" s="5">
        <v>26677</v>
      </c>
      <c r="C32">
        <f t="shared" ca="1" si="1"/>
        <v>52</v>
      </c>
      <c r="D32" t="str">
        <f t="shared" ca="1" si="2"/>
        <v>45–54</v>
      </c>
      <c r="E32" t="s">
        <v>225</v>
      </c>
      <c r="F32" t="s">
        <v>229</v>
      </c>
      <c r="G32" t="s">
        <v>243</v>
      </c>
      <c r="H32" t="str">
        <f t="shared" si="0"/>
        <v>BAME</v>
      </c>
      <c r="I32" t="s">
        <v>247</v>
      </c>
      <c r="J32" t="s">
        <v>250</v>
      </c>
      <c r="K32" s="5">
        <v>45342</v>
      </c>
      <c r="L32" s="7" t="str">
        <f t="shared" si="3"/>
        <v>February 2024</v>
      </c>
      <c r="M32" s="5">
        <v>45352</v>
      </c>
      <c r="N32" s="5">
        <f>IF(ISNUMBER(Table32[[#This Row],[Date Assessed]]),Table32[[#This Row],[Date Assessed]], DATE(1900,1,1))</f>
        <v>45352</v>
      </c>
      <c r="O32" s="13">
        <f>IF(OR(Table32[[#This Row],[Date Assessed]]="N/A",  Table32[[#This Row],[Date Referred]] = "N/A"), "N/A",  Table32[[#This Row],[Date Assessed]]-Table32[[#This Row],[Date Referred]])</f>
        <v>10</v>
      </c>
      <c r="P32" s="18">
        <v>45372</v>
      </c>
      <c r="Q32" s="5">
        <f>IF(ISNUMBER(Table32[[#This Row],[Date Allocated]]),Table32[[#This Row],[Date Allocated]],DATE(1900,1,1))</f>
        <v>45372</v>
      </c>
      <c r="R32" s="14">
        <f>IF(OR(Table32[[#This Row],[Date Assessed]]="N/A",Table32[[#This Row],[Date Allocated]]="N/A"),"N/A",Table32[[#This Row],[Date Allocated]]-Table32[[#This Row],[Date Assessed]])</f>
        <v>20</v>
      </c>
      <c r="S32" s="5">
        <v>45530</v>
      </c>
      <c r="T32" t="s">
        <v>255</v>
      </c>
      <c r="U32" t="s">
        <v>262</v>
      </c>
    </row>
    <row r="33" spans="1:21" x14ac:dyDescent="0.2">
      <c r="A33" s="4" t="s">
        <v>43</v>
      </c>
      <c r="B33" s="5">
        <v>34376</v>
      </c>
      <c r="C33">
        <f t="shared" ca="1" si="1"/>
        <v>31</v>
      </c>
      <c r="D33" t="str">
        <f t="shared" ca="1" si="2"/>
        <v>25–34</v>
      </c>
      <c r="E33" t="s">
        <v>225</v>
      </c>
      <c r="F33" t="s">
        <v>229</v>
      </c>
      <c r="G33" t="s">
        <v>243</v>
      </c>
      <c r="H33" t="str">
        <f t="shared" si="0"/>
        <v>BAME</v>
      </c>
      <c r="I33" t="s">
        <v>246</v>
      </c>
      <c r="J33" t="s">
        <v>251</v>
      </c>
      <c r="K33" s="5">
        <v>45336</v>
      </c>
      <c r="L33" s="7" t="str">
        <f t="shared" si="3"/>
        <v>February 2024</v>
      </c>
      <c r="M33" s="5">
        <v>45364</v>
      </c>
      <c r="N33" s="5">
        <f>IF(ISNUMBER(Table32[[#This Row],[Date Assessed]]),Table32[[#This Row],[Date Assessed]], DATE(1900,1,1))</f>
        <v>45364</v>
      </c>
      <c r="O33" s="13">
        <f>IF(OR(Table32[[#This Row],[Date Assessed]]="N/A",  Table32[[#This Row],[Date Referred]] = "N/A"), "N/A",  Table32[[#This Row],[Date Assessed]]-Table32[[#This Row],[Date Referred]])</f>
        <v>28</v>
      </c>
      <c r="P33" s="18">
        <v>45413</v>
      </c>
      <c r="Q33" s="5">
        <f>IF(ISNUMBER(Table32[[#This Row],[Date Allocated]]),Table32[[#This Row],[Date Allocated]],DATE(1900,1,1))</f>
        <v>45413</v>
      </c>
      <c r="R33" s="14">
        <f>IF(OR(Table32[[#This Row],[Date Assessed]]="N/A",Table32[[#This Row],[Date Allocated]]="N/A"),"N/A",Table32[[#This Row],[Date Allocated]]-Table32[[#This Row],[Date Assessed]])</f>
        <v>49</v>
      </c>
      <c r="S33" s="5">
        <v>45577</v>
      </c>
      <c r="T33" t="s">
        <v>255</v>
      </c>
      <c r="U33" t="s">
        <v>263</v>
      </c>
    </row>
    <row r="34" spans="1:21" x14ac:dyDescent="0.2">
      <c r="A34" s="4" t="s">
        <v>44</v>
      </c>
      <c r="B34" s="5">
        <v>37419</v>
      </c>
      <c r="C34">
        <f t="shared" ca="1" si="1"/>
        <v>23</v>
      </c>
      <c r="D34" t="str">
        <f t="shared" ca="1" si="2"/>
        <v>18–24</v>
      </c>
      <c r="E34" t="s">
        <v>224</v>
      </c>
      <c r="F34" t="s">
        <v>228</v>
      </c>
      <c r="G34" t="s">
        <v>242</v>
      </c>
      <c r="H34" t="str">
        <f t="shared" si="0"/>
        <v>White</v>
      </c>
      <c r="I34" t="s">
        <v>247</v>
      </c>
      <c r="J34" t="s">
        <v>250</v>
      </c>
      <c r="K34" s="5">
        <v>45587</v>
      </c>
      <c r="L34" s="7" t="str">
        <f t="shared" si="3"/>
        <v>October 2024</v>
      </c>
      <c r="M34" s="5">
        <v>45593</v>
      </c>
      <c r="N34" s="5">
        <f>IF(ISNUMBER(Table32[[#This Row],[Date Assessed]]),Table32[[#This Row],[Date Assessed]], DATE(1900,1,1))</f>
        <v>45593</v>
      </c>
      <c r="O34" s="13">
        <f>IF(OR(Table32[[#This Row],[Date Assessed]]="N/A",  Table32[[#This Row],[Date Referred]] = "N/A"), "N/A",  Table32[[#This Row],[Date Assessed]]-Table32[[#This Row],[Date Referred]])</f>
        <v>6</v>
      </c>
      <c r="P34" s="18">
        <v>45608</v>
      </c>
      <c r="Q34" s="5">
        <f>IF(ISNUMBER(Table32[[#This Row],[Date Allocated]]),Table32[[#This Row],[Date Allocated]],DATE(1900,1,1))</f>
        <v>45608</v>
      </c>
      <c r="R34" s="14">
        <f>IF(OR(Table32[[#This Row],[Date Assessed]]="N/A",Table32[[#This Row],[Date Allocated]]="N/A"),"N/A",Table32[[#This Row],[Date Allocated]]-Table32[[#This Row],[Date Assessed]])</f>
        <v>15</v>
      </c>
      <c r="S34" s="5">
        <v>45730</v>
      </c>
      <c r="T34" t="s">
        <v>255</v>
      </c>
      <c r="U34" t="s">
        <v>261</v>
      </c>
    </row>
    <row r="35" spans="1:21" x14ac:dyDescent="0.2">
      <c r="A35" s="4" t="s">
        <v>45</v>
      </c>
      <c r="B35" s="5">
        <v>28045</v>
      </c>
      <c r="C35">
        <f t="shared" ca="1" si="1"/>
        <v>48</v>
      </c>
      <c r="D35" t="str">
        <f t="shared" ca="1" si="2"/>
        <v>45–54</v>
      </c>
      <c r="E35" t="s">
        <v>225</v>
      </c>
      <c r="F35" t="s">
        <v>230</v>
      </c>
      <c r="G35" t="s">
        <v>243</v>
      </c>
      <c r="H35" t="str">
        <f t="shared" si="0"/>
        <v>BAME</v>
      </c>
      <c r="I35" t="s">
        <v>247</v>
      </c>
      <c r="J35" t="s">
        <v>252</v>
      </c>
      <c r="K35" s="5">
        <v>45514</v>
      </c>
      <c r="L35" s="7" t="str">
        <f t="shared" si="3"/>
        <v>August 2024</v>
      </c>
      <c r="M35" s="5">
        <v>45553</v>
      </c>
      <c r="N35" s="5">
        <f>IF(ISNUMBER(Table32[[#This Row],[Date Assessed]]),Table32[[#This Row],[Date Assessed]], DATE(1900,1,1))</f>
        <v>45553</v>
      </c>
      <c r="O35" s="13">
        <f>IF(OR(Table32[[#This Row],[Date Assessed]]="N/A",  Table32[[#This Row],[Date Referred]] = "N/A"), "N/A",  Table32[[#This Row],[Date Assessed]]-Table32[[#This Row],[Date Referred]])</f>
        <v>39</v>
      </c>
      <c r="P35" s="18">
        <v>45599</v>
      </c>
      <c r="Q35" s="5">
        <f>IF(ISNUMBER(Table32[[#This Row],[Date Allocated]]),Table32[[#This Row],[Date Allocated]],DATE(1900,1,1))</f>
        <v>45599</v>
      </c>
      <c r="R35" s="14">
        <f>IF(OR(Table32[[#This Row],[Date Assessed]]="N/A",Table32[[#This Row],[Date Allocated]]="N/A"),"N/A",Table32[[#This Row],[Date Allocated]]-Table32[[#This Row],[Date Assessed]])</f>
        <v>46</v>
      </c>
      <c r="S35" s="5">
        <v>45776</v>
      </c>
      <c r="T35" t="s">
        <v>255</v>
      </c>
      <c r="U35" t="s">
        <v>272</v>
      </c>
    </row>
    <row r="36" spans="1:21" x14ac:dyDescent="0.2">
      <c r="A36" s="4" t="s">
        <v>46</v>
      </c>
      <c r="B36" s="5">
        <v>22665</v>
      </c>
      <c r="C36">
        <f t="shared" ca="1" si="1"/>
        <v>63</v>
      </c>
      <c r="D36" t="str">
        <f t="shared" ca="1" si="2"/>
        <v>55–64</v>
      </c>
      <c r="E36" t="s">
        <v>225</v>
      </c>
      <c r="F36" t="s">
        <v>229</v>
      </c>
      <c r="G36" t="s">
        <v>243</v>
      </c>
      <c r="H36" t="str">
        <f t="shared" si="0"/>
        <v>BAME</v>
      </c>
      <c r="I36" t="s">
        <v>247</v>
      </c>
      <c r="J36" t="s">
        <v>250</v>
      </c>
      <c r="K36" s="5">
        <v>45433</v>
      </c>
      <c r="L36" s="7" t="str">
        <f t="shared" si="3"/>
        <v>May 2024</v>
      </c>
      <c r="M36" s="5">
        <v>45462</v>
      </c>
      <c r="N36" s="5">
        <f>IF(ISNUMBER(Table32[[#This Row],[Date Assessed]]),Table32[[#This Row],[Date Assessed]], DATE(1900,1,1))</f>
        <v>45462</v>
      </c>
      <c r="O36" s="13">
        <f>IF(OR(Table32[[#This Row],[Date Assessed]]="N/A",  Table32[[#This Row],[Date Referred]] = "N/A"), "N/A",  Table32[[#This Row],[Date Assessed]]-Table32[[#This Row],[Date Referred]])</f>
        <v>29</v>
      </c>
      <c r="P36" s="18">
        <v>45466</v>
      </c>
      <c r="Q36" s="5">
        <f>IF(ISNUMBER(Table32[[#This Row],[Date Allocated]]),Table32[[#This Row],[Date Allocated]],DATE(1900,1,1))</f>
        <v>45466</v>
      </c>
      <c r="R36" s="14">
        <f>IF(OR(Table32[[#This Row],[Date Assessed]]="N/A",Table32[[#This Row],[Date Allocated]]="N/A"),"N/A",Table32[[#This Row],[Date Allocated]]-Table32[[#This Row],[Date Assessed]])</f>
        <v>4</v>
      </c>
      <c r="S36" s="5">
        <v>45625</v>
      </c>
      <c r="T36" t="s">
        <v>255</v>
      </c>
      <c r="U36" t="s">
        <v>264</v>
      </c>
    </row>
    <row r="37" spans="1:21" x14ac:dyDescent="0.2">
      <c r="A37" s="4" t="s">
        <v>47</v>
      </c>
      <c r="B37" s="5">
        <v>32851</v>
      </c>
      <c r="C37">
        <f t="shared" ca="1" si="1"/>
        <v>35</v>
      </c>
      <c r="D37" t="str">
        <f t="shared" ca="1" si="2"/>
        <v>35–44</v>
      </c>
      <c r="E37" t="s">
        <v>224</v>
      </c>
      <c r="F37" t="s">
        <v>230</v>
      </c>
      <c r="G37" t="s">
        <v>243</v>
      </c>
      <c r="H37" t="str">
        <f t="shared" si="0"/>
        <v>BAME</v>
      </c>
      <c r="I37" t="s">
        <v>247</v>
      </c>
      <c r="J37" t="s">
        <v>252</v>
      </c>
      <c r="K37" s="5">
        <v>45654</v>
      </c>
      <c r="L37" s="7" t="str">
        <f t="shared" si="3"/>
        <v>December 2024</v>
      </c>
      <c r="M37" s="5" t="s">
        <v>226</v>
      </c>
      <c r="N37" s="5">
        <f>IF(ISNUMBER(Table32[[#This Row],[Date Assessed]]),Table32[[#This Row],[Date Assessed]], DATE(1900,1,1))</f>
        <v>1</v>
      </c>
      <c r="O37" s="13" t="str">
        <f>IF(OR(Table32[[#This Row],[Date Assessed]]="N/A",  Table32[[#This Row],[Date Referred]] = "N/A"), "N/A",  Table32[[#This Row],[Date Assessed]]-Table32[[#This Row],[Date Referred]])</f>
        <v>N/A</v>
      </c>
      <c r="P37" s="18" t="s">
        <v>226</v>
      </c>
      <c r="Q37" s="5">
        <f>IF(ISNUMBER(Table32[[#This Row],[Date Allocated]]),Table32[[#This Row],[Date Allocated]],DATE(1900,1,1))</f>
        <v>1</v>
      </c>
      <c r="R37" s="14" t="str">
        <f>IF(OR(Table32[[#This Row],[Date Assessed]]="N/A",Table32[[#This Row],[Date Allocated]]="N/A"),"N/A",Table32[[#This Row],[Date Allocated]]-Table32[[#This Row],[Date Assessed]])</f>
        <v>N/A</v>
      </c>
      <c r="S37" s="5" t="s">
        <v>226</v>
      </c>
      <c r="T37" t="s">
        <v>255</v>
      </c>
      <c r="U37" t="s">
        <v>261</v>
      </c>
    </row>
    <row r="38" spans="1:21" x14ac:dyDescent="0.2">
      <c r="A38" s="4" t="s">
        <v>48</v>
      </c>
      <c r="B38" s="5">
        <v>32209</v>
      </c>
      <c r="C38">
        <f t="shared" ca="1" si="1"/>
        <v>37</v>
      </c>
      <c r="D38" t="str">
        <f t="shared" ca="1" si="2"/>
        <v>35–44</v>
      </c>
      <c r="E38" t="s">
        <v>225</v>
      </c>
      <c r="F38" t="s">
        <v>228</v>
      </c>
      <c r="G38" t="s">
        <v>241</v>
      </c>
      <c r="H38" t="str">
        <f t="shared" si="0"/>
        <v>BAME</v>
      </c>
      <c r="I38" t="s">
        <v>247</v>
      </c>
      <c r="J38" t="s">
        <v>250</v>
      </c>
      <c r="K38" s="5">
        <v>45346</v>
      </c>
      <c r="L38" s="7" t="str">
        <f t="shared" si="3"/>
        <v>February 2024</v>
      </c>
      <c r="M38" s="5">
        <v>45372</v>
      </c>
      <c r="N38" s="5">
        <f>IF(ISNUMBER(Table32[[#This Row],[Date Assessed]]),Table32[[#This Row],[Date Assessed]], DATE(1900,1,1))</f>
        <v>45372</v>
      </c>
      <c r="O38" s="13">
        <f>IF(OR(Table32[[#This Row],[Date Assessed]]="N/A",  Table32[[#This Row],[Date Referred]] = "N/A"), "N/A",  Table32[[#This Row],[Date Assessed]]-Table32[[#This Row],[Date Referred]])</f>
        <v>26</v>
      </c>
      <c r="P38" s="18">
        <v>45405</v>
      </c>
      <c r="Q38" s="5">
        <f>IF(ISNUMBER(Table32[[#This Row],[Date Allocated]]),Table32[[#This Row],[Date Allocated]],DATE(1900,1,1))</f>
        <v>45405</v>
      </c>
      <c r="R38" s="14">
        <f>IF(OR(Table32[[#This Row],[Date Assessed]]="N/A",Table32[[#This Row],[Date Allocated]]="N/A"),"N/A",Table32[[#This Row],[Date Allocated]]-Table32[[#This Row],[Date Assessed]])</f>
        <v>33</v>
      </c>
      <c r="S38" s="5">
        <v>45583</v>
      </c>
      <c r="T38" t="s">
        <v>255</v>
      </c>
      <c r="U38" t="s">
        <v>261</v>
      </c>
    </row>
    <row r="39" spans="1:21" x14ac:dyDescent="0.2">
      <c r="A39" s="4" t="s">
        <v>49</v>
      </c>
      <c r="B39" s="5">
        <v>31724</v>
      </c>
      <c r="C39">
        <f t="shared" ca="1" si="1"/>
        <v>38</v>
      </c>
      <c r="D39" t="str">
        <f t="shared" ca="1" si="2"/>
        <v>35–44</v>
      </c>
      <c r="E39" t="s">
        <v>225</v>
      </c>
      <c r="F39" t="s">
        <v>234</v>
      </c>
      <c r="G39" t="s">
        <v>243</v>
      </c>
      <c r="H39" t="str">
        <f t="shared" si="0"/>
        <v>BAME</v>
      </c>
      <c r="I39" t="s">
        <v>247</v>
      </c>
      <c r="J39" t="s">
        <v>250</v>
      </c>
      <c r="K39" s="5">
        <v>45405</v>
      </c>
      <c r="L39" s="7" t="str">
        <f t="shared" si="3"/>
        <v>April 2024</v>
      </c>
      <c r="M39" s="5">
        <v>45438</v>
      </c>
      <c r="N39" s="5">
        <f>IF(ISNUMBER(Table32[[#This Row],[Date Assessed]]),Table32[[#This Row],[Date Assessed]], DATE(1900,1,1))</f>
        <v>45438</v>
      </c>
      <c r="O39" s="13">
        <f>IF(OR(Table32[[#This Row],[Date Assessed]]="N/A",  Table32[[#This Row],[Date Referred]] = "N/A"), "N/A",  Table32[[#This Row],[Date Assessed]]-Table32[[#This Row],[Date Referred]])</f>
        <v>33</v>
      </c>
      <c r="P39" s="18">
        <v>45440</v>
      </c>
      <c r="Q39" s="5">
        <f>IF(ISNUMBER(Table32[[#This Row],[Date Allocated]]),Table32[[#This Row],[Date Allocated]],DATE(1900,1,1))</f>
        <v>45440</v>
      </c>
      <c r="R39" s="14">
        <f>IF(OR(Table32[[#This Row],[Date Assessed]]="N/A",Table32[[#This Row],[Date Allocated]]="N/A"),"N/A",Table32[[#This Row],[Date Allocated]]-Table32[[#This Row],[Date Assessed]])</f>
        <v>2</v>
      </c>
      <c r="S39" s="5">
        <v>45569</v>
      </c>
      <c r="T39" t="s">
        <v>255</v>
      </c>
      <c r="U39" t="s">
        <v>262</v>
      </c>
    </row>
    <row r="40" spans="1:21" x14ac:dyDescent="0.2">
      <c r="A40" s="4" t="s">
        <v>50</v>
      </c>
      <c r="B40" s="5">
        <v>35378</v>
      </c>
      <c r="C40">
        <f t="shared" ca="1" si="1"/>
        <v>28</v>
      </c>
      <c r="D40" t="str">
        <f t="shared" ca="1" si="2"/>
        <v>25–34</v>
      </c>
      <c r="E40" t="s">
        <v>225</v>
      </c>
      <c r="F40" t="s">
        <v>228</v>
      </c>
      <c r="G40" t="s">
        <v>241</v>
      </c>
      <c r="H40" t="str">
        <f t="shared" si="0"/>
        <v>BAME</v>
      </c>
      <c r="I40" t="s">
        <v>247</v>
      </c>
      <c r="J40" t="s">
        <v>252</v>
      </c>
      <c r="K40" s="5">
        <v>45320</v>
      </c>
      <c r="L40" s="7" t="str">
        <f t="shared" si="3"/>
        <v>January 2024</v>
      </c>
      <c r="M40" s="5">
        <v>45322</v>
      </c>
      <c r="N40" s="5">
        <f>IF(ISNUMBER(Table32[[#This Row],[Date Assessed]]),Table32[[#This Row],[Date Assessed]], DATE(1900,1,1))</f>
        <v>45322</v>
      </c>
      <c r="O40" s="13">
        <f>IF(OR(Table32[[#This Row],[Date Assessed]]="N/A",  Table32[[#This Row],[Date Referred]] = "N/A"), "N/A",  Table32[[#This Row],[Date Assessed]]-Table32[[#This Row],[Date Referred]])</f>
        <v>2</v>
      </c>
      <c r="P40" s="18">
        <v>45365</v>
      </c>
      <c r="Q40" s="5">
        <f>IF(ISNUMBER(Table32[[#This Row],[Date Allocated]]),Table32[[#This Row],[Date Allocated]],DATE(1900,1,1))</f>
        <v>45365</v>
      </c>
      <c r="R40" s="14">
        <f>IF(OR(Table32[[#This Row],[Date Assessed]]="N/A",Table32[[#This Row],[Date Allocated]]="N/A"),"N/A",Table32[[#This Row],[Date Allocated]]-Table32[[#This Row],[Date Assessed]])</f>
        <v>43</v>
      </c>
      <c r="S40" s="5">
        <v>45508</v>
      </c>
      <c r="T40" t="s">
        <v>255</v>
      </c>
      <c r="U40" t="s">
        <v>272</v>
      </c>
    </row>
    <row r="41" spans="1:21" x14ac:dyDescent="0.2">
      <c r="A41" s="4" t="s">
        <v>51</v>
      </c>
      <c r="B41" s="5">
        <v>23853</v>
      </c>
      <c r="C41">
        <f t="shared" ca="1" si="1"/>
        <v>60</v>
      </c>
      <c r="D41" t="str">
        <f t="shared" ca="1" si="2"/>
        <v>55–64</v>
      </c>
      <c r="E41" t="s">
        <v>225</v>
      </c>
      <c r="F41" t="s">
        <v>234</v>
      </c>
      <c r="G41" t="s">
        <v>243</v>
      </c>
      <c r="H41" t="str">
        <f t="shared" si="0"/>
        <v>BAME</v>
      </c>
      <c r="I41" t="s">
        <v>246</v>
      </c>
      <c r="J41" t="s">
        <v>253</v>
      </c>
      <c r="K41" s="5">
        <v>45543</v>
      </c>
      <c r="L41" s="7" t="str">
        <f t="shared" si="3"/>
        <v>September 2024</v>
      </c>
      <c r="M41" s="5">
        <v>45580</v>
      </c>
      <c r="N41" s="5">
        <f>IF(ISNUMBER(Table32[[#This Row],[Date Assessed]]),Table32[[#This Row],[Date Assessed]], DATE(1900,1,1))</f>
        <v>45580</v>
      </c>
      <c r="O41" s="13">
        <f>IF(OR(Table32[[#This Row],[Date Assessed]]="N/A",  Table32[[#This Row],[Date Referred]] = "N/A"), "N/A",  Table32[[#This Row],[Date Assessed]]-Table32[[#This Row],[Date Referred]])</f>
        <v>37</v>
      </c>
      <c r="P41" s="18">
        <v>45597</v>
      </c>
      <c r="Q41" s="5">
        <f>IF(ISNUMBER(Table32[[#This Row],[Date Allocated]]),Table32[[#This Row],[Date Allocated]],DATE(1900,1,1))</f>
        <v>45597</v>
      </c>
      <c r="R41" s="14">
        <f>IF(OR(Table32[[#This Row],[Date Assessed]]="N/A",Table32[[#This Row],[Date Allocated]]="N/A"),"N/A",Table32[[#This Row],[Date Allocated]]-Table32[[#This Row],[Date Assessed]])</f>
        <v>17</v>
      </c>
      <c r="S41" s="5">
        <v>45737</v>
      </c>
      <c r="T41" t="s">
        <v>255</v>
      </c>
      <c r="U41" t="s">
        <v>264</v>
      </c>
    </row>
    <row r="42" spans="1:21" x14ac:dyDescent="0.2">
      <c r="A42" s="4" t="s">
        <v>52</v>
      </c>
      <c r="B42" s="5">
        <v>37306</v>
      </c>
      <c r="C42">
        <f t="shared" ca="1" si="1"/>
        <v>23</v>
      </c>
      <c r="D42" t="str">
        <f t="shared" ca="1" si="2"/>
        <v>18–24</v>
      </c>
      <c r="E42" t="s">
        <v>225</v>
      </c>
      <c r="F42" t="s">
        <v>230</v>
      </c>
      <c r="G42" t="s">
        <v>243</v>
      </c>
      <c r="H42" t="str">
        <f t="shared" si="0"/>
        <v>BAME</v>
      </c>
      <c r="I42" t="s">
        <v>247</v>
      </c>
      <c r="J42" t="s">
        <v>250</v>
      </c>
      <c r="K42" s="5">
        <v>45468</v>
      </c>
      <c r="L42" s="7" t="str">
        <f t="shared" si="3"/>
        <v>June 2024</v>
      </c>
      <c r="M42" s="5">
        <v>45475</v>
      </c>
      <c r="N42" s="5">
        <f>IF(ISNUMBER(Table32[[#This Row],[Date Assessed]]),Table32[[#This Row],[Date Assessed]], DATE(1900,1,1))</f>
        <v>45475</v>
      </c>
      <c r="O42" s="13">
        <f>IF(OR(Table32[[#This Row],[Date Assessed]]="N/A",  Table32[[#This Row],[Date Referred]] = "N/A"), "N/A",  Table32[[#This Row],[Date Assessed]]-Table32[[#This Row],[Date Referred]])</f>
        <v>7</v>
      </c>
      <c r="P42" s="18">
        <v>45494</v>
      </c>
      <c r="Q42" s="5">
        <f>IF(ISNUMBER(Table32[[#This Row],[Date Allocated]]),Table32[[#This Row],[Date Allocated]],DATE(1900,1,1))</f>
        <v>45494</v>
      </c>
      <c r="R42" s="14">
        <f>IF(OR(Table32[[#This Row],[Date Assessed]]="N/A",Table32[[#This Row],[Date Allocated]]="N/A"),"N/A",Table32[[#This Row],[Date Allocated]]-Table32[[#This Row],[Date Assessed]])</f>
        <v>19</v>
      </c>
      <c r="S42" s="5">
        <v>45665</v>
      </c>
      <c r="T42" t="s">
        <v>255</v>
      </c>
      <c r="U42" t="s">
        <v>272</v>
      </c>
    </row>
    <row r="43" spans="1:21" x14ac:dyDescent="0.2">
      <c r="A43" s="4" t="s">
        <v>53</v>
      </c>
      <c r="B43" s="5">
        <v>27018</v>
      </c>
      <c r="C43">
        <f t="shared" ca="1" si="1"/>
        <v>51</v>
      </c>
      <c r="D43" t="str">
        <f t="shared" ca="1" si="2"/>
        <v>45–54</v>
      </c>
      <c r="E43" t="s">
        <v>225</v>
      </c>
      <c r="F43" t="s">
        <v>230</v>
      </c>
      <c r="G43" t="s">
        <v>243</v>
      </c>
      <c r="H43" t="str">
        <f t="shared" si="0"/>
        <v>BAME</v>
      </c>
      <c r="I43" t="s">
        <v>247</v>
      </c>
      <c r="J43" t="s">
        <v>252</v>
      </c>
      <c r="K43" s="5">
        <v>45317</v>
      </c>
      <c r="L43" s="7" t="str">
        <f t="shared" si="3"/>
        <v>January 2024</v>
      </c>
      <c r="M43" s="5" t="s">
        <v>226</v>
      </c>
      <c r="N43" s="5">
        <f>IF(ISNUMBER(Table32[[#This Row],[Date Assessed]]),Table32[[#This Row],[Date Assessed]], DATE(1900,1,1))</f>
        <v>1</v>
      </c>
      <c r="O43" s="13" t="str">
        <f>IF(OR(Table32[[#This Row],[Date Assessed]]="N/A",  Table32[[#This Row],[Date Referred]] = "N/A"), "N/A",  Table32[[#This Row],[Date Assessed]]-Table32[[#This Row],[Date Referred]])</f>
        <v>N/A</v>
      </c>
      <c r="P43" s="18" t="s">
        <v>226</v>
      </c>
      <c r="Q43" s="5">
        <f>IF(ISNUMBER(Table32[[#This Row],[Date Allocated]]),Table32[[#This Row],[Date Allocated]],DATE(1900,1,1))</f>
        <v>1</v>
      </c>
      <c r="R43" s="14" t="str">
        <f>IF(OR(Table32[[#This Row],[Date Assessed]]="N/A",Table32[[#This Row],[Date Allocated]]="N/A"),"N/A",Table32[[#This Row],[Date Allocated]]-Table32[[#This Row],[Date Assessed]])</f>
        <v>N/A</v>
      </c>
      <c r="S43" s="5" t="s">
        <v>226</v>
      </c>
      <c r="T43" t="s">
        <v>255</v>
      </c>
      <c r="U43" t="s">
        <v>272</v>
      </c>
    </row>
    <row r="44" spans="1:21" x14ac:dyDescent="0.2">
      <c r="A44" s="4" t="s">
        <v>54</v>
      </c>
      <c r="B44" s="5">
        <v>21191</v>
      </c>
      <c r="C44">
        <f t="shared" ca="1" si="1"/>
        <v>67</v>
      </c>
      <c r="D44" t="str">
        <f t="shared" ca="1" si="2"/>
        <v>65+</v>
      </c>
      <c r="E44" t="s">
        <v>225</v>
      </c>
      <c r="F44" t="s">
        <v>229</v>
      </c>
      <c r="G44" t="s">
        <v>243</v>
      </c>
      <c r="H44" t="str">
        <f t="shared" si="0"/>
        <v>BAME</v>
      </c>
      <c r="I44" t="s">
        <v>246</v>
      </c>
      <c r="J44" t="s">
        <v>251</v>
      </c>
      <c r="K44" s="5">
        <v>45342</v>
      </c>
      <c r="L44" s="7" t="str">
        <f t="shared" si="3"/>
        <v>February 2024</v>
      </c>
      <c r="M44" s="5">
        <v>45362</v>
      </c>
      <c r="N44" s="5">
        <f>IF(ISNUMBER(Table32[[#This Row],[Date Assessed]]),Table32[[#This Row],[Date Assessed]], DATE(1900,1,1))</f>
        <v>45362</v>
      </c>
      <c r="O44" s="13">
        <f>IF(OR(Table32[[#This Row],[Date Assessed]]="N/A",  Table32[[#This Row],[Date Referred]] = "N/A"), "N/A",  Table32[[#This Row],[Date Assessed]]-Table32[[#This Row],[Date Referred]])</f>
        <v>20</v>
      </c>
      <c r="P44" s="18">
        <v>45383</v>
      </c>
      <c r="Q44" s="5">
        <f>IF(ISNUMBER(Table32[[#This Row],[Date Allocated]]),Table32[[#This Row],[Date Allocated]],DATE(1900,1,1))</f>
        <v>45383</v>
      </c>
      <c r="R44" s="14">
        <f>IF(OR(Table32[[#This Row],[Date Assessed]]="N/A",Table32[[#This Row],[Date Allocated]]="N/A"),"N/A",Table32[[#This Row],[Date Allocated]]-Table32[[#This Row],[Date Assessed]])</f>
        <v>21</v>
      </c>
      <c r="S44" s="5">
        <v>45506</v>
      </c>
      <c r="T44" t="s">
        <v>255</v>
      </c>
      <c r="U44" t="s">
        <v>264</v>
      </c>
    </row>
    <row r="45" spans="1:21" x14ac:dyDescent="0.2">
      <c r="A45" s="4" t="s">
        <v>55</v>
      </c>
      <c r="B45" s="5">
        <v>27329</v>
      </c>
      <c r="C45">
        <f t="shared" ca="1" si="1"/>
        <v>50</v>
      </c>
      <c r="D45" t="str">
        <f t="shared" ca="1" si="2"/>
        <v>45–54</v>
      </c>
      <c r="E45" t="s">
        <v>225</v>
      </c>
      <c r="F45" t="s">
        <v>230</v>
      </c>
      <c r="G45" t="s">
        <v>243</v>
      </c>
      <c r="H45" t="str">
        <f t="shared" si="0"/>
        <v>BAME</v>
      </c>
      <c r="I45" t="s">
        <v>247</v>
      </c>
      <c r="J45" t="s">
        <v>252</v>
      </c>
      <c r="K45" s="5">
        <v>45427</v>
      </c>
      <c r="L45" s="7" t="str">
        <f t="shared" si="3"/>
        <v>May 2024</v>
      </c>
      <c r="M45" s="5">
        <v>45452</v>
      </c>
      <c r="N45" s="5">
        <f>IF(ISNUMBER(Table32[[#This Row],[Date Assessed]]),Table32[[#This Row],[Date Assessed]], DATE(1900,1,1))</f>
        <v>45452</v>
      </c>
      <c r="O45" s="13">
        <f>IF(OR(Table32[[#This Row],[Date Assessed]]="N/A",  Table32[[#This Row],[Date Referred]] = "N/A"), "N/A",  Table32[[#This Row],[Date Assessed]]-Table32[[#This Row],[Date Referred]])</f>
        <v>25</v>
      </c>
      <c r="P45" s="18">
        <v>45479</v>
      </c>
      <c r="Q45" s="5">
        <f>IF(ISNUMBER(Table32[[#This Row],[Date Allocated]]),Table32[[#This Row],[Date Allocated]],DATE(1900,1,1))</f>
        <v>45479</v>
      </c>
      <c r="R45" s="14">
        <f>IF(OR(Table32[[#This Row],[Date Assessed]]="N/A",Table32[[#This Row],[Date Allocated]]="N/A"),"N/A",Table32[[#This Row],[Date Allocated]]-Table32[[#This Row],[Date Assessed]])</f>
        <v>27</v>
      </c>
      <c r="S45" s="5" t="s">
        <v>226</v>
      </c>
      <c r="T45" t="s">
        <v>255</v>
      </c>
      <c r="U45" t="s">
        <v>263</v>
      </c>
    </row>
    <row r="46" spans="1:21" x14ac:dyDescent="0.2">
      <c r="A46" s="4" t="s">
        <v>56</v>
      </c>
      <c r="B46" s="5">
        <v>24093</v>
      </c>
      <c r="C46">
        <f t="shared" ca="1" si="1"/>
        <v>59</v>
      </c>
      <c r="D46" t="str">
        <f t="shared" ca="1" si="2"/>
        <v>55–64</v>
      </c>
      <c r="E46" t="s">
        <v>225</v>
      </c>
      <c r="F46" t="s">
        <v>228</v>
      </c>
      <c r="G46" t="s">
        <v>243</v>
      </c>
      <c r="H46" t="str">
        <f t="shared" si="0"/>
        <v>BAME</v>
      </c>
      <c r="I46" t="s">
        <v>247</v>
      </c>
      <c r="J46" t="s">
        <v>253</v>
      </c>
      <c r="K46" s="5">
        <v>45392</v>
      </c>
      <c r="L46" s="7" t="str">
        <f t="shared" si="3"/>
        <v>April 2024</v>
      </c>
      <c r="M46" s="5">
        <v>45405</v>
      </c>
      <c r="N46" s="5">
        <f>IF(ISNUMBER(Table32[[#This Row],[Date Assessed]]),Table32[[#This Row],[Date Assessed]], DATE(1900,1,1))</f>
        <v>45405</v>
      </c>
      <c r="O46" s="13">
        <f>IF(OR(Table32[[#This Row],[Date Assessed]]="N/A",  Table32[[#This Row],[Date Referred]] = "N/A"), "N/A",  Table32[[#This Row],[Date Assessed]]-Table32[[#This Row],[Date Referred]])</f>
        <v>13</v>
      </c>
      <c r="P46" s="18">
        <v>45454</v>
      </c>
      <c r="Q46" s="5">
        <f>IF(ISNUMBER(Table32[[#This Row],[Date Allocated]]),Table32[[#This Row],[Date Allocated]],DATE(1900,1,1))</f>
        <v>45454</v>
      </c>
      <c r="R46" s="14">
        <f>IF(OR(Table32[[#This Row],[Date Assessed]]="N/A",Table32[[#This Row],[Date Allocated]]="N/A"),"N/A",Table32[[#This Row],[Date Allocated]]-Table32[[#This Row],[Date Assessed]])</f>
        <v>49</v>
      </c>
      <c r="S46" s="5">
        <v>45576</v>
      </c>
      <c r="T46" t="s">
        <v>255</v>
      </c>
      <c r="U46" t="s">
        <v>263</v>
      </c>
    </row>
    <row r="47" spans="1:21" x14ac:dyDescent="0.2">
      <c r="A47" s="4" t="s">
        <v>57</v>
      </c>
      <c r="B47" s="5">
        <v>32744</v>
      </c>
      <c r="C47">
        <f t="shared" ca="1" si="1"/>
        <v>36</v>
      </c>
      <c r="D47" t="str">
        <f t="shared" ca="1" si="2"/>
        <v>35–44</v>
      </c>
      <c r="E47" t="s">
        <v>225</v>
      </c>
      <c r="F47" t="s">
        <v>229</v>
      </c>
      <c r="G47" t="s">
        <v>243</v>
      </c>
      <c r="H47" t="str">
        <f t="shared" si="0"/>
        <v>BAME</v>
      </c>
      <c r="I47" t="s">
        <v>247</v>
      </c>
      <c r="J47" t="s">
        <v>250</v>
      </c>
      <c r="K47" s="5">
        <v>45646</v>
      </c>
      <c r="L47" s="7" t="str">
        <f t="shared" si="3"/>
        <v>December 2024</v>
      </c>
      <c r="M47" s="5">
        <v>45658</v>
      </c>
      <c r="N47" s="5">
        <f>IF(ISNUMBER(Table32[[#This Row],[Date Assessed]]),Table32[[#This Row],[Date Assessed]], DATE(1900,1,1))</f>
        <v>45658</v>
      </c>
      <c r="O47" s="13">
        <f>IF(OR(Table32[[#This Row],[Date Assessed]]="N/A",  Table32[[#This Row],[Date Referred]] = "N/A"), "N/A",  Table32[[#This Row],[Date Assessed]]-Table32[[#This Row],[Date Referred]])</f>
        <v>12</v>
      </c>
      <c r="P47" s="18">
        <v>45685</v>
      </c>
      <c r="Q47" s="5">
        <f>IF(ISNUMBER(Table32[[#This Row],[Date Allocated]]),Table32[[#This Row],[Date Allocated]],DATE(1900,1,1))</f>
        <v>45685</v>
      </c>
      <c r="R47" s="14">
        <f>IF(OR(Table32[[#This Row],[Date Assessed]]="N/A",Table32[[#This Row],[Date Allocated]]="N/A"),"N/A",Table32[[#This Row],[Date Allocated]]-Table32[[#This Row],[Date Assessed]])</f>
        <v>27</v>
      </c>
      <c r="S47" s="5">
        <v>45844</v>
      </c>
      <c r="T47" t="s">
        <v>255</v>
      </c>
      <c r="U47" t="s">
        <v>263</v>
      </c>
    </row>
    <row r="48" spans="1:21" x14ac:dyDescent="0.2">
      <c r="A48" s="4" t="s">
        <v>58</v>
      </c>
      <c r="B48" s="5">
        <v>38610</v>
      </c>
      <c r="C48">
        <f t="shared" ca="1" si="1"/>
        <v>20</v>
      </c>
      <c r="D48" t="str">
        <f t="shared" ca="1" si="2"/>
        <v>18–24</v>
      </c>
      <c r="E48" t="s">
        <v>224</v>
      </c>
      <c r="F48" t="s">
        <v>228</v>
      </c>
      <c r="G48" t="s">
        <v>242</v>
      </c>
      <c r="H48" t="str">
        <f t="shared" si="0"/>
        <v>White</v>
      </c>
      <c r="I48" t="s">
        <v>247</v>
      </c>
      <c r="J48" t="s">
        <v>250</v>
      </c>
      <c r="K48" s="5">
        <v>45369</v>
      </c>
      <c r="L48" s="7" t="str">
        <f t="shared" si="3"/>
        <v>March 2024</v>
      </c>
      <c r="M48" s="5" t="s">
        <v>226</v>
      </c>
      <c r="N48" s="5">
        <f>IF(ISNUMBER(Table32[[#This Row],[Date Assessed]]),Table32[[#This Row],[Date Assessed]], DATE(1900,1,1))</f>
        <v>1</v>
      </c>
      <c r="O48" s="13" t="str">
        <f>IF(OR(Table32[[#This Row],[Date Assessed]]="N/A",  Table32[[#This Row],[Date Referred]] = "N/A"), "N/A",  Table32[[#This Row],[Date Assessed]]-Table32[[#This Row],[Date Referred]])</f>
        <v>N/A</v>
      </c>
      <c r="P48" s="18" t="s">
        <v>226</v>
      </c>
      <c r="Q48" s="5">
        <f>IF(ISNUMBER(Table32[[#This Row],[Date Allocated]]),Table32[[#This Row],[Date Allocated]],DATE(1900,1,1))</f>
        <v>1</v>
      </c>
      <c r="R48" s="14" t="str">
        <f>IF(OR(Table32[[#This Row],[Date Assessed]]="N/A",Table32[[#This Row],[Date Allocated]]="N/A"),"N/A",Table32[[#This Row],[Date Allocated]]-Table32[[#This Row],[Date Assessed]])</f>
        <v>N/A</v>
      </c>
      <c r="S48" s="5" t="s">
        <v>226</v>
      </c>
      <c r="T48" t="s">
        <v>256</v>
      </c>
      <c r="U48" t="s">
        <v>262</v>
      </c>
    </row>
    <row r="49" spans="1:21" x14ac:dyDescent="0.2">
      <c r="A49" s="4" t="s">
        <v>59</v>
      </c>
      <c r="B49" s="5">
        <v>33856</v>
      </c>
      <c r="C49">
        <f t="shared" ca="1" si="1"/>
        <v>33</v>
      </c>
      <c r="D49" t="str">
        <f t="shared" ca="1" si="2"/>
        <v>25–34</v>
      </c>
      <c r="E49" t="s">
        <v>225</v>
      </c>
      <c r="F49" t="s">
        <v>230</v>
      </c>
      <c r="G49" t="s">
        <v>243</v>
      </c>
      <c r="H49" t="str">
        <f t="shared" si="0"/>
        <v>BAME</v>
      </c>
      <c r="I49" t="s">
        <v>247</v>
      </c>
      <c r="J49" t="s">
        <v>252</v>
      </c>
      <c r="K49" s="5">
        <v>45596</v>
      </c>
      <c r="L49" s="7" t="str">
        <f t="shared" si="3"/>
        <v>October 2024</v>
      </c>
      <c r="M49" s="5" t="s">
        <v>226</v>
      </c>
      <c r="N49" s="5">
        <f>IF(ISNUMBER(Table32[[#This Row],[Date Assessed]]),Table32[[#This Row],[Date Assessed]], DATE(1900,1,1))</f>
        <v>1</v>
      </c>
      <c r="O49" s="13" t="str">
        <f>IF(OR(Table32[[#This Row],[Date Assessed]]="N/A",  Table32[[#This Row],[Date Referred]] = "N/A"), "N/A",  Table32[[#This Row],[Date Assessed]]-Table32[[#This Row],[Date Referred]])</f>
        <v>N/A</v>
      </c>
      <c r="P49" s="18" t="s">
        <v>226</v>
      </c>
      <c r="Q49" s="5">
        <f>IF(ISNUMBER(Table32[[#This Row],[Date Allocated]]),Table32[[#This Row],[Date Allocated]],DATE(1900,1,1))</f>
        <v>1</v>
      </c>
      <c r="R49" s="14" t="str">
        <f>IF(OR(Table32[[#This Row],[Date Assessed]]="N/A",Table32[[#This Row],[Date Allocated]]="N/A"),"N/A",Table32[[#This Row],[Date Allocated]]-Table32[[#This Row],[Date Assessed]])</f>
        <v>N/A</v>
      </c>
      <c r="S49" s="5" t="s">
        <v>226</v>
      </c>
      <c r="T49" t="s">
        <v>256</v>
      </c>
      <c r="U49" t="s">
        <v>261</v>
      </c>
    </row>
    <row r="50" spans="1:21" x14ac:dyDescent="0.2">
      <c r="A50" s="4" t="s">
        <v>60</v>
      </c>
      <c r="B50" s="5">
        <v>34662</v>
      </c>
      <c r="C50">
        <f t="shared" ca="1" si="1"/>
        <v>30</v>
      </c>
      <c r="D50" t="str">
        <f t="shared" ca="1" si="2"/>
        <v>25–34</v>
      </c>
      <c r="E50" t="s">
        <v>225</v>
      </c>
      <c r="F50" t="s">
        <v>227</v>
      </c>
      <c r="G50" t="s">
        <v>227</v>
      </c>
      <c r="H50" t="str">
        <f t="shared" si="0"/>
        <v>BAME</v>
      </c>
      <c r="I50" t="s">
        <v>247</v>
      </c>
      <c r="J50" t="s">
        <v>250</v>
      </c>
      <c r="K50" s="5">
        <v>45522</v>
      </c>
      <c r="L50" s="7" t="str">
        <f t="shared" si="3"/>
        <v>August 2024</v>
      </c>
      <c r="M50" s="5">
        <v>45552</v>
      </c>
      <c r="N50" s="5">
        <f>IF(ISNUMBER(Table32[[#This Row],[Date Assessed]]),Table32[[#This Row],[Date Assessed]], DATE(1900,1,1))</f>
        <v>45552</v>
      </c>
      <c r="O50" s="13">
        <f>IF(OR(Table32[[#This Row],[Date Assessed]]="N/A",  Table32[[#This Row],[Date Referred]] = "N/A"), "N/A",  Table32[[#This Row],[Date Assessed]]-Table32[[#This Row],[Date Referred]])</f>
        <v>30</v>
      </c>
      <c r="P50" s="18">
        <v>45609</v>
      </c>
      <c r="Q50" s="5">
        <f>IF(ISNUMBER(Table32[[#This Row],[Date Allocated]]),Table32[[#This Row],[Date Allocated]],DATE(1900,1,1))</f>
        <v>45609</v>
      </c>
      <c r="R50" s="14">
        <f>IF(OR(Table32[[#This Row],[Date Assessed]]="N/A",Table32[[#This Row],[Date Allocated]]="N/A"),"N/A",Table32[[#This Row],[Date Allocated]]-Table32[[#This Row],[Date Assessed]])</f>
        <v>57</v>
      </c>
      <c r="S50" s="5">
        <v>45777</v>
      </c>
      <c r="T50" t="s">
        <v>255</v>
      </c>
      <c r="U50" t="s">
        <v>261</v>
      </c>
    </row>
    <row r="51" spans="1:21" x14ac:dyDescent="0.2">
      <c r="A51" s="4" t="s">
        <v>61</v>
      </c>
      <c r="B51" s="5">
        <v>22176</v>
      </c>
      <c r="C51">
        <f t="shared" ca="1" si="1"/>
        <v>65</v>
      </c>
      <c r="D51" t="str">
        <f t="shared" ca="1" si="2"/>
        <v>65+</v>
      </c>
      <c r="E51" t="s">
        <v>224</v>
      </c>
      <c r="F51" t="s">
        <v>229</v>
      </c>
      <c r="G51" t="s">
        <v>243</v>
      </c>
      <c r="H51" t="str">
        <f t="shared" si="0"/>
        <v>BAME</v>
      </c>
      <c r="I51" t="s">
        <v>246</v>
      </c>
      <c r="J51" t="s">
        <v>253</v>
      </c>
      <c r="K51" s="5">
        <v>45497</v>
      </c>
      <c r="L51" s="7" t="str">
        <f t="shared" si="3"/>
        <v>July 2024</v>
      </c>
      <c r="M51" s="5">
        <v>45499</v>
      </c>
      <c r="N51" s="5">
        <f>IF(ISNUMBER(Table32[[#This Row],[Date Assessed]]),Table32[[#This Row],[Date Assessed]], DATE(1900,1,1))</f>
        <v>45499</v>
      </c>
      <c r="O51" s="13">
        <f>IF(OR(Table32[[#This Row],[Date Assessed]]="N/A",  Table32[[#This Row],[Date Referred]] = "N/A"), "N/A",  Table32[[#This Row],[Date Assessed]]-Table32[[#This Row],[Date Referred]])</f>
        <v>2</v>
      </c>
      <c r="P51" s="18">
        <v>45519</v>
      </c>
      <c r="Q51" s="5">
        <f>IF(ISNUMBER(Table32[[#This Row],[Date Allocated]]),Table32[[#This Row],[Date Allocated]],DATE(1900,1,1))</f>
        <v>45519</v>
      </c>
      <c r="R51" s="14">
        <f>IF(OR(Table32[[#This Row],[Date Assessed]]="N/A",Table32[[#This Row],[Date Allocated]]="N/A"),"N/A",Table32[[#This Row],[Date Allocated]]-Table32[[#This Row],[Date Assessed]])</f>
        <v>20</v>
      </c>
      <c r="S51" s="5">
        <v>45660</v>
      </c>
      <c r="T51" t="s">
        <v>255</v>
      </c>
      <c r="U51" t="s">
        <v>272</v>
      </c>
    </row>
    <row r="52" spans="1:21" x14ac:dyDescent="0.2">
      <c r="A52" s="4" t="s">
        <v>62</v>
      </c>
      <c r="B52" s="5">
        <v>27721</v>
      </c>
      <c r="C52">
        <f t="shared" ca="1" si="1"/>
        <v>49</v>
      </c>
      <c r="D52" t="str">
        <f t="shared" ca="1" si="2"/>
        <v>45–54</v>
      </c>
      <c r="E52" t="s">
        <v>225</v>
      </c>
      <c r="F52" t="s">
        <v>229</v>
      </c>
      <c r="G52" t="s">
        <v>243</v>
      </c>
      <c r="H52" t="str">
        <f t="shared" si="0"/>
        <v>BAME</v>
      </c>
      <c r="I52" t="s">
        <v>247</v>
      </c>
      <c r="J52" t="s">
        <v>251</v>
      </c>
      <c r="K52" s="5">
        <v>45576</v>
      </c>
      <c r="L52" s="7" t="str">
        <f t="shared" si="3"/>
        <v>October 2024</v>
      </c>
      <c r="M52" s="5">
        <v>45590</v>
      </c>
      <c r="N52" s="5">
        <f>IF(ISNUMBER(Table32[[#This Row],[Date Assessed]]),Table32[[#This Row],[Date Assessed]], DATE(1900,1,1))</f>
        <v>45590</v>
      </c>
      <c r="O52" s="13">
        <f>IF(OR(Table32[[#This Row],[Date Assessed]]="N/A",  Table32[[#This Row],[Date Referred]] = "N/A"), "N/A",  Table32[[#This Row],[Date Assessed]]-Table32[[#This Row],[Date Referred]])</f>
        <v>14</v>
      </c>
      <c r="P52" s="18">
        <v>45594</v>
      </c>
      <c r="Q52" s="5">
        <f>IF(ISNUMBER(Table32[[#This Row],[Date Allocated]]),Table32[[#This Row],[Date Allocated]],DATE(1900,1,1))</f>
        <v>45594</v>
      </c>
      <c r="R52" s="14">
        <f>IF(OR(Table32[[#This Row],[Date Assessed]]="N/A",Table32[[#This Row],[Date Allocated]]="N/A"),"N/A",Table32[[#This Row],[Date Allocated]]-Table32[[#This Row],[Date Assessed]])</f>
        <v>4</v>
      </c>
      <c r="S52" s="5">
        <v>45773</v>
      </c>
      <c r="T52" t="s">
        <v>255</v>
      </c>
      <c r="U52" t="s">
        <v>262</v>
      </c>
    </row>
    <row r="53" spans="1:21" x14ac:dyDescent="0.2">
      <c r="A53" s="4" t="s">
        <v>63</v>
      </c>
      <c r="B53" s="5">
        <v>38558</v>
      </c>
      <c r="C53">
        <f t="shared" ca="1" si="1"/>
        <v>20</v>
      </c>
      <c r="D53" t="str">
        <f t="shared" ca="1" si="2"/>
        <v>18–24</v>
      </c>
      <c r="E53" t="s">
        <v>224</v>
      </c>
      <c r="F53" t="s">
        <v>231</v>
      </c>
      <c r="G53" t="s">
        <v>241</v>
      </c>
      <c r="H53" t="str">
        <f t="shared" si="0"/>
        <v>BAME</v>
      </c>
      <c r="I53" t="s">
        <v>247</v>
      </c>
      <c r="J53" t="s">
        <v>252</v>
      </c>
      <c r="K53" s="5">
        <v>45454</v>
      </c>
      <c r="L53" s="7" t="str">
        <f t="shared" si="3"/>
        <v>June 2024</v>
      </c>
      <c r="M53" s="5">
        <v>45462</v>
      </c>
      <c r="N53" s="5">
        <f>IF(ISNUMBER(Table32[[#This Row],[Date Assessed]]),Table32[[#This Row],[Date Assessed]], DATE(1900,1,1))</f>
        <v>45462</v>
      </c>
      <c r="O53" s="13">
        <f>IF(OR(Table32[[#This Row],[Date Assessed]]="N/A",  Table32[[#This Row],[Date Referred]] = "N/A"), "N/A",  Table32[[#This Row],[Date Assessed]]-Table32[[#This Row],[Date Referred]])</f>
        <v>8</v>
      </c>
      <c r="P53" s="18">
        <v>45488</v>
      </c>
      <c r="Q53" s="5">
        <f>IF(ISNUMBER(Table32[[#This Row],[Date Allocated]]),Table32[[#This Row],[Date Allocated]],DATE(1900,1,1))</f>
        <v>45488</v>
      </c>
      <c r="R53" s="14">
        <f>IF(OR(Table32[[#This Row],[Date Assessed]]="N/A",Table32[[#This Row],[Date Allocated]]="N/A"),"N/A",Table32[[#This Row],[Date Allocated]]-Table32[[#This Row],[Date Assessed]])</f>
        <v>26</v>
      </c>
      <c r="S53" s="5">
        <v>45617</v>
      </c>
      <c r="T53" t="s">
        <v>255</v>
      </c>
      <c r="U53" t="s">
        <v>272</v>
      </c>
    </row>
    <row r="54" spans="1:21" x14ac:dyDescent="0.2">
      <c r="A54" s="4" t="s">
        <v>64</v>
      </c>
      <c r="B54" s="5">
        <v>34557</v>
      </c>
      <c r="C54">
        <f t="shared" ca="1" si="1"/>
        <v>31</v>
      </c>
      <c r="D54" t="str">
        <f t="shared" ca="1" si="2"/>
        <v>25–34</v>
      </c>
      <c r="E54" t="s">
        <v>224</v>
      </c>
      <c r="F54" t="s">
        <v>230</v>
      </c>
      <c r="G54" t="s">
        <v>243</v>
      </c>
      <c r="H54" t="str">
        <f t="shared" si="0"/>
        <v>BAME</v>
      </c>
      <c r="I54" t="s">
        <v>247</v>
      </c>
      <c r="J54" t="s">
        <v>252</v>
      </c>
      <c r="K54" s="5">
        <v>45400</v>
      </c>
      <c r="L54" s="7" t="str">
        <f t="shared" si="3"/>
        <v>April 2024</v>
      </c>
      <c r="M54" s="5">
        <v>45424</v>
      </c>
      <c r="N54" s="5">
        <f>IF(ISNUMBER(Table32[[#This Row],[Date Assessed]]),Table32[[#This Row],[Date Assessed]], DATE(1900,1,1))</f>
        <v>45424</v>
      </c>
      <c r="O54" s="13">
        <f>IF(OR(Table32[[#This Row],[Date Assessed]]="N/A",  Table32[[#This Row],[Date Referred]] = "N/A"), "N/A",  Table32[[#This Row],[Date Assessed]]-Table32[[#This Row],[Date Referred]])</f>
        <v>24</v>
      </c>
      <c r="P54" s="18">
        <v>45436</v>
      </c>
      <c r="Q54" s="5">
        <f>IF(ISNUMBER(Table32[[#This Row],[Date Allocated]]),Table32[[#This Row],[Date Allocated]],DATE(1900,1,1))</f>
        <v>45436</v>
      </c>
      <c r="R54" s="14">
        <f>IF(OR(Table32[[#This Row],[Date Assessed]]="N/A",Table32[[#This Row],[Date Allocated]]="N/A"),"N/A",Table32[[#This Row],[Date Allocated]]-Table32[[#This Row],[Date Assessed]])</f>
        <v>12</v>
      </c>
      <c r="S54" s="5">
        <v>45577</v>
      </c>
      <c r="T54" t="s">
        <v>255</v>
      </c>
      <c r="U54" t="s">
        <v>261</v>
      </c>
    </row>
    <row r="55" spans="1:21" x14ac:dyDescent="0.2">
      <c r="A55" s="4" t="s">
        <v>65</v>
      </c>
      <c r="B55" s="5">
        <v>25374</v>
      </c>
      <c r="C55">
        <f t="shared" ca="1" si="1"/>
        <v>56</v>
      </c>
      <c r="D55" t="str">
        <f t="shared" ca="1" si="2"/>
        <v>55–64</v>
      </c>
      <c r="E55" t="s">
        <v>224</v>
      </c>
      <c r="F55" t="s">
        <v>228</v>
      </c>
      <c r="G55" t="s">
        <v>243</v>
      </c>
      <c r="H55" t="str">
        <f t="shared" si="0"/>
        <v>BAME</v>
      </c>
      <c r="I55" t="s">
        <v>247</v>
      </c>
      <c r="J55" t="s">
        <v>253</v>
      </c>
      <c r="K55" s="5">
        <v>45304</v>
      </c>
      <c r="L55" s="7" t="str">
        <f t="shared" si="3"/>
        <v>January 2024</v>
      </c>
      <c r="M55" s="5">
        <v>45314</v>
      </c>
      <c r="N55" s="5">
        <f>IF(ISNUMBER(Table32[[#This Row],[Date Assessed]]),Table32[[#This Row],[Date Assessed]], DATE(1900,1,1))</f>
        <v>45314</v>
      </c>
      <c r="O55" s="13">
        <f>IF(OR(Table32[[#This Row],[Date Assessed]]="N/A",  Table32[[#This Row],[Date Referred]] = "N/A"), "N/A",  Table32[[#This Row],[Date Assessed]]-Table32[[#This Row],[Date Referred]])</f>
        <v>10</v>
      </c>
      <c r="P55" s="18">
        <v>45328</v>
      </c>
      <c r="Q55" s="5">
        <f>IF(ISNUMBER(Table32[[#This Row],[Date Allocated]]),Table32[[#This Row],[Date Allocated]],DATE(1900,1,1))</f>
        <v>45328</v>
      </c>
      <c r="R55" s="14">
        <f>IF(OR(Table32[[#This Row],[Date Assessed]]="N/A",Table32[[#This Row],[Date Allocated]]="N/A"),"N/A",Table32[[#This Row],[Date Allocated]]-Table32[[#This Row],[Date Assessed]])</f>
        <v>14</v>
      </c>
      <c r="S55" s="5">
        <v>45483</v>
      </c>
      <c r="T55" t="s">
        <v>255</v>
      </c>
      <c r="U55" t="s">
        <v>262</v>
      </c>
    </row>
    <row r="56" spans="1:21" x14ac:dyDescent="0.2">
      <c r="A56" s="4" t="s">
        <v>66</v>
      </c>
      <c r="B56" s="5">
        <v>34022</v>
      </c>
      <c r="C56">
        <f t="shared" ca="1" si="1"/>
        <v>32</v>
      </c>
      <c r="D56" t="str">
        <f t="shared" ca="1" si="2"/>
        <v>25–34</v>
      </c>
      <c r="E56" t="s">
        <v>224</v>
      </c>
      <c r="F56" t="s">
        <v>228</v>
      </c>
      <c r="G56" t="s">
        <v>242</v>
      </c>
      <c r="H56" t="str">
        <f t="shared" si="0"/>
        <v>White</v>
      </c>
      <c r="I56" t="s">
        <v>247</v>
      </c>
      <c r="J56" t="s">
        <v>253</v>
      </c>
      <c r="K56" s="5">
        <v>45524</v>
      </c>
      <c r="L56" s="7" t="str">
        <f t="shared" si="3"/>
        <v>August 2024</v>
      </c>
      <c r="M56" s="5">
        <v>45554</v>
      </c>
      <c r="N56" s="5">
        <f>IF(ISNUMBER(Table32[[#This Row],[Date Assessed]]),Table32[[#This Row],[Date Assessed]], DATE(1900,1,1))</f>
        <v>45554</v>
      </c>
      <c r="O56" s="13">
        <f>IF(OR(Table32[[#This Row],[Date Assessed]]="N/A",  Table32[[#This Row],[Date Referred]] = "N/A"), "N/A",  Table32[[#This Row],[Date Assessed]]-Table32[[#This Row],[Date Referred]])</f>
        <v>30</v>
      </c>
      <c r="P56" s="18">
        <v>45577</v>
      </c>
      <c r="Q56" s="5">
        <f>IF(ISNUMBER(Table32[[#This Row],[Date Allocated]]),Table32[[#This Row],[Date Allocated]],DATE(1900,1,1))</f>
        <v>45577</v>
      </c>
      <c r="R56" s="14">
        <f>IF(OR(Table32[[#This Row],[Date Assessed]]="N/A",Table32[[#This Row],[Date Allocated]]="N/A"),"N/A",Table32[[#This Row],[Date Allocated]]-Table32[[#This Row],[Date Assessed]])</f>
        <v>23</v>
      </c>
      <c r="S56" s="5">
        <v>45702</v>
      </c>
      <c r="T56" t="s">
        <v>255</v>
      </c>
      <c r="U56" t="s">
        <v>263</v>
      </c>
    </row>
    <row r="57" spans="1:21" x14ac:dyDescent="0.2">
      <c r="A57" s="4" t="s">
        <v>67</v>
      </c>
      <c r="B57" s="5">
        <v>22200</v>
      </c>
      <c r="C57">
        <f t="shared" ca="1" si="1"/>
        <v>64</v>
      </c>
      <c r="D57" t="str">
        <f t="shared" ca="1" si="2"/>
        <v>55–64</v>
      </c>
      <c r="E57" t="s">
        <v>224</v>
      </c>
      <c r="F57" t="s">
        <v>235</v>
      </c>
      <c r="G57" t="s">
        <v>227</v>
      </c>
      <c r="H57" t="str">
        <f t="shared" si="0"/>
        <v>BAME</v>
      </c>
      <c r="I57" t="s">
        <v>247</v>
      </c>
      <c r="J57" t="s">
        <v>253</v>
      </c>
      <c r="K57" s="5">
        <v>45448</v>
      </c>
      <c r="L57" s="7" t="str">
        <f t="shared" si="3"/>
        <v>June 2024</v>
      </c>
      <c r="M57" s="5">
        <v>45496</v>
      </c>
      <c r="N57" s="5">
        <f>IF(ISNUMBER(Table32[[#This Row],[Date Assessed]]),Table32[[#This Row],[Date Assessed]], DATE(1900,1,1))</f>
        <v>45496</v>
      </c>
      <c r="O57" s="13">
        <f>IF(OR(Table32[[#This Row],[Date Assessed]]="N/A",  Table32[[#This Row],[Date Referred]] = "N/A"), "N/A",  Table32[[#This Row],[Date Assessed]]-Table32[[#This Row],[Date Referred]])</f>
        <v>48</v>
      </c>
      <c r="P57" s="18">
        <v>45510</v>
      </c>
      <c r="Q57" s="5">
        <f>IF(ISNUMBER(Table32[[#This Row],[Date Allocated]]),Table32[[#This Row],[Date Allocated]],DATE(1900,1,1))</f>
        <v>45510</v>
      </c>
      <c r="R57" s="14">
        <f>IF(OR(Table32[[#This Row],[Date Assessed]]="N/A",Table32[[#This Row],[Date Allocated]]="N/A"),"N/A",Table32[[#This Row],[Date Allocated]]-Table32[[#This Row],[Date Assessed]])</f>
        <v>14</v>
      </c>
      <c r="S57" s="5">
        <v>45685</v>
      </c>
      <c r="T57" t="s">
        <v>255</v>
      </c>
      <c r="U57" t="s">
        <v>263</v>
      </c>
    </row>
    <row r="58" spans="1:21" x14ac:dyDescent="0.2">
      <c r="A58" s="4" t="s">
        <v>68</v>
      </c>
      <c r="B58" s="5">
        <v>32981</v>
      </c>
      <c r="C58">
        <f t="shared" ca="1" si="1"/>
        <v>35</v>
      </c>
      <c r="D58" t="str">
        <f t="shared" ca="1" si="2"/>
        <v>35–44</v>
      </c>
      <c r="E58" t="s">
        <v>224</v>
      </c>
      <c r="F58" t="s">
        <v>228</v>
      </c>
      <c r="G58" t="s">
        <v>241</v>
      </c>
      <c r="H58" t="str">
        <f t="shared" si="0"/>
        <v>BAME</v>
      </c>
      <c r="I58" t="s">
        <v>247</v>
      </c>
      <c r="J58" t="s">
        <v>251</v>
      </c>
      <c r="K58" s="5">
        <v>45559</v>
      </c>
      <c r="L58" s="7" t="str">
        <f t="shared" si="3"/>
        <v>September 2024</v>
      </c>
      <c r="M58" s="5">
        <v>45561</v>
      </c>
      <c r="N58" s="5">
        <f>IF(ISNUMBER(Table32[[#This Row],[Date Assessed]]),Table32[[#This Row],[Date Assessed]], DATE(1900,1,1))</f>
        <v>45561</v>
      </c>
      <c r="O58" s="13">
        <f>IF(OR(Table32[[#This Row],[Date Assessed]]="N/A",  Table32[[#This Row],[Date Referred]] = "N/A"), "N/A",  Table32[[#This Row],[Date Assessed]]-Table32[[#This Row],[Date Referred]])</f>
        <v>2</v>
      </c>
      <c r="P58" s="18">
        <v>45574</v>
      </c>
      <c r="Q58" s="5">
        <f>IF(ISNUMBER(Table32[[#This Row],[Date Allocated]]),Table32[[#This Row],[Date Allocated]],DATE(1900,1,1))</f>
        <v>45574</v>
      </c>
      <c r="R58" s="14">
        <f>IF(OR(Table32[[#This Row],[Date Assessed]]="N/A",Table32[[#This Row],[Date Allocated]]="N/A"),"N/A",Table32[[#This Row],[Date Allocated]]-Table32[[#This Row],[Date Assessed]])</f>
        <v>13</v>
      </c>
      <c r="S58" s="5">
        <v>45695</v>
      </c>
      <c r="T58" t="s">
        <v>255</v>
      </c>
      <c r="U58" t="s">
        <v>263</v>
      </c>
    </row>
    <row r="59" spans="1:21" x14ac:dyDescent="0.2">
      <c r="A59" s="4" t="s">
        <v>69</v>
      </c>
      <c r="B59" s="5">
        <v>38127</v>
      </c>
      <c r="C59">
        <f t="shared" ca="1" si="1"/>
        <v>21</v>
      </c>
      <c r="D59" t="str">
        <f t="shared" ca="1" si="2"/>
        <v>18–24</v>
      </c>
      <c r="E59" t="s">
        <v>224</v>
      </c>
      <c r="F59" t="s">
        <v>228</v>
      </c>
      <c r="G59" t="s">
        <v>242</v>
      </c>
      <c r="H59" t="str">
        <f t="shared" si="0"/>
        <v>White</v>
      </c>
      <c r="I59" t="s">
        <v>247</v>
      </c>
      <c r="J59" t="s">
        <v>250</v>
      </c>
      <c r="K59" s="5">
        <v>45393</v>
      </c>
      <c r="L59" s="7" t="str">
        <f t="shared" si="3"/>
        <v>April 2024</v>
      </c>
      <c r="M59" s="5">
        <v>45443</v>
      </c>
      <c r="N59" s="5">
        <f>IF(ISNUMBER(Table32[[#This Row],[Date Assessed]]),Table32[[#This Row],[Date Assessed]], DATE(1900,1,1))</f>
        <v>45443</v>
      </c>
      <c r="O59" s="13">
        <f>IF(OR(Table32[[#This Row],[Date Assessed]]="N/A",  Table32[[#This Row],[Date Referred]] = "N/A"), "N/A",  Table32[[#This Row],[Date Assessed]]-Table32[[#This Row],[Date Referred]])</f>
        <v>50</v>
      </c>
      <c r="P59" s="18">
        <v>45476</v>
      </c>
      <c r="Q59" s="5">
        <f>IF(ISNUMBER(Table32[[#This Row],[Date Allocated]]),Table32[[#This Row],[Date Allocated]],DATE(1900,1,1))</f>
        <v>45476</v>
      </c>
      <c r="R59" s="14">
        <f>IF(OR(Table32[[#This Row],[Date Assessed]]="N/A",Table32[[#This Row],[Date Allocated]]="N/A"),"N/A",Table32[[#This Row],[Date Allocated]]-Table32[[#This Row],[Date Assessed]])</f>
        <v>33</v>
      </c>
      <c r="S59" s="5">
        <v>45645</v>
      </c>
      <c r="T59" t="s">
        <v>255</v>
      </c>
      <c r="U59" t="s">
        <v>263</v>
      </c>
    </row>
    <row r="60" spans="1:21" x14ac:dyDescent="0.2">
      <c r="A60" s="4" t="s">
        <v>70</v>
      </c>
      <c r="B60" s="5">
        <v>34672</v>
      </c>
      <c r="C60">
        <f t="shared" ca="1" si="1"/>
        <v>30</v>
      </c>
      <c r="D60" t="str">
        <f t="shared" ca="1" si="2"/>
        <v>25–34</v>
      </c>
      <c r="E60" t="s">
        <v>224</v>
      </c>
      <c r="F60" t="s">
        <v>231</v>
      </c>
      <c r="G60" t="s">
        <v>241</v>
      </c>
      <c r="H60" t="str">
        <f t="shared" si="0"/>
        <v>BAME</v>
      </c>
      <c r="I60" t="s">
        <v>246</v>
      </c>
      <c r="J60" t="s">
        <v>253</v>
      </c>
      <c r="K60" s="5">
        <v>45405</v>
      </c>
      <c r="L60" s="7" t="str">
        <f t="shared" si="3"/>
        <v>April 2024</v>
      </c>
      <c r="M60" s="5">
        <v>45412</v>
      </c>
      <c r="N60" s="5">
        <f>IF(ISNUMBER(Table32[[#This Row],[Date Assessed]]),Table32[[#This Row],[Date Assessed]], DATE(1900,1,1))</f>
        <v>45412</v>
      </c>
      <c r="O60" s="13">
        <f>IF(OR(Table32[[#This Row],[Date Assessed]]="N/A",  Table32[[#This Row],[Date Referred]] = "N/A"), "N/A",  Table32[[#This Row],[Date Assessed]]-Table32[[#This Row],[Date Referred]])</f>
        <v>7</v>
      </c>
      <c r="P60" s="18">
        <v>45470</v>
      </c>
      <c r="Q60" s="5">
        <f>IF(ISNUMBER(Table32[[#This Row],[Date Allocated]]),Table32[[#This Row],[Date Allocated]],DATE(1900,1,1))</f>
        <v>45470</v>
      </c>
      <c r="R60" s="14">
        <f>IF(OR(Table32[[#This Row],[Date Assessed]]="N/A",Table32[[#This Row],[Date Allocated]]="N/A"),"N/A",Table32[[#This Row],[Date Allocated]]-Table32[[#This Row],[Date Assessed]])</f>
        <v>58</v>
      </c>
      <c r="S60" s="5">
        <v>45618</v>
      </c>
      <c r="T60" t="s">
        <v>255</v>
      </c>
      <c r="U60" t="s">
        <v>263</v>
      </c>
    </row>
    <row r="61" spans="1:21" x14ac:dyDescent="0.2">
      <c r="A61" s="4" t="s">
        <v>71</v>
      </c>
      <c r="B61" s="5">
        <v>32249</v>
      </c>
      <c r="C61">
        <f t="shared" ca="1" si="1"/>
        <v>37</v>
      </c>
      <c r="D61" t="str">
        <f t="shared" ca="1" si="2"/>
        <v>35–44</v>
      </c>
      <c r="E61" t="s">
        <v>225</v>
      </c>
      <c r="F61" t="s">
        <v>230</v>
      </c>
      <c r="G61" t="s">
        <v>243</v>
      </c>
      <c r="H61" t="str">
        <f t="shared" si="0"/>
        <v>BAME</v>
      </c>
      <c r="I61" t="s">
        <v>247</v>
      </c>
      <c r="J61" t="s">
        <v>251</v>
      </c>
      <c r="K61" s="5">
        <v>45302</v>
      </c>
      <c r="L61" s="7" t="str">
        <f t="shared" si="3"/>
        <v>January 2024</v>
      </c>
      <c r="M61" s="5">
        <v>45350</v>
      </c>
      <c r="N61" s="5">
        <f>IF(ISNUMBER(Table32[[#This Row],[Date Assessed]]),Table32[[#This Row],[Date Assessed]], DATE(1900,1,1))</f>
        <v>45350</v>
      </c>
      <c r="O61" s="13">
        <f>IF(OR(Table32[[#This Row],[Date Assessed]]="N/A",  Table32[[#This Row],[Date Referred]] = "N/A"), "N/A",  Table32[[#This Row],[Date Assessed]]-Table32[[#This Row],[Date Referred]])</f>
        <v>48</v>
      </c>
      <c r="P61" s="18">
        <v>45360</v>
      </c>
      <c r="Q61" s="5">
        <f>IF(ISNUMBER(Table32[[#This Row],[Date Allocated]]),Table32[[#This Row],[Date Allocated]],DATE(1900,1,1))</f>
        <v>45360</v>
      </c>
      <c r="R61" s="14">
        <f>IF(OR(Table32[[#This Row],[Date Assessed]]="N/A",Table32[[#This Row],[Date Allocated]]="N/A"),"N/A",Table32[[#This Row],[Date Allocated]]-Table32[[#This Row],[Date Assessed]])</f>
        <v>10</v>
      </c>
      <c r="S61" s="5">
        <v>45517</v>
      </c>
      <c r="T61" t="s">
        <v>255</v>
      </c>
      <c r="U61" t="s">
        <v>264</v>
      </c>
    </row>
    <row r="62" spans="1:21" x14ac:dyDescent="0.2">
      <c r="A62" s="4" t="s">
        <v>72</v>
      </c>
      <c r="B62" s="5">
        <v>33469</v>
      </c>
      <c r="C62">
        <f t="shared" ca="1" si="1"/>
        <v>34</v>
      </c>
      <c r="D62" t="str">
        <f t="shared" ca="1" si="2"/>
        <v>25–34</v>
      </c>
      <c r="E62" t="s">
        <v>225</v>
      </c>
      <c r="F62" t="s">
        <v>231</v>
      </c>
      <c r="G62" t="s">
        <v>241</v>
      </c>
      <c r="H62" t="str">
        <f t="shared" si="0"/>
        <v>BAME</v>
      </c>
      <c r="I62" t="s">
        <v>247</v>
      </c>
      <c r="J62" t="s">
        <v>253</v>
      </c>
      <c r="K62" s="5">
        <v>45318</v>
      </c>
      <c r="L62" s="7" t="str">
        <f t="shared" si="3"/>
        <v>January 2024</v>
      </c>
      <c r="M62" s="5">
        <v>45363</v>
      </c>
      <c r="N62" s="5">
        <f>IF(ISNUMBER(Table32[[#This Row],[Date Assessed]]),Table32[[#This Row],[Date Assessed]], DATE(1900,1,1))</f>
        <v>45363</v>
      </c>
      <c r="O62" s="13">
        <f>IF(OR(Table32[[#This Row],[Date Assessed]]="N/A",  Table32[[#This Row],[Date Referred]] = "N/A"), "N/A",  Table32[[#This Row],[Date Assessed]]-Table32[[#This Row],[Date Referred]])</f>
        <v>45</v>
      </c>
      <c r="P62" s="18">
        <v>45386</v>
      </c>
      <c r="Q62" s="5">
        <f>IF(ISNUMBER(Table32[[#This Row],[Date Allocated]]),Table32[[#This Row],[Date Allocated]],DATE(1900,1,1))</f>
        <v>45386</v>
      </c>
      <c r="R62" s="14">
        <f>IF(OR(Table32[[#This Row],[Date Assessed]]="N/A",Table32[[#This Row],[Date Allocated]]="N/A"),"N/A",Table32[[#This Row],[Date Allocated]]-Table32[[#This Row],[Date Assessed]])</f>
        <v>23</v>
      </c>
      <c r="S62" s="5">
        <v>45526</v>
      </c>
      <c r="T62" t="s">
        <v>255</v>
      </c>
      <c r="U62" t="s">
        <v>272</v>
      </c>
    </row>
    <row r="63" spans="1:21" x14ac:dyDescent="0.2">
      <c r="A63" s="4" t="s">
        <v>73</v>
      </c>
      <c r="B63" s="5">
        <v>29841</v>
      </c>
      <c r="C63">
        <f t="shared" ca="1" si="1"/>
        <v>44</v>
      </c>
      <c r="D63" t="str">
        <f t="shared" ca="1" si="2"/>
        <v>35–44</v>
      </c>
      <c r="E63" t="s">
        <v>225</v>
      </c>
      <c r="F63" t="s">
        <v>228</v>
      </c>
      <c r="G63" t="s">
        <v>242</v>
      </c>
      <c r="H63" t="str">
        <f t="shared" si="0"/>
        <v>White</v>
      </c>
      <c r="I63" t="s">
        <v>247</v>
      </c>
      <c r="J63" t="s">
        <v>251</v>
      </c>
      <c r="K63" s="5">
        <v>45598</v>
      </c>
      <c r="L63" s="7" t="str">
        <f t="shared" si="3"/>
        <v>November 2024</v>
      </c>
      <c r="M63" s="5">
        <v>45643</v>
      </c>
      <c r="N63" s="5">
        <f>IF(ISNUMBER(Table32[[#This Row],[Date Assessed]]),Table32[[#This Row],[Date Assessed]], DATE(1900,1,1))</f>
        <v>45643</v>
      </c>
      <c r="O63" s="13">
        <f>IF(OR(Table32[[#This Row],[Date Assessed]]="N/A",  Table32[[#This Row],[Date Referred]] = "N/A"), "N/A",  Table32[[#This Row],[Date Assessed]]-Table32[[#This Row],[Date Referred]])</f>
        <v>45</v>
      </c>
      <c r="P63" s="18">
        <v>45697</v>
      </c>
      <c r="Q63" s="5">
        <f>IF(ISNUMBER(Table32[[#This Row],[Date Allocated]]),Table32[[#This Row],[Date Allocated]],DATE(1900,1,1))</f>
        <v>45697</v>
      </c>
      <c r="R63" s="14">
        <f>IF(OR(Table32[[#This Row],[Date Assessed]]="N/A",Table32[[#This Row],[Date Allocated]]="N/A"),"N/A",Table32[[#This Row],[Date Allocated]]-Table32[[#This Row],[Date Assessed]])</f>
        <v>54</v>
      </c>
      <c r="S63" s="5">
        <v>45877</v>
      </c>
      <c r="T63" t="s">
        <v>255</v>
      </c>
      <c r="U63" t="s">
        <v>264</v>
      </c>
    </row>
    <row r="64" spans="1:21" x14ac:dyDescent="0.2">
      <c r="A64" s="4" t="s">
        <v>74</v>
      </c>
      <c r="B64" s="5">
        <v>28811</v>
      </c>
      <c r="C64">
        <f t="shared" ca="1" si="1"/>
        <v>46</v>
      </c>
      <c r="D64" t="str">
        <f t="shared" ca="1" si="2"/>
        <v>45–54</v>
      </c>
      <c r="E64" t="s">
        <v>225</v>
      </c>
      <c r="F64" t="s">
        <v>228</v>
      </c>
      <c r="G64" t="s">
        <v>242</v>
      </c>
      <c r="H64" t="str">
        <f t="shared" si="0"/>
        <v>White</v>
      </c>
      <c r="I64" t="s">
        <v>247</v>
      </c>
      <c r="J64" t="s">
        <v>250</v>
      </c>
      <c r="K64" s="5">
        <v>45595</v>
      </c>
      <c r="L64" s="7" t="str">
        <f t="shared" si="3"/>
        <v>October 2024</v>
      </c>
      <c r="M64" s="5">
        <v>45632</v>
      </c>
      <c r="N64" s="5">
        <f>IF(ISNUMBER(Table32[[#This Row],[Date Assessed]]),Table32[[#This Row],[Date Assessed]], DATE(1900,1,1))</f>
        <v>45632</v>
      </c>
      <c r="O64" s="13">
        <f>IF(OR(Table32[[#This Row],[Date Assessed]]="N/A",  Table32[[#This Row],[Date Referred]] = "N/A"), "N/A",  Table32[[#This Row],[Date Assessed]]-Table32[[#This Row],[Date Referred]])</f>
        <v>37</v>
      </c>
      <c r="P64" s="18">
        <v>45688</v>
      </c>
      <c r="Q64" s="5">
        <f>IF(ISNUMBER(Table32[[#This Row],[Date Allocated]]),Table32[[#This Row],[Date Allocated]],DATE(1900,1,1))</f>
        <v>45688</v>
      </c>
      <c r="R64" s="14">
        <f>IF(OR(Table32[[#This Row],[Date Assessed]]="N/A",Table32[[#This Row],[Date Allocated]]="N/A"),"N/A",Table32[[#This Row],[Date Allocated]]-Table32[[#This Row],[Date Assessed]])</f>
        <v>56</v>
      </c>
      <c r="S64" s="5">
        <v>45856</v>
      </c>
      <c r="T64" t="s">
        <v>255</v>
      </c>
      <c r="U64" t="s">
        <v>264</v>
      </c>
    </row>
    <row r="65" spans="1:21" x14ac:dyDescent="0.2">
      <c r="A65" s="4" t="s">
        <v>75</v>
      </c>
      <c r="B65" s="5">
        <v>26213</v>
      </c>
      <c r="C65">
        <f t="shared" ca="1" si="1"/>
        <v>53</v>
      </c>
      <c r="D65" t="str">
        <f t="shared" ca="1" si="2"/>
        <v>45–54</v>
      </c>
      <c r="E65" t="s">
        <v>225</v>
      </c>
      <c r="F65" t="s">
        <v>229</v>
      </c>
      <c r="G65" t="s">
        <v>243</v>
      </c>
      <c r="H65" t="str">
        <f t="shared" si="0"/>
        <v>BAME</v>
      </c>
      <c r="I65" t="s">
        <v>247</v>
      </c>
      <c r="J65" t="s">
        <v>250</v>
      </c>
      <c r="K65" s="5">
        <v>45653</v>
      </c>
      <c r="L65" s="7" t="str">
        <f t="shared" si="3"/>
        <v>December 2024</v>
      </c>
      <c r="M65" s="5">
        <v>45699</v>
      </c>
      <c r="N65" s="5">
        <f>IF(ISNUMBER(Table32[[#This Row],[Date Assessed]]),Table32[[#This Row],[Date Assessed]], DATE(1900,1,1))</f>
        <v>45699</v>
      </c>
      <c r="O65" s="13">
        <f>IF(OR(Table32[[#This Row],[Date Assessed]]="N/A",  Table32[[#This Row],[Date Referred]] = "N/A"), "N/A",  Table32[[#This Row],[Date Assessed]]-Table32[[#This Row],[Date Referred]])</f>
        <v>46</v>
      </c>
      <c r="P65" s="18">
        <v>45709</v>
      </c>
      <c r="Q65" s="5">
        <f>IF(ISNUMBER(Table32[[#This Row],[Date Allocated]]),Table32[[#This Row],[Date Allocated]],DATE(1900,1,1))</f>
        <v>45709</v>
      </c>
      <c r="R65" s="14">
        <f>IF(OR(Table32[[#This Row],[Date Assessed]]="N/A",Table32[[#This Row],[Date Allocated]]="N/A"),"N/A",Table32[[#This Row],[Date Allocated]]-Table32[[#This Row],[Date Assessed]])</f>
        <v>10</v>
      </c>
      <c r="S65" s="5">
        <v>45836</v>
      </c>
      <c r="T65" t="s">
        <v>255</v>
      </c>
      <c r="U65" t="s">
        <v>272</v>
      </c>
    </row>
    <row r="66" spans="1:21" x14ac:dyDescent="0.2">
      <c r="A66" s="4" t="s">
        <v>76</v>
      </c>
      <c r="B66" s="5">
        <v>29989</v>
      </c>
      <c r="C66">
        <f t="shared" ca="1" si="1"/>
        <v>43</v>
      </c>
      <c r="D66" t="str">
        <f t="shared" ca="1" si="2"/>
        <v>35–44</v>
      </c>
      <c r="E66" t="s">
        <v>225</v>
      </c>
      <c r="F66" t="s">
        <v>230</v>
      </c>
      <c r="G66" t="s">
        <v>243</v>
      </c>
      <c r="H66" t="str">
        <f t="shared" si="0"/>
        <v>BAME</v>
      </c>
      <c r="I66" t="s">
        <v>247</v>
      </c>
      <c r="J66" t="s">
        <v>252</v>
      </c>
      <c r="K66" s="5">
        <v>45547</v>
      </c>
      <c r="L66" s="7" t="str">
        <f t="shared" si="3"/>
        <v>September 2024</v>
      </c>
      <c r="M66" s="5">
        <v>45570</v>
      </c>
      <c r="N66" s="5">
        <f>IF(ISNUMBER(Table32[[#This Row],[Date Assessed]]),Table32[[#This Row],[Date Assessed]], DATE(1900,1,1))</f>
        <v>45570</v>
      </c>
      <c r="O66" s="13">
        <f>IF(OR(Table32[[#This Row],[Date Assessed]]="N/A",  Table32[[#This Row],[Date Referred]] = "N/A"), "N/A",  Table32[[#This Row],[Date Assessed]]-Table32[[#This Row],[Date Referred]])</f>
        <v>23</v>
      </c>
      <c r="P66" s="18">
        <v>45580</v>
      </c>
      <c r="Q66" s="5">
        <f>IF(ISNUMBER(Table32[[#This Row],[Date Allocated]]),Table32[[#This Row],[Date Allocated]],DATE(1900,1,1))</f>
        <v>45580</v>
      </c>
      <c r="R66" s="14">
        <f>IF(OR(Table32[[#This Row],[Date Assessed]]="N/A",Table32[[#This Row],[Date Allocated]]="N/A"),"N/A",Table32[[#This Row],[Date Allocated]]-Table32[[#This Row],[Date Assessed]])</f>
        <v>10</v>
      </c>
      <c r="S66" s="5">
        <v>45737</v>
      </c>
      <c r="T66" t="s">
        <v>255</v>
      </c>
      <c r="U66" t="s">
        <v>263</v>
      </c>
    </row>
    <row r="67" spans="1:21" x14ac:dyDescent="0.2">
      <c r="A67" s="4" t="s">
        <v>77</v>
      </c>
      <c r="B67" s="5">
        <v>24435</v>
      </c>
      <c r="C67">
        <f t="shared" ca="1" si="1"/>
        <v>58</v>
      </c>
      <c r="D67" t="str">
        <f t="shared" ca="1" si="2"/>
        <v>55–64</v>
      </c>
      <c r="E67" t="s">
        <v>225</v>
      </c>
      <c r="F67" t="s">
        <v>229</v>
      </c>
      <c r="G67" t="s">
        <v>243</v>
      </c>
      <c r="H67" t="str">
        <f t="shared" si="0"/>
        <v>BAME</v>
      </c>
      <c r="I67" t="s">
        <v>247</v>
      </c>
      <c r="J67" t="s">
        <v>253</v>
      </c>
      <c r="K67" s="5">
        <v>45641</v>
      </c>
      <c r="L67" s="7" t="str">
        <f t="shared" si="3"/>
        <v>December 2024</v>
      </c>
      <c r="M67" s="5">
        <v>45682</v>
      </c>
      <c r="N67" s="5">
        <f>IF(ISNUMBER(Table32[[#This Row],[Date Assessed]]),Table32[[#This Row],[Date Assessed]], DATE(1900,1,1))</f>
        <v>45682</v>
      </c>
      <c r="O67" s="13">
        <f>IF(OR(Table32[[#This Row],[Date Assessed]]="N/A",  Table32[[#This Row],[Date Referred]] = "N/A"), "N/A",  Table32[[#This Row],[Date Assessed]]-Table32[[#This Row],[Date Referred]])</f>
        <v>41</v>
      </c>
      <c r="P67" s="18">
        <v>45697</v>
      </c>
      <c r="Q67" s="5">
        <f>IF(ISNUMBER(Table32[[#This Row],[Date Allocated]]),Table32[[#This Row],[Date Allocated]],DATE(1900,1,1))</f>
        <v>45697</v>
      </c>
      <c r="R67" s="14">
        <f>IF(OR(Table32[[#This Row],[Date Assessed]]="N/A",Table32[[#This Row],[Date Allocated]]="N/A"),"N/A",Table32[[#This Row],[Date Allocated]]-Table32[[#This Row],[Date Assessed]])</f>
        <v>15</v>
      </c>
      <c r="S67" s="5">
        <v>45825</v>
      </c>
      <c r="T67" t="s">
        <v>255</v>
      </c>
      <c r="U67" t="s">
        <v>261</v>
      </c>
    </row>
    <row r="68" spans="1:21" x14ac:dyDescent="0.2">
      <c r="A68" s="4" t="s">
        <v>78</v>
      </c>
      <c r="B68" s="5">
        <v>27219</v>
      </c>
      <c r="C68">
        <f t="shared" ca="1" si="1"/>
        <v>51</v>
      </c>
      <c r="D68" t="str">
        <f t="shared" ref="D68:D131" ca="1" si="4">IF(OR(ISBLANK(C68), C68 ="N/A"), "N/A",
  IF(VALUE(C68) &lt; 18, "0–17",
    IF(VALUE(C68) &lt; 25, "18–24",
      IF(VALUE(C68) &lt; 35, "25–34",
        IF(VALUE(C68) &lt; 45, "35–44",
          IF(VALUE(C68) &lt; 55, "45–54",
            IF(VALUE(C68) &lt; 65, "55–64", "65+")
          )
        )
      )
    )
  )
)</f>
        <v>45–54</v>
      </c>
      <c r="E68" t="s">
        <v>225</v>
      </c>
      <c r="F68" t="s">
        <v>229</v>
      </c>
      <c r="G68" t="s">
        <v>243</v>
      </c>
      <c r="H68" t="str">
        <f t="shared" ref="H68:H131" si="5">IF(OR(G68="Other",G68="Black / African / Caribbean", G68="Asian"), "BAME", "White")</f>
        <v>BAME</v>
      </c>
      <c r="I68" t="s">
        <v>247</v>
      </c>
      <c r="J68" t="s">
        <v>251</v>
      </c>
      <c r="K68" s="5">
        <v>45304</v>
      </c>
      <c r="L68" s="7" t="str">
        <f t="shared" si="3"/>
        <v>January 2024</v>
      </c>
      <c r="M68" s="5">
        <v>45340</v>
      </c>
      <c r="N68" s="5">
        <f>IF(ISNUMBER(Table32[[#This Row],[Date Assessed]]),Table32[[#This Row],[Date Assessed]], DATE(1900,1,1))</f>
        <v>45340</v>
      </c>
      <c r="O68" s="13">
        <f>IF(OR(Table32[[#This Row],[Date Assessed]]="N/A",  Table32[[#This Row],[Date Referred]] = "N/A"), "N/A",  Table32[[#This Row],[Date Assessed]]-Table32[[#This Row],[Date Referred]])</f>
        <v>36</v>
      </c>
      <c r="P68" s="18">
        <v>45371</v>
      </c>
      <c r="Q68" s="5">
        <f>IF(ISNUMBER(Table32[[#This Row],[Date Allocated]]),Table32[[#This Row],[Date Allocated]],DATE(1900,1,1))</f>
        <v>45371</v>
      </c>
      <c r="R68" s="14">
        <f>IF(OR(Table32[[#This Row],[Date Assessed]]="N/A",Table32[[#This Row],[Date Allocated]]="N/A"),"N/A",Table32[[#This Row],[Date Allocated]]-Table32[[#This Row],[Date Assessed]])</f>
        <v>31</v>
      </c>
      <c r="S68" s="5">
        <v>45545</v>
      </c>
      <c r="T68" t="s">
        <v>255</v>
      </c>
      <c r="U68" t="s">
        <v>264</v>
      </c>
    </row>
    <row r="69" spans="1:21" x14ac:dyDescent="0.2">
      <c r="A69" s="4" t="s">
        <v>79</v>
      </c>
      <c r="B69" s="5">
        <v>30781</v>
      </c>
      <c r="C69">
        <f t="shared" ref="C69:C132" ca="1" si="6">INT((TODAY()-B69)/365.25)</f>
        <v>41</v>
      </c>
      <c r="D69" t="str">
        <f t="shared" ca="1" si="4"/>
        <v>35–44</v>
      </c>
      <c r="E69" t="s">
        <v>225</v>
      </c>
      <c r="F69" t="s">
        <v>228</v>
      </c>
      <c r="G69" t="s">
        <v>242</v>
      </c>
      <c r="H69" t="str">
        <f t="shared" si="5"/>
        <v>White</v>
      </c>
      <c r="I69" t="s">
        <v>247</v>
      </c>
      <c r="J69" t="s">
        <v>254</v>
      </c>
      <c r="K69" s="5">
        <v>45351</v>
      </c>
      <c r="L69" s="7" t="str">
        <f t="shared" ref="L69:L132" si="7">TEXT(K69,"mmmm yyyyy")</f>
        <v>February 2024</v>
      </c>
      <c r="M69" s="5">
        <v>45375</v>
      </c>
      <c r="N69" s="5">
        <f>IF(ISNUMBER(Table32[[#This Row],[Date Assessed]]),Table32[[#This Row],[Date Assessed]], DATE(1900,1,1))</f>
        <v>45375</v>
      </c>
      <c r="O69" s="13">
        <f>IF(OR(Table32[[#This Row],[Date Assessed]]="N/A",  Table32[[#This Row],[Date Referred]] = "N/A"), "N/A",  Table32[[#This Row],[Date Assessed]]-Table32[[#This Row],[Date Referred]])</f>
        <v>24</v>
      </c>
      <c r="P69" s="18">
        <v>45432</v>
      </c>
      <c r="Q69" s="5">
        <f>IF(ISNUMBER(Table32[[#This Row],[Date Allocated]]),Table32[[#This Row],[Date Allocated]],DATE(1900,1,1))</f>
        <v>45432</v>
      </c>
      <c r="R69" s="14">
        <f>IF(OR(Table32[[#This Row],[Date Assessed]]="N/A",Table32[[#This Row],[Date Allocated]]="N/A"),"N/A",Table32[[#This Row],[Date Allocated]]-Table32[[#This Row],[Date Assessed]])</f>
        <v>57</v>
      </c>
      <c r="S69" s="5">
        <v>45607</v>
      </c>
      <c r="T69" t="s">
        <v>255</v>
      </c>
      <c r="U69" t="s">
        <v>262</v>
      </c>
    </row>
    <row r="70" spans="1:21" x14ac:dyDescent="0.2">
      <c r="A70" s="4" t="s">
        <v>80</v>
      </c>
      <c r="B70" s="5">
        <v>25852</v>
      </c>
      <c r="C70">
        <f t="shared" ca="1" si="6"/>
        <v>54</v>
      </c>
      <c r="D70" t="str">
        <f t="shared" ca="1" si="4"/>
        <v>45–54</v>
      </c>
      <c r="E70" t="s">
        <v>225</v>
      </c>
      <c r="F70" t="s">
        <v>230</v>
      </c>
      <c r="G70" t="s">
        <v>243</v>
      </c>
      <c r="H70" t="str">
        <f t="shared" si="5"/>
        <v>BAME</v>
      </c>
      <c r="I70" t="s">
        <v>246</v>
      </c>
      <c r="J70" t="s">
        <v>253</v>
      </c>
      <c r="K70" s="5">
        <v>45550</v>
      </c>
      <c r="L70" s="7" t="str">
        <f t="shared" si="7"/>
        <v>September 2024</v>
      </c>
      <c r="M70" s="5">
        <v>45579</v>
      </c>
      <c r="N70" s="5">
        <f>IF(ISNUMBER(Table32[[#This Row],[Date Assessed]]),Table32[[#This Row],[Date Assessed]], DATE(1900,1,1))</f>
        <v>45579</v>
      </c>
      <c r="O70" s="13">
        <f>IF(OR(Table32[[#This Row],[Date Assessed]]="N/A",  Table32[[#This Row],[Date Referred]] = "N/A"), "N/A",  Table32[[#This Row],[Date Assessed]]-Table32[[#This Row],[Date Referred]])</f>
        <v>29</v>
      </c>
      <c r="P70" s="18">
        <v>45618</v>
      </c>
      <c r="Q70" s="5">
        <f>IF(ISNUMBER(Table32[[#This Row],[Date Allocated]]),Table32[[#This Row],[Date Allocated]],DATE(1900,1,1))</f>
        <v>45618</v>
      </c>
      <c r="R70" s="14">
        <f>IF(OR(Table32[[#This Row],[Date Assessed]]="N/A",Table32[[#This Row],[Date Allocated]]="N/A"),"N/A",Table32[[#This Row],[Date Allocated]]-Table32[[#This Row],[Date Assessed]])</f>
        <v>39</v>
      </c>
      <c r="S70" s="5">
        <v>45782</v>
      </c>
      <c r="T70" t="s">
        <v>255</v>
      </c>
      <c r="U70" t="s">
        <v>264</v>
      </c>
    </row>
    <row r="71" spans="1:21" x14ac:dyDescent="0.2">
      <c r="A71" s="4" t="s">
        <v>81</v>
      </c>
      <c r="B71" s="5">
        <v>32736</v>
      </c>
      <c r="C71">
        <f t="shared" ca="1" si="6"/>
        <v>36</v>
      </c>
      <c r="D71" t="str">
        <f t="shared" ca="1" si="4"/>
        <v>35–44</v>
      </c>
      <c r="E71" t="s">
        <v>225</v>
      </c>
      <c r="F71" t="s">
        <v>229</v>
      </c>
      <c r="G71" t="s">
        <v>243</v>
      </c>
      <c r="H71" t="str">
        <f t="shared" si="5"/>
        <v>BAME</v>
      </c>
      <c r="I71" t="s">
        <v>247</v>
      </c>
      <c r="J71" t="s">
        <v>253</v>
      </c>
      <c r="K71" s="5">
        <v>45594</v>
      </c>
      <c r="L71" s="7" t="str">
        <f t="shared" si="7"/>
        <v>October 2024</v>
      </c>
      <c r="M71" s="5">
        <v>45609</v>
      </c>
      <c r="N71" s="5">
        <f>IF(ISNUMBER(Table32[[#This Row],[Date Assessed]]),Table32[[#This Row],[Date Assessed]], DATE(1900,1,1))</f>
        <v>45609</v>
      </c>
      <c r="O71" s="13">
        <f>IF(OR(Table32[[#This Row],[Date Assessed]]="N/A",  Table32[[#This Row],[Date Referred]] = "N/A"), "N/A",  Table32[[#This Row],[Date Assessed]]-Table32[[#This Row],[Date Referred]])</f>
        <v>15</v>
      </c>
      <c r="P71" s="18">
        <v>45619</v>
      </c>
      <c r="Q71" s="5">
        <f>IF(ISNUMBER(Table32[[#This Row],[Date Allocated]]),Table32[[#This Row],[Date Allocated]],DATE(1900,1,1))</f>
        <v>45619</v>
      </c>
      <c r="R71" s="14">
        <f>IF(OR(Table32[[#This Row],[Date Assessed]]="N/A",Table32[[#This Row],[Date Allocated]]="N/A"),"N/A",Table32[[#This Row],[Date Allocated]]-Table32[[#This Row],[Date Assessed]])</f>
        <v>10</v>
      </c>
      <c r="S71" s="5">
        <v>45753</v>
      </c>
      <c r="T71" t="s">
        <v>255</v>
      </c>
      <c r="U71" t="s">
        <v>262</v>
      </c>
    </row>
    <row r="72" spans="1:21" x14ac:dyDescent="0.2">
      <c r="A72" s="4" t="s">
        <v>82</v>
      </c>
      <c r="B72" s="5">
        <v>21625</v>
      </c>
      <c r="C72">
        <f t="shared" ca="1" si="6"/>
        <v>66</v>
      </c>
      <c r="D72" t="str">
        <f t="shared" ca="1" si="4"/>
        <v>65+</v>
      </c>
      <c r="E72" t="s">
        <v>225</v>
      </c>
      <c r="F72" t="s">
        <v>227</v>
      </c>
      <c r="G72" t="s">
        <v>227</v>
      </c>
      <c r="H72" t="str">
        <f t="shared" si="5"/>
        <v>BAME</v>
      </c>
      <c r="I72" t="s">
        <v>247</v>
      </c>
      <c r="J72" t="s">
        <v>250</v>
      </c>
      <c r="K72" s="5">
        <v>45399</v>
      </c>
      <c r="L72" s="7" t="str">
        <f t="shared" si="7"/>
        <v>April 2024</v>
      </c>
      <c r="M72" s="5">
        <v>45445</v>
      </c>
      <c r="N72" s="5">
        <f>IF(ISNUMBER(Table32[[#This Row],[Date Assessed]]),Table32[[#This Row],[Date Assessed]], DATE(1900,1,1))</f>
        <v>45445</v>
      </c>
      <c r="O72" s="13">
        <f>IF(OR(Table32[[#This Row],[Date Assessed]]="N/A",  Table32[[#This Row],[Date Referred]] = "N/A"), "N/A",  Table32[[#This Row],[Date Assessed]]-Table32[[#This Row],[Date Referred]])</f>
        <v>46</v>
      </c>
      <c r="P72" s="18">
        <v>45482</v>
      </c>
      <c r="Q72" s="5">
        <f>IF(ISNUMBER(Table32[[#This Row],[Date Allocated]]),Table32[[#This Row],[Date Allocated]],DATE(1900,1,1))</f>
        <v>45482</v>
      </c>
      <c r="R72" s="14">
        <f>IF(OR(Table32[[#This Row],[Date Assessed]]="N/A",Table32[[#This Row],[Date Allocated]]="N/A"),"N/A",Table32[[#This Row],[Date Allocated]]-Table32[[#This Row],[Date Assessed]])</f>
        <v>37</v>
      </c>
      <c r="S72" s="5">
        <v>45652</v>
      </c>
      <c r="T72" t="s">
        <v>255</v>
      </c>
      <c r="U72" t="s">
        <v>263</v>
      </c>
    </row>
    <row r="73" spans="1:21" x14ac:dyDescent="0.2">
      <c r="A73" s="4" t="s">
        <v>83</v>
      </c>
      <c r="B73" s="5">
        <v>22227</v>
      </c>
      <c r="C73">
        <f t="shared" ca="1" si="6"/>
        <v>64</v>
      </c>
      <c r="D73" t="str">
        <f t="shared" ca="1" si="4"/>
        <v>55–64</v>
      </c>
      <c r="E73" t="s">
        <v>225</v>
      </c>
      <c r="F73" t="s">
        <v>232</v>
      </c>
      <c r="G73" t="s">
        <v>243</v>
      </c>
      <c r="H73" t="str">
        <f t="shared" si="5"/>
        <v>BAME</v>
      </c>
      <c r="I73" t="s">
        <v>247</v>
      </c>
      <c r="J73" t="s">
        <v>252</v>
      </c>
      <c r="K73" s="5">
        <v>45584</v>
      </c>
      <c r="L73" s="7" t="str">
        <f t="shared" si="7"/>
        <v>October 2024</v>
      </c>
      <c r="M73" s="5">
        <v>45626</v>
      </c>
      <c r="N73" s="5">
        <f>IF(ISNUMBER(Table32[[#This Row],[Date Assessed]]),Table32[[#This Row],[Date Assessed]], DATE(1900,1,1))</f>
        <v>45626</v>
      </c>
      <c r="O73" s="13">
        <f>IF(OR(Table32[[#This Row],[Date Assessed]]="N/A",  Table32[[#This Row],[Date Referred]] = "N/A"), "N/A",  Table32[[#This Row],[Date Assessed]]-Table32[[#This Row],[Date Referred]])</f>
        <v>42</v>
      </c>
      <c r="P73" s="18">
        <v>45654</v>
      </c>
      <c r="Q73" s="5">
        <f>IF(ISNUMBER(Table32[[#This Row],[Date Allocated]]),Table32[[#This Row],[Date Allocated]],DATE(1900,1,1))</f>
        <v>45654</v>
      </c>
      <c r="R73" s="14">
        <f>IF(OR(Table32[[#This Row],[Date Assessed]]="N/A",Table32[[#This Row],[Date Allocated]]="N/A"),"N/A",Table32[[#This Row],[Date Allocated]]-Table32[[#This Row],[Date Assessed]])</f>
        <v>28</v>
      </c>
      <c r="S73" s="5">
        <v>45833</v>
      </c>
      <c r="T73" t="s">
        <v>255</v>
      </c>
      <c r="U73" t="s">
        <v>263</v>
      </c>
    </row>
    <row r="74" spans="1:21" x14ac:dyDescent="0.2">
      <c r="A74" s="4" t="s">
        <v>84</v>
      </c>
      <c r="B74" s="5">
        <v>35577</v>
      </c>
      <c r="C74">
        <f t="shared" ca="1" si="6"/>
        <v>28</v>
      </c>
      <c r="D74" t="str">
        <f t="shared" ca="1" si="4"/>
        <v>25–34</v>
      </c>
      <c r="E74" t="s">
        <v>224</v>
      </c>
      <c r="F74" t="s">
        <v>230</v>
      </c>
      <c r="G74" t="s">
        <v>243</v>
      </c>
      <c r="H74" t="str">
        <f t="shared" si="5"/>
        <v>BAME</v>
      </c>
      <c r="I74" t="s">
        <v>247</v>
      </c>
      <c r="J74" t="s">
        <v>250</v>
      </c>
      <c r="K74" s="5">
        <v>45301</v>
      </c>
      <c r="L74" s="7" t="str">
        <f t="shared" si="7"/>
        <v>January 2024</v>
      </c>
      <c r="M74" s="5">
        <v>45333</v>
      </c>
      <c r="N74" s="5">
        <f>IF(ISNUMBER(Table32[[#This Row],[Date Assessed]]),Table32[[#This Row],[Date Assessed]], DATE(1900,1,1))</f>
        <v>45333</v>
      </c>
      <c r="O74" s="13">
        <f>IF(OR(Table32[[#This Row],[Date Assessed]]="N/A",  Table32[[#This Row],[Date Referred]] = "N/A"), "N/A",  Table32[[#This Row],[Date Assessed]]-Table32[[#This Row],[Date Referred]])</f>
        <v>32</v>
      </c>
      <c r="P74" s="18">
        <v>45356</v>
      </c>
      <c r="Q74" s="5">
        <f>IF(ISNUMBER(Table32[[#This Row],[Date Allocated]]),Table32[[#This Row],[Date Allocated]],DATE(1900,1,1))</f>
        <v>45356</v>
      </c>
      <c r="R74" s="14">
        <f>IF(OR(Table32[[#This Row],[Date Assessed]]="N/A",Table32[[#This Row],[Date Allocated]]="N/A"),"N/A",Table32[[#This Row],[Date Allocated]]-Table32[[#This Row],[Date Assessed]])</f>
        <v>23</v>
      </c>
      <c r="S74" s="5">
        <v>45477</v>
      </c>
      <c r="T74" t="s">
        <v>255</v>
      </c>
      <c r="U74" t="s">
        <v>262</v>
      </c>
    </row>
    <row r="75" spans="1:21" x14ac:dyDescent="0.2">
      <c r="A75" s="4" t="s">
        <v>85</v>
      </c>
      <c r="B75" s="5">
        <v>23463</v>
      </c>
      <c r="C75">
        <f t="shared" ca="1" si="6"/>
        <v>61</v>
      </c>
      <c r="D75" t="str">
        <f t="shared" ca="1" si="4"/>
        <v>55–64</v>
      </c>
      <c r="E75" t="s">
        <v>224</v>
      </c>
      <c r="F75" t="s">
        <v>229</v>
      </c>
      <c r="G75" t="s">
        <v>243</v>
      </c>
      <c r="H75" t="str">
        <f t="shared" si="5"/>
        <v>BAME</v>
      </c>
      <c r="I75" t="s">
        <v>247</v>
      </c>
      <c r="J75" t="s">
        <v>251</v>
      </c>
      <c r="K75" s="5">
        <v>45457</v>
      </c>
      <c r="L75" s="7" t="str">
        <f t="shared" si="7"/>
        <v>June 2024</v>
      </c>
      <c r="M75" s="5">
        <v>45460</v>
      </c>
      <c r="N75" s="5">
        <f>IF(ISNUMBER(Table32[[#This Row],[Date Assessed]]),Table32[[#This Row],[Date Assessed]], DATE(1900,1,1))</f>
        <v>45460</v>
      </c>
      <c r="O75" s="13">
        <f>IF(OR(Table32[[#This Row],[Date Assessed]]="N/A",  Table32[[#This Row],[Date Referred]] = "N/A"), "N/A",  Table32[[#This Row],[Date Assessed]]-Table32[[#This Row],[Date Referred]])</f>
        <v>3</v>
      </c>
      <c r="P75" s="18">
        <v>45495</v>
      </c>
      <c r="Q75" s="5">
        <f>IF(ISNUMBER(Table32[[#This Row],[Date Allocated]]),Table32[[#This Row],[Date Allocated]],DATE(1900,1,1))</f>
        <v>45495</v>
      </c>
      <c r="R75" s="14">
        <f>IF(OR(Table32[[#This Row],[Date Assessed]]="N/A",Table32[[#This Row],[Date Allocated]]="N/A"),"N/A",Table32[[#This Row],[Date Allocated]]-Table32[[#This Row],[Date Assessed]])</f>
        <v>35</v>
      </c>
      <c r="S75" s="5">
        <v>45646</v>
      </c>
      <c r="T75" t="s">
        <v>255</v>
      </c>
      <c r="U75" t="s">
        <v>262</v>
      </c>
    </row>
    <row r="76" spans="1:21" x14ac:dyDescent="0.2">
      <c r="A76" s="4" t="s">
        <v>86</v>
      </c>
      <c r="B76" s="5">
        <v>38559</v>
      </c>
      <c r="C76">
        <f t="shared" ca="1" si="6"/>
        <v>20</v>
      </c>
      <c r="D76" t="str">
        <f t="shared" ca="1" si="4"/>
        <v>18–24</v>
      </c>
      <c r="E76" t="s">
        <v>225</v>
      </c>
      <c r="F76" t="s">
        <v>228</v>
      </c>
      <c r="G76" t="s">
        <v>243</v>
      </c>
      <c r="H76" t="str">
        <f t="shared" si="5"/>
        <v>BAME</v>
      </c>
      <c r="I76" t="s">
        <v>247</v>
      </c>
      <c r="J76" t="s">
        <v>252</v>
      </c>
      <c r="K76" s="5">
        <v>45336</v>
      </c>
      <c r="L76" s="7" t="str">
        <f t="shared" si="7"/>
        <v>February 2024</v>
      </c>
      <c r="M76" s="5">
        <v>45337</v>
      </c>
      <c r="N76" s="5">
        <f>IF(ISNUMBER(Table32[[#This Row],[Date Assessed]]),Table32[[#This Row],[Date Assessed]], DATE(1900,1,1))</f>
        <v>45337</v>
      </c>
      <c r="O76" s="13">
        <f>IF(OR(Table32[[#This Row],[Date Assessed]]="N/A",  Table32[[#This Row],[Date Referred]] = "N/A"), "N/A",  Table32[[#This Row],[Date Assessed]]-Table32[[#This Row],[Date Referred]])</f>
        <v>1</v>
      </c>
      <c r="P76" s="18">
        <v>45343</v>
      </c>
      <c r="Q76" s="5">
        <f>IF(ISNUMBER(Table32[[#This Row],[Date Allocated]]),Table32[[#This Row],[Date Allocated]],DATE(1900,1,1))</f>
        <v>45343</v>
      </c>
      <c r="R76" s="14">
        <f>IF(OR(Table32[[#This Row],[Date Assessed]]="N/A",Table32[[#This Row],[Date Allocated]]="N/A"),"N/A",Table32[[#This Row],[Date Allocated]]-Table32[[#This Row],[Date Assessed]])</f>
        <v>6</v>
      </c>
      <c r="S76" s="5">
        <v>45520</v>
      </c>
      <c r="T76" t="s">
        <v>255</v>
      </c>
      <c r="U76" t="s">
        <v>263</v>
      </c>
    </row>
    <row r="77" spans="1:21" x14ac:dyDescent="0.2">
      <c r="A77" s="4" t="s">
        <v>87</v>
      </c>
      <c r="B77" s="5">
        <v>31923</v>
      </c>
      <c r="C77">
        <f t="shared" ca="1" si="6"/>
        <v>38</v>
      </c>
      <c r="D77" t="str">
        <f t="shared" ca="1" si="4"/>
        <v>35–44</v>
      </c>
      <c r="E77" t="s">
        <v>224</v>
      </c>
      <c r="F77" t="s">
        <v>227</v>
      </c>
      <c r="G77" t="s">
        <v>227</v>
      </c>
      <c r="H77" t="str">
        <f t="shared" si="5"/>
        <v>BAME</v>
      </c>
      <c r="I77" t="s">
        <v>247</v>
      </c>
      <c r="J77" t="s">
        <v>252</v>
      </c>
      <c r="K77" s="5">
        <v>45482</v>
      </c>
      <c r="L77" s="7" t="str">
        <f t="shared" si="7"/>
        <v>July 2024</v>
      </c>
      <c r="M77" s="5">
        <v>45517</v>
      </c>
      <c r="N77" s="5">
        <f>IF(ISNUMBER(Table32[[#This Row],[Date Assessed]]),Table32[[#This Row],[Date Assessed]], DATE(1900,1,1))</f>
        <v>45517</v>
      </c>
      <c r="O77" s="13">
        <f>IF(OR(Table32[[#This Row],[Date Assessed]]="N/A",  Table32[[#This Row],[Date Referred]] = "N/A"), "N/A",  Table32[[#This Row],[Date Assessed]]-Table32[[#This Row],[Date Referred]])</f>
        <v>35</v>
      </c>
      <c r="P77" s="18">
        <v>45554</v>
      </c>
      <c r="Q77" s="5">
        <f>IF(ISNUMBER(Table32[[#This Row],[Date Allocated]]),Table32[[#This Row],[Date Allocated]],DATE(1900,1,1))</f>
        <v>45554</v>
      </c>
      <c r="R77" s="14">
        <f>IF(OR(Table32[[#This Row],[Date Assessed]]="N/A",Table32[[#This Row],[Date Allocated]]="N/A"),"N/A",Table32[[#This Row],[Date Allocated]]-Table32[[#This Row],[Date Assessed]])</f>
        <v>37</v>
      </c>
      <c r="S77" s="5">
        <v>45687</v>
      </c>
      <c r="T77" t="s">
        <v>255</v>
      </c>
      <c r="U77" t="s">
        <v>263</v>
      </c>
    </row>
    <row r="78" spans="1:21" x14ac:dyDescent="0.2">
      <c r="A78" s="4" t="s">
        <v>88</v>
      </c>
      <c r="B78" s="5">
        <v>32693</v>
      </c>
      <c r="C78">
        <f t="shared" ca="1" si="6"/>
        <v>36</v>
      </c>
      <c r="D78" t="str">
        <f t="shared" ca="1" si="4"/>
        <v>35–44</v>
      </c>
      <c r="E78" t="s">
        <v>225</v>
      </c>
      <c r="F78" t="s">
        <v>230</v>
      </c>
      <c r="G78" t="s">
        <v>243</v>
      </c>
      <c r="H78" t="str">
        <f t="shared" si="5"/>
        <v>BAME</v>
      </c>
      <c r="I78" t="s">
        <v>247</v>
      </c>
      <c r="J78" t="s">
        <v>253</v>
      </c>
      <c r="K78" s="5">
        <v>45310</v>
      </c>
      <c r="L78" s="7" t="str">
        <f t="shared" si="7"/>
        <v>January 2024</v>
      </c>
      <c r="M78" s="5">
        <v>45325</v>
      </c>
      <c r="N78" s="5">
        <f>IF(ISNUMBER(Table32[[#This Row],[Date Assessed]]),Table32[[#This Row],[Date Assessed]], DATE(1900,1,1))</f>
        <v>45325</v>
      </c>
      <c r="O78" s="13">
        <f>IF(OR(Table32[[#This Row],[Date Assessed]]="N/A",  Table32[[#This Row],[Date Referred]] = "N/A"), "N/A",  Table32[[#This Row],[Date Assessed]]-Table32[[#This Row],[Date Referred]])</f>
        <v>15</v>
      </c>
      <c r="P78" s="18">
        <v>45353</v>
      </c>
      <c r="Q78" s="5">
        <f>IF(ISNUMBER(Table32[[#This Row],[Date Allocated]]),Table32[[#This Row],[Date Allocated]],DATE(1900,1,1))</f>
        <v>45353</v>
      </c>
      <c r="R78" s="14">
        <f>IF(OR(Table32[[#This Row],[Date Assessed]]="N/A",Table32[[#This Row],[Date Allocated]]="N/A"),"N/A",Table32[[#This Row],[Date Allocated]]-Table32[[#This Row],[Date Assessed]])</f>
        <v>28</v>
      </c>
      <c r="S78" s="5">
        <v>45501</v>
      </c>
      <c r="T78" t="s">
        <v>255</v>
      </c>
      <c r="U78" t="s">
        <v>262</v>
      </c>
    </row>
    <row r="79" spans="1:21" x14ac:dyDescent="0.2">
      <c r="A79" s="4" t="s">
        <v>89</v>
      </c>
      <c r="B79" s="5">
        <v>34491</v>
      </c>
      <c r="C79">
        <f t="shared" ca="1" si="6"/>
        <v>31</v>
      </c>
      <c r="D79" t="str">
        <f t="shared" ca="1" si="4"/>
        <v>25–34</v>
      </c>
      <c r="E79" t="s">
        <v>224</v>
      </c>
      <c r="F79" t="s">
        <v>228</v>
      </c>
      <c r="G79" t="s">
        <v>242</v>
      </c>
      <c r="H79" t="str">
        <f t="shared" si="5"/>
        <v>White</v>
      </c>
      <c r="I79" t="s">
        <v>247</v>
      </c>
      <c r="J79" t="s">
        <v>251</v>
      </c>
      <c r="K79" s="5">
        <v>45512</v>
      </c>
      <c r="L79" s="7" t="str">
        <f t="shared" si="7"/>
        <v>August 2024</v>
      </c>
      <c r="M79" s="5">
        <v>45535</v>
      </c>
      <c r="N79" s="5">
        <f>IF(ISNUMBER(Table32[[#This Row],[Date Assessed]]),Table32[[#This Row],[Date Assessed]], DATE(1900,1,1))</f>
        <v>45535</v>
      </c>
      <c r="O79" s="13">
        <f>IF(OR(Table32[[#This Row],[Date Assessed]]="N/A",  Table32[[#This Row],[Date Referred]] = "N/A"), "N/A",  Table32[[#This Row],[Date Assessed]]-Table32[[#This Row],[Date Referred]])</f>
        <v>23</v>
      </c>
      <c r="P79" s="18">
        <v>45555</v>
      </c>
      <c r="Q79" s="5">
        <f>IF(ISNUMBER(Table32[[#This Row],[Date Allocated]]),Table32[[#This Row],[Date Allocated]],DATE(1900,1,1))</f>
        <v>45555</v>
      </c>
      <c r="R79" s="14">
        <f>IF(OR(Table32[[#This Row],[Date Assessed]]="N/A",Table32[[#This Row],[Date Allocated]]="N/A"),"N/A",Table32[[#This Row],[Date Allocated]]-Table32[[#This Row],[Date Assessed]])</f>
        <v>20</v>
      </c>
      <c r="S79" s="5" t="s">
        <v>226</v>
      </c>
      <c r="T79" t="s">
        <v>258</v>
      </c>
      <c r="U79" t="s">
        <v>325</v>
      </c>
    </row>
    <row r="80" spans="1:21" x14ac:dyDescent="0.2">
      <c r="A80" s="4" t="s">
        <v>90</v>
      </c>
      <c r="B80" s="5">
        <v>36122</v>
      </c>
      <c r="C80">
        <f t="shared" ca="1" si="6"/>
        <v>26</v>
      </c>
      <c r="D80" t="str">
        <f t="shared" ca="1" si="4"/>
        <v>25–34</v>
      </c>
      <c r="E80" t="s">
        <v>225</v>
      </c>
      <c r="F80" t="s">
        <v>228</v>
      </c>
      <c r="G80" t="s">
        <v>243</v>
      </c>
      <c r="H80" t="str">
        <f t="shared" si="5"/>
        <v>BAME</v>
      </c>
      <c r="I80" t="s">
        <v>247</v>
      </c>
      <c r="J80" t="s">
        <v>252</v>
      </c>
      <c r="K80" s="5">
        <v>45512</v>
      </c>
      <c r="L80" s="7" t="str">
        <f t="shared" si="7"/>
        <v>August 2024</v>
      </c>
      <c r="M80" s="5">
        <v>45520</v>
      </c>
      <c r="N80" s="5">
        <f>IF(ISNUMBER(Table32[[#This Row],[Date Assessed]]),Table32[[#This Row],[Date Assessed]], DATE(1900,1,1))</f>
        <v>45520</v>
      </c>
      <c r="O80" s="13">
        <f>IF(OR(Table32[[#This Row],[Date Assessed]]="N/A",  Table32[[#This Row],[Date Referred]] = "N/A"), "N/A",  Table32[[#This Row],[Date Assessed]]-Table32[[#This Row],[Date Referred]])</f>
        <v>8</v>
      </c>
      <c r="P80" s="18">
        <v>45526</v>
      </c>
      <c r="Q80" s="5">
        <f>IF(ISNUMBER(Table32[[#This Row],[Date Allocated]]),Table32[[#This Row],[Date Allocated]],DATE(1900,1,1))</f>
        <v>45526</v>
      </c>
      <c r="R80" s="14">
        <f>IF(OR(Table32[[#This Row],[Date Assessed]]="N/A",Table32[[#This Row],[Date Allocated]]="N/A"),"N/A",Table32[[#This Row],[Date Allocated]]-Table32[[#This Row],[Date Assessed]])</f>
        <v>6</v>
      </c>
      <c r="S80" s="5">
        <v>45693</v>
      </c>
      <c r="T80" t="s">
        <v>255</v>
      </c>
      <c r="U80" t="s">
        <v>262</v>
      </c>
    </row>
    <row r="81" spans="1:21" x14ac:dyDescent="0.2">
      <c r="A81" s="4" t="s">
        <v>91</v>
      </c>
      <c r="B81" s="5">
        <v>28316</v>
      </c>
      <c r="C81">
        <f t="shared" ca="1" si="6"/>
        <v>48</v>
      </c>
      <c r="D81" t="str">
        <f t="shared" ca="1" si="4"/>
        <v>45–54</v>
      </c>
      <c r="E81" t="s">
        <v>224</v>
      </c>
      <c r="F81" t="s">
        <v>230</v>
      </c>
      <c r="G81" t="s">
        <v>243</v>
      </c>
      <c r="H81" t="str">
        <f t="shared" si="5"/>
        <v>BAME</v>
      </c>
      <c r="I81" t="s">
        <v>247</v>
      </c>
      <c r="J81" t="s">
        <v>252</v>
      </c>
      <c r="K81" s="5">
        <v>45328</v>
      </c>
      <c r="L81" s="7" t="str">
        <f t="shared" si="7"/>
        <v>February 2024</v>
      </c>
      <c r="M81" s="5">
        <v>45362</v>
      </c>
      <c r="N81" s="5">
        <f>IF(ISNUMBER(Table32[[#This Row],[Date Assessed]]),Table32[[#This Row],[Date Assessed]], DATE(1900,1,1))</f>
        <v>45362</v>
      </c>
      <c r="O81" s="13">
        <f>IF(OR(Table32[[#This Row],[Date Assessed]]="N/A",  Table32[[#This Row],[Date Referred]] = "N/A"), "N/A",  Table32[[#This Row],[Date Assessed]]-Table32[[#This Row],[Date Referred]])</f>
        <v>34</v>
      </c>
      <c r="P81" s="18">
        <v>45374</v>
      </c>
      <c r="Q81" s="5">
        <f>IF(ISNUMBER(Table32[[#This Row],[Date Allocated]]),Table32[[#This Row],[Date Allocated]],DATE(1900,1,1))</f>
        <v>45374</v>
      </c>
      <c r="R81" s="14">
        <f>IF(OR(Table32[[#This Row],[Date Assessed]]="N/A",Table32[[#This Row],[Date Allocated]]="N/A"),"N/A",Table32[[#This Row],[Date Allocated]]-Table32[[#This Row],[Date Assessed]])</f>
        <v>12</v>
      </c>
      <c r="S81" s="5" t="s">
        <v>226</v>
      </c>
      <c r="T81" t="s">
        <v>259</v>
      </c>
      <c r="U81" t="s">
        <v>325</v>
      </c>
    </row>
    <row r="82" spans="1:21" x14ac:dyDescent="0.2">
      <c r="A82" s="4" t="s">
        <v>92</v>
      </c>
      <c r="B82" s="5">
        <v>35112</v>
      </c>
      <c r="C82">
        <f t="shared" ca="1" si="6"/>
        <v>29</v>
      </c>
      <c r="D82" t="str">
        <f t="shared" ca="1" si="4"/>
        <v>25–34</v>
      </c>
      <c r="E82" t="s">
        <v>224</v>
      </c>
      <c r="F82" t="s">
        <v>229</v>
      </c>
      <c r="G82" t="s">
        <v>243</v>
      </c>
      <c r="H82" t="str">
        <f t="shared" si="5"/>
        <v>BAME</v>
      </c>
      <c r="I82" t="s">
        <v>247</v>
      </c>
      <c r="J82" t="s">
        <v>251</v>
      </c>
      <c r="K82" s="5">
        <v>45581</v>
      </c>
      <c r="L82" s="7" t="str">
        <f t="shared" si="7"/>
        <v>October 2024</v>
      </c>
      <c r="M82" s="5">
        <v>45620</v>
      </c>
      <c r="N82" s="5">
        <f>IF(ISNUMBER(Table32[[#This Row],[Date Assessed]]),Table32[[#This Row],[Date Assessed]], DATE(1900,1,1))</f>
        <v>45620</v>
      </c>
      <c r="O82" s="13">
        <f>IF(OR(Table32[[#This Row],[Date Assessed]]="N/A",  Table32[[#This Row],[Date Referred]] = "N/A"), "N/A",  Table32[[#This Row],[Date Assessed]]-Table32[[#This Row],[Date Referred]])</f>
        <v>39</v>
      </c>
      <c r="P82" s="18">
        <v>45647</v>
      </c>
      <c r="Q82" s="5">
        <f>IF(ISNUMBER(Table32[[#This Row],[Date Allocated]]),Table32[[#This Row],[Date Allocated]],DATE(1900,1,1))</f>
        <v>45647</v>
      </c>
      <c r="R82" s="14">
        <f>IF(OR(Table32[[#This Row],[Date Assessed]]="N/A",Table32[[#This Row],[Date Allocated]]="N/A"),"N/A",Table32[[#This Row],[Date Allocated]]-Table32[[#This Row],[Date Assessed]])</f>
        <v>27</v>
      </c>
      <c r="S82" s="5">
        <v>45822</v>
      </c>
      <c r="T82" t="s">
        <v>255</v>
      </c>
      <c r="U82" t="s">
        <v>263</v>
      </c>
    </row>
    <row r="83" spans="1:21" x14ac:dyDescent="0.2">
      <c r="A83" s="4" t="s">
        <v>93</v>
      </c>
      <c r="B83" s="5">
        <v>25227</v>
      </c>
      <c r="C83">
        <f t="shared" ca="1" si="6"/>
        <v>56</v>
      </c>
      <c r="D83" t="str">
        <f t="shared" ca="1" si="4"/>
        <v>55–64</v>
      </c>
      <c r="E83" t="s">
        <v>225</v>
      </c>
      <c r="F83" t="s">
        <v>230</v>
      </c>
      <c r="G83" t="s">
        <v>243</v>
      </c>
      <c r="H83" t="str">
        <f t="shared" si="5"/>
        <v>BAME</v>
      </c>
      <c r="I83" t="s">
        <v>247</v>
      </c>
      <c r="J83" t="s">
        <v>250</v>
      </c>
      <c r="K83" s="5">
        <v>45437</v>
      </c>
      <c r="L83" s="7" t="str">
        <f t="shared" si="7"/>
        <v>May 2024</v>
      </c>
      <c r="M83" s="5">
        <v>45479</v>
      </c>
      <c r="N83" s="5">
        <f>IF(ISNUMBER(Table32[[#This Row],[Date Assessed]]),Table32[[#This Row],[Date Assessed]], DATE(1900,1,1))</f>
        <v>45479</v>
      </c>
      <c r="O83" s="13">
        <f>IF(OR(Table32[[#This Row],[Date Assessed]]="N/A",  Table32[[#This Row],[Date Referred]] = "N/A"), "N/A",  Table32[[#This Row],[Date Assessed]]-Table32[[#This Row],[Date Referred]])</f>
        <v>42</v>
      </c>
      <c r="P83" s="18">
        <v>45507</v>
      </c>
      <c r="Q83" s="5">
        <f>IF(ISNUMBER(Table32[[#This Row],[Date Allocated]]),Table32[[#This Row],[Date Allocated]],DATE(1900,1,1))</f>
        <v>45507</v>
      </c>
      <c r="R83" s="14">
        <f>IF(OR(Table32[[#This Row],[Date Assessed]]="N/A",Table32[[#This Row],[Date Allocated]]="N/A"),"N/A",Table32[[#This Row],[Date Allocated]]-Table32[[#This Row],[Date Assessed]])</f>
        <v>28</v>
      </c>
      <c r="S83" s="5" t="s">
        <v>226</v>
      </c>
      <c r="T83" t="s">
        <v>258</v>
      </c>
      <c r="U83" t="s">
        <v>325</v>
      </c>
    </row>
    <row r="84" spans="1:21" x14ac:dyDescent="0.2">
      <c r="A84" s="4" t="s">
        <v>94</v>
      </c>
      <c r="B84" s="5">
        <v>29102</v>
      </c>
      <c r="C84">
        <f t="shared" ca="1" si="6"/>
        <v>46</v>
      </c>
      <c r="D84" t="str">
        <f t="shared" ca="1" si="4"/>
        <v>45–54</v>
      </c>
      <c r="E84" t="s">
        <v>225</v>
      </c>
      <c r="F84" t="s">
        <v>228</v>
      </c>
      <c r="G84" t="s">
        <v>243</v>
      </c>
      <c r="H84" t="str">
        <f t="shared" si="5"/>
        <v>BAME</v>
      </c>
      <c r="I84" t="s">
        <v>247</v>
      </c>
      <c r="J84" t="s">
        <v>253</v>
      </c>
      <c r="K84" s="5">
        <v>45489</v>
      </c>
      <c r="L84" s="7" t="str">
        <f t="shared" si="7"/>
        <v>July 2024</v>
      </c>
      <c r="M84" s="5">
        <v>45518</v>
      </c>
      <c r="N84" s="5">
        <f>IF(ISNUMBER(Table32[[#This Row],[Date Assessed]]),Table32[[#This Row],[Date Assessed]], DATE(1900,1,1))</f>
        <v>45518</v>
      </c>
      <c r="O84" s="13">
        <f>IF(OR(Table32[[#This Row],[Date Assessed]]="N/A",  Table32[[#This Row],[Date Referred]] = "N/A"), "N/A",  Table32[[#This Row],[Date Assessed]]-Table32[[#This Row],[Date Referred]])</f>
        <v>29</v>
      </c>
      <c r="P84" s="18">
        <v>45553</v>
      </c>
      <c r="Q84" s="5">
        <f>IF(ISNUMBER(Table32[[#This Row],[Date Allocated]]),Table32[[#This Row],[Date Allocated]],DATE(1900,1,1))</f>
        <v>45553</v>
      </c>
      <c r="R84" s="14">
        <f>IF(OR(Table32[[#This Row],[Date Assessed]]="N/A",Table32[[#This Row],[Date Allocated]]="N/A"),"N/A",Table32[[#This Row],[Date Allocated]]-Table32[[#This Row],[Date Assessed]])</f>
        <v>35</v>
      </c>
      <c r="S84" s="5">
        <v>45716</v>
      </c>
      <c r="T84" t="s">
        <v>255</v>
      </c>
      <c r="U84" t="s">
        <v>272</v>
      </c>
    </row>
    <row r="85" spans="1:21" x14ac:dyDescent="0.2">
      <c r="A85" s="4" t="s">
        <v>95</v>
      </c>
      <c r="B85" s="5">
        <v>38486</v>
      </c>
      <c r="C85">
        <f t="shared" ca="1" si="6"/>
        <v>20</v>
      </c>
      <c r="D85" t="str">
        <f t="shared" ca="1" si="4"/>
        <v>18–24</v>
      </c>
      <c r="E85" t="s">
        <v>225</v>
      </c>
      <c r="F85" t="s">
        <v>228</v>
      </c>
      <c r="G85" t="s">
        <v>243</v>
      </c>
      <c r="H85" t="str">
        <f t="shared" si="5"/>
        <v>BAME</v>
      </c>
      <c r="I85" t="s">
        <v>246</v>
      </c>
      <c r="J85" t="s">
        <v>252</v>
      </c>
      <c r="K85" s="5">
        <v>45492</v>
      </c>
      <c r="L85" s="7" t="str">
        <f t="shared" si="7"/>
        <v>July 2024</v>
      </c>
      <c r="M85" s="5">
        <v>45516</v>
      </c>
      <c r="N85" s="5">
        <f>IF(ISNUMBER(Table32[[#This Row],[Date Assessed]]),Table32[[#This Row],[Date Assessed]], DATE(1900,1,1))</f>
        <v>45516</v>
      </c>
      <c r="O85" s="13">
        <f>IF(OR(Table32[[#This Row],[Date Assessed]]="N/A",  Table32[[#This Row],[Date Referred]] = "N/A"), "N/A",  Table32[[#This Row],[Date Assessed]]-Table32[[#This Row],[Date Referred]])</f>
        <v>24</v>
      </c>
      <c r="P85" s="18">
        <v>45571</v>
      </c>
      <c r="Q85" s="5">
        <f>IF(ISNUMBER(Table32[[#This Row],[Date Allocated]]),Table32[[#This Row],[Date Allocated]],DATE(1900,1,1))</f>
        <v>45571</v>
      </c>
      <c r="R85" s="14">
        <f>IF(OR(Table32[[#This Row],[Date Assessed]]="N/A",Table32[[#This Row],[Date Allocated]]="N/A"),"N/A",Table32[[#This Row],[Date Allocated]]-Table32[[#This Row],[Date Assessed]])</f>
        <v>55</v>
      </c>
      <c r="S85" s="5">
        <v>45743</v>
      </c>
      <c r="T85" t="s">
        <v>255</v>
      </c>
      <c r="U85" t="s">
        <v>263</v>
      </c>
    </row>
    <row r="86" spans="1:21" x14ac:dyDescent="0.2">
      <c r="A86" s="4" t="s">
        <v>96</v>
      </c>
      <c r="B86" s="5">
        <v>24709</v>
      </c>
      <c r="C86">
        <f t="shared" ca="1" si="6"/>
        <v>58</v>
      </c>
      <c r="D86" t="str">
        <f t="shared" ca="1" si="4"/>
        <v>55–64</v>
      </c>
      <c r="E86" t="s">
        <v>225</v>
      </c>
      <c r="F86" t="s">
        <v>230</v>
      </c>
      <c r="G86" t="s">
        <v>243</v>
      </c>
      <c r="H86" t="str">
        <f t="shared" si="5"/>
        <v>BAME</v>
      </c>
      <c r="I86" t="s">
        <v>247</v>
      </c>
      <c r="J86" t="s">
        <v>250</v>
      </c>
      <c r="K86" s="5">
        <v>45316</v>
      </c>
      <c r="L86" s="7" t="str">
        <f t="shared" si="7"/>
        <v>January 2024</v>
      </c>
      <c r="M86" s="5">
        <v>45337</v>
      </c>
      <c r="N86" s="5">
        <f>IF(ISNUMBER(Table32[[#This Row],[Date Assessed]]),Table32[[#This Row],[Date Assessed]], DATE(1900,1,1))</f>
        <v>45337</v>
      </c>
      <c r="O86" s="13">
        <f>IF(OR(Table32[[#This Row],[Date Assessed]]="N/A",  Table32[[#This Row],[Date Referred]] = "N/A"), "N/A",  Table32[[#This Row],[Date Assessed]]-Table32[[#This Row],[Date Referred]])</f>
        <v>21</v>
      </c>
      <c r="P86" s="18">
        <v>45366</v>
      </c>
      <c r="Q86" s="5">
        <f>IF(ISNUMBER(Table32[[#This Row],[Date Allocated]]),Table32[[#This Row],[Date Allocated]],DATE(1900,1,1))</f>
        <v>45366</v>
      </c>
      <c r="R86" s="14">
        <f>IF(OR(Table32[[#This Row],[Date Assessed]]="N/A",Table32[[#This Row],[Date Allocated]]="N/A"),"N/A",Table32[[#This Row],[Date Allocated]]-Table32[[#This Row],[Date Assessed]])</f>
        <v>29</v>
      </c>
      <c r="S86" s="5">
        <v>45543</v>
      </c>
      <c r="T86" t="s">
        <v>255</v>
      </c>
      <c r="U86" t="s">
        <v>261</v>
      </c>
    </row>
    <row r="87" spans="1:21" x14ac:dyDescent="0.2">
      <c r="A87" s="4" t="s">
        <v>97</v>
      </c>
      <c r="B87" s="5">
        <v>36495</v>
      </c>
      <c r="C87">
        <f t="shared" ca="1" si="6"/>
        <v>25</v>
      </c>
      <c r="D87" t="str">
        <f t="shared" ca="1" si="4"/>
        <v>25–34</v>
      </c>
      <c r="E87" t="s">
        <v>225</v>
      </c>
      <c r="F87" t="s">
        <v>228</v>
      </c>
      <c r="G87" t="s">
        <v>242</v>
      </c>
      <c r="H87" t="str">
        <f t="shared" si="5"/>
        <v>White</v>
      </c>
      <c r="I87" t="s">
        <v>247</v>
      </c>
      <c r="J87" t="s">
        <v>253</v>
      </c>
      <c r="K87" s="5">
        <v>45598</v>
      </c>
      <c r="L87" s="7" t="str">
        <f t="shared" si="7"/>
        <v>November 2024</v>
      </c>
      <c r="M87" s="5">
        <v>45633</v>
      </c>
      <c r="N87" s="5">
        <f>IF(ISNUMBER(Table32[[#This Row],[Date Assessed]]),Table32[[#This Row],[Date Assessed]], DATE(1900,1,1))</f>
        <v>45633</v>
      </c>
      <c r="O87" s="13">
        <f>IF(OR(Table32[[#This Row],[Date Assessed]]="N/A",  Table32[[#This Row],[Date Referred]] = "N/A"), "N/A",  Table32[[#This Row],[Date Assessed]]-Table32[[#This Row],[Date Referred]])</f>
        <v>35</v>
      </c>
      <c r="P87" s="18">
        <v>45676</v>
      </c>
      <c r="Q87" s="5">
        <f>IF(ISNUMBER(Table32[[#This Row],[Date Allocated]]),Table32[[#This Row],[Date Allocated]],DATE(1900,1,1))</f>
        <v>45676</v>
      </c>
      <c r="R87" s="14">
        <f>IF(OR(Table32[[#This Row],[Date Assessed]]="N/A",Table32[[#This Row],[Date Allocated]]="N/A"),"N/A",Table32[[#This Row],[Date Allocated]]-Table32[[#This Row],[Date Assessed]])</f>
        <v>43</v>
      </c>
      <c r="S87" s="5">
        <v>45813</v>
      </c>
      <c r="T87" t="s">
        <v>255</v>
      </c>
      <c r="U87" t="s">
        <v>264</v>
      </c>
    </row>
    <row r="88" spans="1:21" x14ac:dyDescent="0.2">
      <c r="A88" s="4" t="s">
        <v>98</v>
      </c>
      <c r="B88" s="5">
        <v>29662</v>
      </c>
      <c r="C88">
        <f t="shared" ca="1" si="6"/>
        <v>44</v>
      </c>
      <c r="D88" t="str">
        <f t="shared" ca="1" si="4"/>
        <v>35–44</v>
      </c>
      <c r="E88" t="s">
        <v>225</v>
      </c>
      <c r="F88" t="s">
        <v>228</v>
      </c>
      <c r="G88" t="s">
        <v>243</v>
      </c>
      <c r="H88" t="str">
        <f t="shared" si="5"/>
        <v>BAME</v>
      </c>
      <c r="I88" t="s">
        <v>246</v>
      </c>
      <c r="J88" t="s">
        <v>252</v>
      </c>
      <c r="K88" s="5">
        <v>45578</v>
      </c>
      <c r="L88" s="7" t="str">
        <f t="shared" si="7"/>
        <v>October 2024</v>
      </c>
      <c r="M88" s="5">
        <v>45590</v>
      </c>
      <c r="N88" s="5">
        <f>IF(ISNUMBER(Table32[[#This Row],[Date Assessed]]),Table32[[#This Row],[Date Assessed]], DATE(1900,1,1))</f>
        <v>45590</v>
      </c>
      <c r="O88" s="13">
        <f>IF(OR(Table32[[#This Row],[Date Assessed]]="N/A",  Table32[[#This Row],[Date Referred]] = "N/A"), "N/A",  Table32[[#This Row],[Date Assessed]]-Table32[[#This Row],[Date Referred]])</f>
        <v>12</v>
      </c>
      <c r="P88" s="18">
        <v>45647</v>
      </c>
      <c r="Q88" s="5">
        <f>IF(ISNUMBER(Table32[[#This Row],[Date Allocated]]),Table32[[#This Row],[Date Allocated]],DATE(1900,1,1))</f>
        <v>45647</v>
      </c>
      <c r="R88" s="14">
        <f>IF(OR(Table32[[#This Row],[Date Assessed]]="N/A",Table32[[#This Row],[Date Allocated]]="N/A"),"N/A",Table32[[#This Row],[Date Allocated]]-Table32[[#This Row],[Date Assessed]])</f>
        <v>57</v>
      </c>
      <c r="S88" s="5">
        <v>45795</v>
      </c>
      <c r="T88" t="s">
        <v>255</v>
      </c>
      <c r="U88" t="s">
        <v>263</v>
      </c>
    </row>
    <row r="89" spans="1:21" x14ac:dyDescent="0.2">
      <c r="A89" s="4" t="s">
        <v>99</v>
      </c>
      <c r="B89" s="5">
        <v>33246</v>
      </c>
      <c r="C89">
        <f t="shared" ca="1" si="6"/>
        <v>34</v>
      </c>
      <c r="D89" t="str">
        <f t="shared" ca="1" si="4"/>
        <v>25–34</v>
      </c>
      <c r="E89" t="s">
        <v>224</v>
      </c>
      <c r="F89" t="s">
        <v>230</v>
      </c>
      <c r="G89" t="s">
        <v>243</v>
      </c>
      <c r="H89" t="str">
        <f t="shared" si="5"/>
        <v>BAME</v>
      </c>
      <c r="I89" t="s">
        <v>247</v>
      </c>
      <c r="J89" t="s">
        <v>253</v>
      </c>
      <c r="K89" s="5">
        <v>45654</v>
      </c>
      <c r="L89" s="7" t="str">
        <f t="shared" si="7"/>
        <v>December 2024</v>
      </c>
      <c r="M89" s="5">
        <v>45656</v>
      </c>
      <c r="N89" s="5">
        <f>IF(ISNUMBER(Table32[[#This Row],[Date Assessed]]),Table32[[#This Row],[Date Assessed]], DATE(1900,1,1))</f>
        <v>45656</v>
      </c>
      <c r="O89" s="13">
        <f>IF(OR(Table32[[#This Row],[Date Assessed]]="N/A",  Table32[[#This Row],[Date Referred]] = "N/A"), "N/A",  Table32[[#This Row],[Date Assessed]]-Table32[[#This Row],[Date Referred]])</f>
        <v>2</v>
      </c>
      <c r="P89" s="18" t="s">
        <v>226</v>
      </c>
      <c r="Q89" s="5">
        <f>IF(ISNUMBER(Table32[[#This Row],[Date Allocated]]),Table32[[#This Row],[Date Allocated]],DATE(1900,1,1))</f>
        <v>1</v>
      </c>
      <c r="R89" s="14" t="str">
        <f>IF(OR(Table32[[#This Row],[Date Assessed]]="N/A",Table32[[#This Row],[Date Allocated]]="N/A"),"N/A",Table32[[#This Row],[Date Allocated]]-Table32[[#This Row],[Date Assessed]])</f>
        <v>N/A</v>
      </c>
      <c r="S89" s="5" t="s">
        <v>226</v>
      </c>
      <c r="T89" t="s">
        <v>258</v>
      </c>
      <c r="U89" t="s">
        <v>325</v>
      </c>
    </row>
    <row r="90" spans="1:21" x14ac:dyDescent="0.2">
      <c r="A90" s="4" t="s">
        <v>100</v>
      </c>
      <c r="B90" s="5">
        <v>21695</v>
      </c>
      <c r="C90">
        <f t="shared" ca="1" si="6"/>
        <v>66</v>
      </c>
      <c r="D90" t="str">
        <f t="shared" ca="1" si="4"/>
        <v>65+</v>
      </c>
      <c r="E90" t="s">
        <v>224</v>
      </c>
      <c r="F90" t="s">
        <v>230</v>
      </c>
      <c r="G90" t="s">
        <v>243</v>
      </c>
      <c r="H90" t="str">
        <f t="shared" si="5"/>
        <v>BAME</v>
      </c>
      <c r="I90" t="s">
        <v>247</v>
      </c>
      <c r="J90" t="s">
        <v>253</v>
      </c>
      <c r="K90" s="5">
        <v>45438</v>
      </c>
      <c r="L90" s="7" t="str">
        <f t="shared" si="7"/>
        <v>May 2024</v>
      </c>
      <c r="M90" s="5">
        <v>45441</v>
      </c>
      <c r="N90" s="5">
        <f>IF(ISNUMBER(Table32[[#This Row],[Date Assessed]]),Table32[[#This Row],[Date Assessed]], DATE(1900,1,1))</f>
        <v>45441</v>
      </c>
      <c r="O90" s="13">
        <f>IF(OR(Table32[[#This Row],[Date Assessed]]="N/A",  Table32[[#This Row],[Date Referred]] = "N/A"), "N/A",  Table32[[#This Row],[Date Assessed]]-Table32[[#This Row],[Date Referred]])</f>
        <v>3</v>
      </c>
      <c r="P90" s="18" t="s">
        <v>226</v>
      </c>
      <c r="Q90" s="5">
        <f>IF(ISNUMBER(Table32[[#This Row],[Date Allocated]]),Table32[[#This Row],[Date Allocated]],DATE(1900,1,1))</f>
        <v>1</v>
      </c>
      <c r="R90" s="14" t="str">
        <f>IF(OR(Table32[[#This Row],[Date Assessed]]="N/A",Table32[[#This Row],[Date Allocated]]="N/A"),"N/A",Table32[[#This Row],[Date Allocated]]-Table32[[#This Row],[Date Assessed]])</f>
        <v>N/A</v>
      </c>
      <c r="S90" s="5" t="s">
        <v>226</v>
      </c>
      <c r="T90" t="s">
        <v>258</v>
      </c>
      <c r="U90" t="s">
        <v>325</v>
      </c>
    </row>
    <row r="91" spans="1:21" x14ac:dyDescent="0.2">
      <c r="A91" s="4" t="s">
        <v>101</v>
      </c>
      <c r="B91" s="5">
        <v>31088</v>
      </c>
      <c r="C91">
        <f t="shared" ca="1" si="6"/>
        <v>40</v>
      </c>
      <c r="D91" t="str">
        <f t="shared" ca="1" si="4"/>
        <v>35–44</v>
      </c>
      <c r="E91" t="s">
        <v>224</v>
      </c>
      <c r="F91" t="s">
        <v>228</v>
      </c>
      <c r="G91" t="s">
        <v>242</v>
      </c>
      <c r="H91" t="str">
        <f t="shared" si="5"/>
        <v>White</v>
      </c>
      <c r="I91" t="s">
        <v>247</v>
      </c>
      <c r="J91" t="s">
        <v>250</v>
      </c>
      <c r="K91" s="5">
        <v>45357</v>
      </c>
      <c r="L91" s="7" t="str">
        <f t="shared" si="7"/>
        <v>March 2024</v>
      </c>
      <c r="M91" s="5">
        <v>45368</v>
      </c>
      <c r="N91" s="5">
        <f>IF(ISNUMBER(Table32[[#This Row],[Date Assessed]]),Table32[[#This Row],[Date Assessed]], DATE(1900,1,1))</f>
        <v>45368</v>
      </c>
      <c r="O91" s="13">
        <f>IF(OR(Table32[[#This Row],[Date Assessed]]="N/A",  Table32[[#This Row],[Date Referred]] = "N/A"), "N/A",  Table32[[#This Row],[Date Assessed]]-Table32[[#This Row],[Date Referred]])</f>
        <v>11</v>
      </c>
      <c r="P91" s="18">
        <v>45421</v>
      </c>
      <c r="Q91" s="5">
        <f>IF(ISNUMBER(Table32[[#This Row],[Date Allocated]]),Table32[[#This Row],[Date Allocated]],DATE(1900,1,1))</f>
        <v>45421</v>
      </c>
      <c r="R91" s="14">
        <f>IF(OR(Table32[[#This Row],[Date Assessed]]="N/A",Table32[[#This Row],[Date Allocated]]="N/A"),"N/A",Table32[[#This Row],[Date Allocated]]-Table32[[#This Row],[Date Assessed]])</f>
        <v>53</v>
      </c>
      <c r="S91" s="5">
        <v>45552</v>
      </c>
      <c r="T91" t="s">
        <v>255</v>
      </c>
      <c r="U91" t="s">
        <v>264</v>
      </c>
    </row>
    <row r="92" spans="1:21" x14ac:dyDescent="0.2">
      <c r="A92" s="4" t="s">
        <v>102</v>
      </c>
      <c r="B92" s="5">
        <v>35895</v>
      </c>
      <c r="C92">
        <f t="shared" ca="1" si="6"/>
        <v>27</v>
      </c>
      <c r="D92" t="str">
        <f t="shared" ca="1" si="4"/>
        <v>25–34</v>
      </c>
      <c r="E92" t="s">
        <v>225</v>
      </c>
      <c r="F92" t="s">
        <v>228</v>
      </c>
      <c r="G92" t="s">
        <v>242</v>
      </c>
      <c r="H92" t="str">
        <f t="shared" si="5"/>
        <v>White</v>
      </c>
      <c r="I92" t="s">
        <v>247</v>
      </c>
      <c r="J92" t="s">
        <v>250</v>
      </c>
      <c r="K92" s="5">
        <v>45437</v>
      </c>
      <c r="L92" s="7" t="str">
        <f t="shared" si="7"/>
        <v>May 2024</v>
      </c>
      <c r="M92" s="5">
        <v>45470</v>
      </c>
      <c r="N92" s="5">
        <f>IF(ISNUMBER(Table32[[#This Row],[Date Assessed]]),Table32[[#This Row],[Date Assessed]], DATE(1900,1,1))</f>
        <v>45470</v>
      </c>
      <c r="O92" s="13">
        <f>IF(OR(Table32[[#This Row],[Date Assessed]]="N/A",  Table32[[#This Row],[Date Referred]] = "N/A"), "N/A",  Table32[[#This Row],[Date Assessed]]-Table32[[#This Row],[Date Referred]])</f>
        <v>33</v>
      </c>
      <c r="P92" s="18">
        <v>45482</v>
      </c>
      <c r="Q92" s="5">
        <f>IF(ISNUMBER(Table32[[#This Row],[Date Allocated]]),Table32[[#This Row],[Date Allocated]],DATE(1900,1,1))</f>
        <v>45482</v>
      </c>
      <c r="R92" s="14">
        <f>IF(OR(Table32[[#This Row],[Date Assessed]]="N/A",Table32[[#This Row],[Date Allocated]]="N/A"),"N/A",Table32[[#This Row],[Date Allocated]]-Table32[[#This Row],[Date Assessed]])</f>
        <v>12</v>
      </c>
      <c r="S92" s="5">
        <v>45620</v>
      </c>
      <c r="T92" t="s">
        <v>255</v>
      </c>
      <c r="U92" t="s">
        <v>263</v>
      </c>
    </row>
    <row r="93" spans="1:21" x14ac:dyDescent="0.2">
      <c r="A93" s="4" t="s">
        <v>103</v>
      </c>
      <c r="B93" s="5">
        <v>35129</v>
      </c>
      <c r="C93">
        <f t="shared" ca="1" si="6"/>
        <v>29</v>
      </c>
      <c r="D93" t="str">
        <f t="shared" ca="1" si="4"/>
        <v>25–34</v>
      </c>
      <c r="E93" t="s">
        <v>225</v>
      </c>
      <c r="F93" t="s">
        <v>230</v>
      </c>
      <c r="G93" t="s">
        <v>243</v>
      </c>
      <c r="H93" t="str">
        <f t="shared" si="5"/>
        <v>BAME</v>
      </c>
      <c r="I93" t="s">
        <v>247</v>
      </c>
      <c r="J93" t="s">
        <v>253</v>
      </c>
      <c r="K93" s="5">
        <v>45595</v>
      </c>
      <c r="L93" s="7" t="str">
        <f t="shared" si="7"/>
        <v>October 2024</v>
      </c>
      <c r="M93" s="5">
        <v>45631</v>
      </c>
      <c r="N93" s="5">
        <f>IF(ISNUMBER(Table32[[#This Row],[Date Assessed]]),Table32[[#This Row],[Date Assessed]], DATE(1900,1,1))</f>
        <v>45631</v>
      </c>
      <c r="O93" s="13">
        <f>IF(OR(Table32[[#This Row],[Date Assessed]]="N/A",  Table32[[#This Row],[Date Referred]] = "N/A"), "N/A",  Table32[[#This Row],[Date Assessed]]-Table32[[#This Row],[Date Referred]])</f>
        <v>36</v>
      </c>
      <c r="P93" s="18">
        <v>45655</v>
      </c>
      <c r="Q93" s="5">
        <f>IF(ISNUMBER(Table32[[#This Row],[Date Allocated]]),Table32[[#This Row],[Date Allocated]],DATE(1900,1,1))</f>
        <v>45655</v>
      </c>
      <c r="R93" s="14">
        <f>IF(OR(Table32[[#This Row],[Date Assessed]]="N/A",Table32[[#This Row],[Date Allocated]]="N/A"),"N/A",Table32[[#This Row],[Date Allocated]]-Table32[[#This Row],[Date Assessed]])</f>
        <v>24</v>
      </c>
      <c r="S93" s="5">
        <v>45775</v>
      </c>
      <c r="T93" t="s">
        <v>255</v>
      </c>
      <c r="U93" t="s">
        <v>272</v>
      </c>
    </row>
    <row r="94" spans="1:21" x14ac:dyDescent="0.2">
      <c r="A94" s="4" t="s">
        <v>104</v>
      </c>
      <c r="B94" s="5">
        <v>30075</v>
      </c>
      <c r="C94">
        <f t="shared" ca="1" si="6"/>
        <v>43</v>
      </c>
      <c r="D94" t="str">
        <f t="shared" ca="1" si="4"/>
        <v>35–44</v>
      </c>
      <c r="E94" t="s">
        <v>225</v>
      </c>
      <c r="F94" t="s">
        <v>232</v>
      </c>
      <c r="G94" t="s">
        <v>243</v>
      </c>
      <c r="H94" t="str">
        <f t="shared" si="5"/>
        <v>BAME</v>
      </c>
      <c r="I94" t="s">
        <v>247</v>
      </c>
      <c r="J94" t="s">
        <v>251</v>
      </c>
      <c r="K94" s="5">
        <v>45373</v>
      </c>
      <c r="L94" s="7" t="str">
        <f t="shared" si="7"/>
        <v>March 2024</v>
      </c>
      <c r="M94" s="5">
        <v>45377</v>
      </c>
      <c r="N94" s="5">
        <f>IF(ISNUMBER(Table32[[#This Row],[Date Assessed]]),Table32[[#This Row],[Date Assessed]], DATE(1900,1,1))</f>
        <v>45377</v>
      </c>
      <c r="O94" s="13">
        <f>IF(OR(Table32[[#This Row],[Date Assessed]]="N/A",  Table32[[#This Row],[Date Referred]] = "N/A"), "N/A",  Table32[[#This Row],[Date Assessed]]-Table32[[#This Row],[Date Referred]])</f>
        <v>4</v>
      </c>
      <c r="P94" s="18">
        <v>45433</v>
      </c>
      <c r="Q94" s="5">
        <f>IF(ISNUMBER(Table32[[#This Row],[Date Allocated]]),Table32[[#This Row],[Date Allocated]],DATE(1900,1,1))</f>
        <v>45433</v>
      </c>
      <c r="R94" s="14">
        <f>IF(OR(Table32[[#This Row],[Date Assessed]]="N/A",Table32[[#This Row],[Date Allocated]]="N/A"),"N/A",Table32[[#This Row],[Date Allocated]]-Table32[[#This Row],[Date Assessed]])</f>
        <v>56</v>
      </c>
      <c r="S94" s="5">
        <v>45589</v>
      </c>
      <c r="T94" t="s">
        <v>255</v>
      </c>
      <c r="U94" t="s">
        <v>263</v>
      </c>
    </row>
    <row r="95" spans="1:21" x14ac:dyDescent="0.2">
      <c r="A95" s="4" t="s">
        <v>105</v>
      </c>
      <c r="B95" s="5">
        <v>24144</v>
      </c>
      <c r="C95">
        <f t="shared" ca="1" si="6"/>
        <v>59</v>
      </c>
      <c r="D95" t="str">
        <f t="shared" ca="1" si="4"/>
        <v>55–64</v>
      </c>
      <c r="E95" t="s">
        <v>225</v>
      </c>
      <c r="F95" t="s">
        <v>228</v>
      </c>
      <c r="G95" t="s">
        <v>242</v>
      </c>
      <c r="H95" t="str">
        <f t="shared" si="5"/>
        <v>White</v>
      </c>
      <c r="I95" t="s">
        <v>247</v>
      </c>
      <c r="J95" t="s">
        <v>251</v>
      </c>
      <c r="K95" s="5">
        <v>45522</v>
      </c>
      <c r="L95" s="7" t="str">
        <f t="shared" si="7"/>
        <v>August 2024</v>
      </c>
      <c r="M95" s="5">
        <v>45527</v>
      </c>
      <c r="N95" s="5">
        <f>IF(ISNUMBER(Table32[[#This Row],[Date Assessed]]),Table32[[#This Row],[Date Assessed]], DATE(1900,1,1))</f>
        <v>45527</v>
      </c>
      <c r="O95" s="13">
        <f>IF(OR(Table32[[#This Row],[Date Assessed]]="N/A",  Table32[[#This Row],[Date Referred]] = "N/A"), "N/A",  Table32[[#This Row],[Date Assessed]]-Table32[[#This Row],[Date Referred]])</f>
        <v>5</v>
      </c>
      <c r="P95" s="18">
        <v>45555</v>
      </c>
      <c r="Q95" s="5">
        <f>IF(ISNUMBER(Table32[[#This Row],[Date Allocated]]),Table32[[#This Row],[Date Allocated]],DATE(1900,1,1))</f>
        <v>45555</v>
      </c>
      <c r="R95" s="14">
        <f>IF(OR(Table32[[#This Row],[Date Assessed]]="N/A",Table32[[#This Row],[Date Allocated]]="N/A"),"N/A",Table32[[#This Row],[Date Allocated]]-Table32[[#This Row],[Date Assessed]])</f>
        <v>28</v>
      </c>
      <c r="S95" s="5">
        <v>45707</v>
      </c>
      <c r="T95" t="s">
        <v>255</v>
      </c>
      <c r="U95" t="s">
        <v>263</v>
      </c>
    </row>
    <row r="96" spans="1:21" x14ac:dyDescent="0.2">
      <c r="A96" s="4" t="s">
        <v>106</v>
      </c>
      <c r="B96" s="5">
        <v>35626</v>
      </c>
      <c r="C96">
        <f t="shared" ca="1" si="6"/>
        <v>28</v>
      </c>
      <c r="D96" t="str">
        <f t="shared" ca="1" si="4"/>
        <v>25–34</v>
      </c>
      <c r="E96" t="s">
        <v>224</v>
      </c>
      <c r="F96" t="s">
        <v>228</v>
      </c>
      <c r="G96" t="s">
        <v>242</v>
      </c>
      <c r="H96" t="str">
        <f t="shared" si="5"/>
        <v>White</v>
      </c>
      <c r="I96" t="s">
        <v>246</v>
      </c>
      <c r="J96" t="s">
        <v>250</v>
      </c>
      <c r="K96" s="5">
        <v>45510</v>
      </c>
      <c r="L96" s="7" t="str">
        <f t="shared" si="7"/>
        <v>August 2024</v>
      </c>
      <c r="M96" s="5">
        <v>45513</v>
      </c>
      <c r="N96" s="5">
        <f>IF(ISNUMBER(Table32[[#This Row],[Date Assessed]]),Table32[[#This Row],[Date Assessed]], DATE(1900,1,1))</f>
        <v>45513</v>
      </c>
      <c r="O96" s="13">
        <f>IF(OR(Table32[[#This Row],[Date Assessed]]="N/A",  Table32[[#This Row],[Date Referred]] = "N/A"), "N/A",  Table32[[#This Row],[Date Assessed]]-Table32[[#This Row],[Date Referred]])</f>
        <v>3</v>
      </c>
      <c r="P96" s="18" t="s">
        <v>226</v>
      </c>
      <c r="Q96" s="5">
        <f>IF(ISNUMBER(Table32[[#This Row],[Date Allocated]]),Table32[[#This Row],[Date Allocated]],DATE(1900,1,1))</f>
        <v>1</v>
      </c>
      <c r="R96" s="14" t="str">
        <f>IF(OR(Table32[[#This Row],[Date Assessed]]="N/A",Table32[[#This Row],[Date Allocated]]="N/A"),"N/A",Table32[[#This Row],[Date Allocated]]-Table32[[#This Row],[Date Assessed]])</f>
        <v>N/A</v>
      </c>
      <c r="S96" s="5" t="s">
        <v>226</v>
      </c>
      <c r="T96" t="s">
        <v>259</v>
      </c>
      <c r="U96" t="s">
        <v>325</v>
      </c>
    </row>
    <row r="97" spans="1:21" x14ac:dyDescent="0.2">
      <c r="A97" s="4" t="s">
        <v>107</v>
      </c>
      <c r="B97" s="5">
        <v>26867</v>
      </c>
      <c r="C97">
        <f t="shared" ca="1" si="6"/>
        <v>52</v>
      </c>
      <c r="D97" t="str">
        <f t="shared" ca="1" si="4"/>
        <v>45–54</v>
      </c>
      <c r="E97" t="s">
        <v>225</v>
      </c>
      <c r="F97" t="s">
        <v>228</v>
      </c>
      <c r="G97" t="s">
        <v>242</v>
      </c>
      <c r="H97" t="str">
        <f t="shared" si="5"/>
        <v>White</v>
      </c>
      <c r="I97" t="s">
        <v>247</v>
      </c>
      <c r="J97" t="s">
        <v>252</v>
      </c>
      <c r="K97" s="5">
        <v>45598</v>
      </c>
      <c r="L97" s="7" t="str">
        <f t="shared" si="7"/>
        <v>November 2024</v>
      </c>
      <c r="M97" s="5">
        <v>45631</v>
      </c>
      <c r="N97" s="5">
        <f>IF(ISNUMBER(Table32[[#This Row],[Date Assessed]]),Table32[[#This Row],[Date Assessed]], DATE(1900,1,1))</f>
        <v>45631</v>
      </c>
      <c r="O97" s="13">
        <f>IF(OR(Table32[[#This Row],[Date Assessed]]="N/A",  Table32[[#This Row],[Date Referred]] = "N/A"), "N/A",  Table32[[#This Row],[Date Assessed]]-Table32[[#This Row],[Date Referred]])</f>
        <v>33</v>
      </c>
      <c r="P97" s="18">
        <v>45645</v>
      </c>
      <c r="Q97" s="5">
        <f>IF(ISNUMBER(Table32[[#This Row],[Date Allocated]]),Table32[[#This Row],[Date Allocated]],DATE(1900,1,1))</f>
        <v>45645</v>
      </c>
      <c r="R97" s="14">
        <f>IF(OR(Table32[[#This Row],[Date Assessed]]="N/A",Table32[[#This Row],[Date Allocated]]="N/A"),"N/A",Table32[[#This Row],[Date Allocated]]-Table32[[#This Row],[Date Assessed]])</f>
        <v>14</v>
      </c>
      <c r="S97" s="5">
        <v>45766</v>
      </c>
      <c r="T97" t="s">
        <v>255</v>
      </c>
      <c r="U97" t="s">
        <v>262</v>
      </c>
    </row>
    <row r="98" spans="1:21" x14ac:dyDescent="0.2">
      <c r="A98" s="4" t="s">
        <v>108</v>
      </c>
      <c r="B98" s="5">
        <v>37693</v>
      </c>
      <c r="C98">
        <f t="shared" ca="1" si="6"/>
        <v>22</v>
      </c>
      <c r="D98" t="str">
        <f t="shared" ca="1" si="4"/>
        <v>18–24</v>
      </c>
      <c r="E98" t="s">
        <v>224</v>
      </c>
      <c r="F98" t="s">
        <v>232</v>
      </c>
      <c r="G98" t="s">
        <v>243</v>
      </c>
      <c r="H98" t="str">
        <f t="shared" si="5"/>
        <v>BAME</v>
      </c>
      <c r="I98" t="s">
        <v>247</v>
      </c>
      <c r="J98" t="s">
        <v>252</v>
      </c>
      <c r="K98" s="5">
        <v>45378</v>
      </c>
      <c r="L98" s="7" t="str">
        <f t="shared" si="7"/>
        <v>March 2024</v>
      </c>
      <c r="M98" s="5">
        <v>45396</v>
      </c>
      <c r="N98" s="5">
        <f>IF(ISNUMBER(Table32[[#This Row],[Date Assessed]]),Table32[[#This Row],[Date Assessed]], DATE(1900,1,1))</f>
        <v>45396</v>
      </c>
      <c r="O98" s="13">
        <f>IF(OR(Table32[[#This Row],[Date Assessed]]="N/A",  Table32[[#This Row],[Date Referred]] = "N/A"), "N/A",  Table32[[#This Row],[Date Assessed]]-Table32[[#This Row],[Date Referred]])</f>
        <v>18</v>
      </c>
      <c r="P98" s="18">
        <v>45447</v>
      </c>
      <c r="Q98" s="5">
        <f>IF(ISNUMBER(Table32[[#This Row],[Date Allocated]]),Table32[[#This Row],[Date Allocated]],DATE(1900,1,1))</f>
        <v>45447</v>
      </c>
      <c r="R98" s="14">
        <f>IF(OR(Table32[[#This Row],[Date Assessed]]="N/A",Table32[[#This Row],[Date Allocated]]="N/A"),"N/A",Table32[[#This Row],[Date Allocated]]-Table32[[#This Row],[Date Assessed]])</f>
        <v>51</v>
      </c>
      <c r="S98" s="5">
        <v>45606</v>
      </c>
      <c r="T98" t="s">
        <v>255</v>
      </c>
      <c r="U98" t="s">
        <v>264</v>
      </c>
    </row>
    <row r="99" spans="1:21" x14ac:dyDescent="0.2">
      <c r="A99" s="4" t="s">
        <v>109</v>
      </c>
      <c r="B99" s="5">
        <v>34672</v>
      </c>
      <c r="C99">
        <f t="shared" ca="1" si="6"/>
        <v>30</v>
      </c>
      <c r="D99" t="str">
        <f t="shared" ca="1" si="4"/>
        <v>25–34</v>
      </c>
      <c r="E99" t="s">
        <v>225</v>
      </c>
      <c r="F99" t="s">
        <v>230</v>
      </c>
      <c r="G99" t="s">
        <v>243</v>
      </c>
      <c r="H99" t="str">
        <f t="shared" si="5"/>
        <v>BAME</v>
      </c>
      <c r="I99" t="s">
        <v>246</v>
      </c>
      <c r="J99" t="s">
        <v>251</v>
      </c>
      <c r="K99" s="5">
        <v>45477</v>
      </c>
      <c r="L99" s="7" t="str">
        <f t="shared" si="7"/>
        <v>July 2024</v>
      </c>
      <c r="M99" s="5">
        <v>45517</v>
      </c>
      <c r="N99" s="5">
        <f>IF(ISNUMBER(Table32[[#This Row],[Date Assessed]]),Table32[[#This Row],[Date Assessed]], DATE(1900,1,1))</f>
        <v>45517</v>
      </c>
      <c r="O99" s="13">
        <f>IF(OR(Table32[[#This Row],[Date Assessed]]="N/A",  Table32[[#This Row],[Date Referred]] = "N/A"), "N/A",  Table32[[#This Row],[Date Assessed]]-Table32[[#This Row],[Date Referred]])</f>
        <v>40</v>
      </c>
      <c r="P99" s="18">
        <v>45560</v>
      </c>
      <c r="Q99" s="5">
        <f>IF(ISNUMBER(Table32[[#This Row],[Date Allocated]]),Table32[[#This Row],[Date Allocated]],DATE(1900,1,1))</f>
        <v>45560</v>
      </c>
      <c r="R99" s="14">
        <f>IF(OR(Table32[[#This Row],[Date Assessed]]="N/A",Table32[[#This Row],[Date Allocated]]="N/A"),"N/A",Table32[[#This Row],[Date Allocated]]-Table32[[#This Row],[Date Assessed]])</f>
        <v>43</v>
      </c>
      <c r="S99" s="5">
        <v>45707</v>
      </c>
      <c r="T99" t="s">
        <v>255</v>
      </c>
      <c r="U99" t="s">
        <v>264</v>
      </c>
    </row>
    <row r="100" spans="1:21" x14ac:dyDescent="0.2">
      <c r="A100" s="4" t="s">
        <v>110</v>
      </c>
      <c r="B100" s="5">
        <v>37974</v>
      </c>
      <c r="C100">
        <f t="shared" ca="1" si="6"/>
        <v>21</v>
      </c>
      <c r="D100" t="str">
        <f t="shared" ca="1" si="4"/>
        <v>18–24</v>
      </c>
      <c r="E100" t="s">
        <v>224</v>
      </c>
      <c r="F100" t="s">
        <v>228</v>
      </c>
      <c r="G100" t="s">
        <v>241</v>
      </c>
      <c r="H100" t="str">
        <f t="shared" si="5"/>
        <v>BAME</v>
      </c>
      <c r="I100" t="s">
        <v>247</v>
      </c>
      <c r="J100" t="s">
        <v>252</v>
      </c>
      <c r="K100" s="5">
        <v>45599</v>
      </c>
      <c r="L100" s="7" t="str">
        <f t="shared" si="7"/>
        <v>November 2024</v>
      </c>
      <c r="M100" s="5">
        <v>45632</v>
      </c>
      <c r="N100" s="5">
        <f>IF(ISNUMBER(Table32[[#This Row],[Date Assessed]]),Table32[[#This Row],[Date Assessed]], DATE(1900,1,1))</f>
        <v>45632</v>
      </c>
      <c r="O100" s="13">
        <f>IF(OR(Table32[[#This Row],[Date Assessed]]="N/A",  Table32[[#This Row],[Date Referred]] = "N/A"), "N/A",  Table32[[#This Row],[Date Assessed]]-Table32[[#This Row],[Date Referred]])</f>
        <v>33</v>
      </c>
      <c r="P100" s="18">
        <v>45690</v>
      </c>
      <c r="Q100" s="5">
        <f>IF(ISNUMBER(Table32[[#This Row],[Date Allocated]]),Table32[[#This Row],[Date Allocated]],DATE(1900,1,1))</f>
        <v>45690</v>
      </c>
      <c r="R100" s="14">
        <f>IF(OR(Table32[[#This Row],[Date Assessed]]="N/A",Table32[[#This Row],[Date Allocated]]="N/A"),"N/A",Table32[[#This Row],[Date Allocated]]-Table32[[#This Row],[Date Assessed]])</f>
        <v>58</v>
      </c>
      <c r="S100" s="5">
        <v>45816</v>
      </c>
      <c r="T100" t="s">
        <v>255</v>
      </c>
      <c r="U100" t="s">
        <v>261</v>
      </c>
    </row>
    <row r="101" spans="1:21" x14ac:dyDescent="0.2">
      <c r="A101" s="4" t="s">
        <v>111</v>
      </c>
      <c r="B101" s="5">
        <v>26071</v>
      </c>
      <c r="C101">
        <f t="shared" ca="1" si="6"/>
        <v>54</v>
      </c>
      <c r="D101" t="str">
        <f t="shared" ca="1" si="4"/>
        <v>45–54</v>
      </c>
      <c r="E101" t="s">
        <v>224</v>
      </c>
      <c r="F101" t="s">
        <v>231</v>
      </c>
      <c r="G101" t="s">
        <v>241</v>
      </c>
      <c r="H101" t="str">
        <f t="shared" si="5"/>
        <v>BAME</v>
      </c>
      <c r="I101" t="s">
        <v>247</v>
      </c>
      <c r="J101" t="s">
        <v>251</v>
      </c>
      <c r="K101" s="5">
        <v>45616</v>
      </c>
      <c r="L101" s="7" t="str">
        <f t="shared" si="7"/>
        <v>November 2024</v>
      </c>
      <c r="M101" s="5">
        <v>45628</v>
      </c>
      <c r="N101" s="5">
        <f>IF(ISNUMBER(Table32[[#This Row],[Date Assessed]]),Table32[[#This Row],[Date Assessed]], DATE(1900,1,1))</f>
        <v>45628</v>
      </c>
      <c r="O101" s="13">
        <f>IF(OR(Table32[[#This Row],[Date Assessed]]="N/A",  Table32[[#This Row],[Date Referred]] = "N/A"), "N/A",  Table32[[#This Row],[Date Assessed]]-Table32[[#This Row],[Date Referred]])</f>
        <v>12</v>
      </c>
      <c r="P101" s="18">
        <v>45658</v>
      </c>
      <c r="Q101" s="5">
        <f>IF(ISNUMBER(Table32[[#This Row],[Date Allocated]]),Table32[[#This Row],[Date Allocated]],DATE(1900,1,1))</f>
        <v>45658</v>
      </c>
      <c r="R101" s="14">
        <f>IF(OR(Table32[[#This Row],[Date Assessed]]="N/A",Table32[[#This Row],[Date Allocated]]="N/A"),"N/A",Table32[[#This Row],[Date Allocated]]-Table32[[#This Row],[Date Assessed]])</f>
        <v>30</v>
      </c>
      <c r="S101" s="5" t="s">
        <v>226</v>
      </c>
      <c r="T101" t="s">
        <v>258</v>
      </c>
      <c r="U101" t="s">
        <v>272</v>
      </c>
    </row>
    <row r="102" spans="1:21" x14ac:dyDescent="0.2">
      <c r="A102" s="4" t="s">
        <v>112</v>
      </c>
      <c r="B102" s="5">
        <v>31155</v>
      </c>
      <c r="C102">
        <f t="shared" ca="1" si="6"/>
        <v>40</v>
      </c>
      <c r="D102" t="str">
        <f t="shared" ca="1" si="4"/>
        <v>35–44</v>
      </c>
      <c r="E102" t="s">
        <v>224</v>
      </c>
      <c r="F102" t="s">
        <v>231</v>
      </c>
      <c r="G102" t="s">
        <v>241</v>
      </c>
      <c r="H102" t="str">
        <f t="shared" si="5"/>
        <v>BAME</v>
      </c>
      <c r="I102" t="s">
        <v>247</v>
      </c>
      <c r="J102" t="s">
        <v>250</v>
      </c>
      <c r="K102" s="5">
        <v>45468</v>
      </c>
      <c r="L102" s="7" t="str">
        <f t="shared" si="7"/>
        <v>June 2024</v>
      </c>
      <c r="M102" s="5">
        <v>45484</v>
      </c>
      <c r="N102" s="5">
        <f>IF(ISNUMBER(Table32[[#This Row],[Date Assessed]]),Table32[[#This Row],[Date Assessed]], DATE(1900,1,1))</f>
        <v>45484</v>
      </c>
      <c r="O102" s="13">
        <f>IF(OR(Table32[[#This Row],[Date Assessed]]="N/A",  Table32[[#This Row],[Date Referred]] = "N/A"), "N/A",  Table32[[#This Row],[Date Assessed]]-Table32[[#This Row],[Date Referred]])</f>
        <v>16</v>
      </c>
      <c r="P102" s="18">
        <v>45505</v>
      </c>
      <c r="Q102" s="5">
        <f>IF(ISNUMBER(Table32[[#This Row],[Date Allocated]]),Table32[[#This Row],[Date Allocated]],DATE(1900,1,1))</f>
        <v>45505</v>
      </c>
      <c r="R102" s="14">
        <f>IF(OR(Table32[[#This Row],[Date Assessed]]="N/A",Table32[[#This Row],[Date Allocated]]="N/A"),"N/A",Table32[[#This Row],[Date Allocated]]-Table32[[#This Row],[Date Assessed]])</f>
        <v>21</v>
      </c>
      <c r="S102" s="5" t="s">
        <v>226</v>
      </c>
      <c r="T102" t="s">
        <v>258</v>
      </c>
      <c r="U102" t="s">
        <v>272</v>
      </c>
    </row>
    <row r="103" spans="1:21" x14ac:dyDescent="0.2">
      <c r="A103" s="4" t="s">
        <v>113</v>
      </c>
      <c r="B103" s="5">
        <v>27488</v>
      </c>
      <c r="C103">
        <f t="shared" ca="1" si="6"/>
        <v>50</v>
      </c>
      <c r="D103" t="str">
        <f t="shared" ca="1" si="4"/>
        <v>45–54</v>
      </c>
      <c r="E103" t="s">
        <v>225</v>
      </c>
      <c r="F103" t="s">
        <v>229</v>
      </c>
      <c r="G103" t="s">
        <v>243</v>
      </c>
      <c r="H103" t="str">
        <f t="shared" si="5"/>
        <v>BAME</v>
      </c>
      <c r="I103" t="s">
        <v>247</v>
      </c>
      <c r="J103" t="s">
        <v>250</v>
      </c>
      <c r="K103" s="5">
        <v>45454</v>
      </c>
      <c r="L103" s="7" t="str">
        <f t="shared" si="7"/>
        <v>June 2024</v>
      </c>
      <c r="M103" s="5">
        <v>45474</v>
      </c>
      <c r="N103" s="5">
        <f>IF(ISNUMBER(Table32[[#This Row],[Date Assessed]]),Table32[[#This Row],[Date Assessed]], DATE(1900,1,1))</f>
        <v>45474</v>
      </c>
      <c r="O103" s="13">
        <f>IF(OR(Table32[[#This Row],[Date Assessed]]="N/A",  Table32[[#This Row],[Date Referred]] = "N/A"), "N/A",  Table32[[#This Row],[Date Assessed]]-Table32[[#This Row],[Date Referred]])</f>
        <v>20</v>
      </c>
      <c r="P103" s="18">
        <v>45490</v>
      </c>
      <c r="Q103" s="5">
        <f>IF(ISNUMBER(Table32[[#This Row],[Date Allocated]]),Table32[[#This Row],[Date Allocated]],DATE(1900,1,1))</f>
        <v>45490</v>
      </c>
      <c r="R103" s="14">
        <f>IF(OR(Table32[[#This Row],[Date Assessed]]="N/A",Table32[[#This Row],[Date Allocated]]="N/A"),"N/A",Table32[[#This Row],[Date Allocated]]-Table32[[#This Row],[Date Assessed]])</f>
        <v>16</v>
      </c>
      <c r="S103" s="5">
        <v>45612</v>
      </c>
      <c r="T103" t="s">
        <v>255</v>
      </c>
      <c r="U103" t="s">
        <v>262</v>
      </c>
    </row>
    <row r="104" spans="1:21" x14ac:dyDescent="0.2">
      <c r="A104" s="4" t="s">
        <v>114</v>
      </c>
      <c r="B104" s="5">
        <v>25736</v>
      </c>
      <c r="C104">
        <f t="shared" ca="1" si="6"/>
        <v>55</v>
      </c>
      <c r="D104" t="str">
        <f t="shared" ca="1" si="4"/>
        <v>55–64</v>
      </c>
      <c r="E104" t="s">
        <v>225</v>
      </c>
      <c r="F104" t="s">
        <v>228</v>
      </c>
      <c r="G104" t="s">
        <v>242</v>
      </c>
      <c r="H104" t="str">
        <f t="shared" si="5"/>
        <v>White</v>
      </c>
      <c r="I104" t="s">
        <v>247</v>
      </c>
      <c r="J104" t="s">
        <v>252</v>
      </c>
      <c r="K104" s="5">
        <v>45398</v>
      </c>
      <c r="L104" s="7" t="str">
        <f t="shared" si="7"/>
        <v>April 2024</v>
      </c>
      <c r="M104" s="5">
        <v>45442</v>
      </c>
      <c r="N104" s="5">
        <f>IF(ISNUMBER(Table32[[#This Row],[Date Assessed]]),Table32[[#This Row],[Date Assessed]], DATE(1900,1,1))</f>
        <v>45442</v>
      </c>
      <c r="O104" s="13">
        <f>IF(OR(Table32[[#This Row],[Date Assessed]]="N/A",  Table32[[#This Row],[Date Referred]] = "N/A"), "N/A",  Table32[[#This Row],[Date Assessed]]-Table32[[#This Row],[Date Referred]])</f>
        <v>44</v>
      </c>
      <c r="P104" s="18">
        <v>45459</v>
      </c>
      <c r="Q104" s="5">
        <f>IF(ISNUMBER(Table32[[#This Row],[Date Allocated]]),Table32[[#This Row],[Date Allocated]],DATE(1900,1,1))</f>
        <v>45459</v>
      </c>
      <c r="R104" s="14">
        <f>IF(OR(Table32[[#This Row],[Date Assessed]]="N/A",Table32[[#This Row],[Date Allocated]]="N/A"),"N/A",Table32[[#This Row],[Date Allocated]]-Table32[[#This Row],[Date Assessed]])</f>
        <v>17</v>
      </c>
      <c r="S104" s="5">
        <v>45597</v>
      </c>
      <c r="T104" t="s">
        <v>255</v>
      </c>
      <c r="U104" t="s">
        <v>264</v>
      </c>
    </row>
    <row r="105" spans="1:21" x14ac:dyDescent="0.2">
      <c r="A105" s="4" t="s">
        <v>115</v>
      </c>
      <c r="B105" s="5">
        <v>26532</v>
      </c>
      <c r="C105">
        <f t="shared" ca="1" si="6"/>
        <v>53</v>
      </c>
      <c r="D105" t="str">
        <f t="shared" ca="1" si="4"/>
        <v>45–54</v>
      </c>
      <c r="E105" t="s">
        <v>225</v>
      </c>
      <c r="F105" t="s">
        <v>227</v>
      </c>
      <c r="G105" t="s">
        <v>227</v>
      </c>
      <c r="H105" t="str">
        <f t="shared" si="5"/>
        <v>BAME</v>
      </c>
      <c r="I105" t="s">
        <v>247</v>
      </c>
      <c r="J105" t="s">
        <v>250</v>
      </c>
      <c r="K105" s="5">
        <v>45468</v>
      </c>
      <c r="L105" s="7" t="str">
        <f t="shared" si="7"/>
        <v>June 2024</v>
      </c>
      <c r="M105" s="5">
        <v>45501</v>
      </c>
      <c r="N105" s="5">
        <f>IF(ISNUMBER(Table32[[#This Row],[Date Assessed]]),Table32[[#This Row],[Date Assessed]], DATE(1900,1,1))</f>
        <v>45501</v>
      </c>
      <c r="O105" s="13">
        <f>IF(OR(Table32[[#This Row],[Date Assessed]]="N/A",  Table32[[#This Row],[Date Referred]] = "N/A"), "N/A",  Table32[[#This Row],[Date Assessed]]-Table32[[#This Row],[Date Referred]])</f>
        <v>33</v>
      </c>
      <c r="P105" s="18">
        <v>45556</v>
      </c>
      <c r="Q105" s="5">
        <f>IF(ISNUMBER(Table32[[#This Row],[Date Allocated]]),Table32[[#This Row],[Date Allocated]],DATE(1900,1,1))</f>
        <v>45556</v>
      </c>
      <c r="R105" s="14">
        <f>IF(OR(Table32[[#This Row],[Date Assessed]]="N/A",Table32[[#This Row],[Date Allocated]]="N/A"),"N/A",Table32[[#This Row],[Date Allocated]]-Table32[[#This Row],[Date Assessed]])</f>
        <v>55</v>
      </c>
      <c r="S105" s="5">
        <v>45682</v>
      </c>
      <c r="T105" t="s">
        <v>255</v>
      </c>
      <c r="U105" t="s">
        <v>261</v>
      </c>
    </row>
    <row r="106" spans="1:21" x14ac:dyDescent="0.2">
      <c r="A106" s="4" t="s">
        <v>116</v>
      </c>
      <c r="B106" s="5">
        <v>28311</v>
      </c>
      <c r="C106">
        <f t="shared" ca="1" si="6"/>
        <v>48</v>
      </c>
      <c r="D106" t="str">
        <f t="shared" ca="1" si="4"/>
        <v>45–54</v>
      </c>
      <c r="E106" t="s">
        <v>225</v>
      </c>
      <c r="F106" t="s">
        <v>228</v>
      </c>
      <c r="G106" t="s">
        <v>242</v>
      </c>
      <c r="H106" t="str">
        <f t="shared" si="5"/>
        <v>White</v>
      </c>
      <c r="I106" t="s">
        <v>247</v>
      </c>
      <c r="J106" t="s">
        <v>250</v>
      </c>
      <c r="K106" s="5">
        <v>45343</v>
      </c>
      <c r="L106" s="7" t="str">
        <f t="shared" si="7"/>
        <v>February 2024</v>
      </c>
      <c r="M106" s="5">
        <v>45384</v>
      </c>
      <c r="N106" s="5">
        <f>IF(ISNUMBER(Table32[[#This Row],[Date Assessed]]),Table32[[#This Row],[Date Assessed]], DATE(1900,1,1))</f>
        <v>45384</v>
      </c>
      <c r="O106" s="13">
        <f>IF(OR(Table32[[#This Row],[Date Assessed]]="N/A",  Table32[[#This Row],[Date Referred]] = "N/A"), "N/A",  Table32[[#This Row],[Date Assessed]]-Table32[[#This Row],[Date Referred]])</f>
        <v>41</v>
      </c>
      <c r="P106" s="18">
        <v>45421</v>
      </c>
      <c r="Q106" s="5">
        <f>IF(ISNUMBER(Table32[[#This Row],[Date Allocated]]),Table32[[#This Row],[Date Allocated]],DATE(1900,1,1))</f>
        <v>45421</v>
      </c>
      <c r="R106" s="14">
        <f>IF(OR(Table32[[#This Row],[Date Assessed]]="N/A",Table32[[#This Row],[Date Allocated]]="N/A"),"N/A",Table32[[#This Row],[Date Allocated]]-Table32[[#This Row],[Date Assessed]])</f>
        <v>37</v>
      </c>
      <c r="S106" s="5">
        <v>45576</v>
      </c>
      <c r="T106" t="s">
        <v>255</v>
      </c>
      <c r="U106" t="s">
        <v>261</v>
      </c>
    </row>
    <row r="107" spans="1:21" x14ac:dyDescent="0.2">
      <c r="A107" s="4" t="s">
        <v>117</v>
      </c>
      <c r="B107" s="5">
        <v>22521</v>
      </c>
      <c r="C107">
        <f t="shared" ca="1" si="6"/>
        <v>64</v>
      </c>
      <c r="D107" t="str">
        <f t="shared" ca="1" si="4"/>
        <v>55–64</v>
      </c>
      <c r="E107" t="s">
        <v>225</v>
      </c>
      <c r="F107" t="s">
        <v>230</v>
      </c>
      <c r="G107" t="s">
        <v>243</v>
      </c>
      <c r="H107" t="str">
        <f t="shared" si="5"/>
        <v>BAME</v>
      </c>
      <c r="I107" t="s">
        <v>246</v>
      </c>
      <c r="J107" t="s">
        <v>253</v>
      </c>
      <c r="K107" s="5">
        <v>45418</v>
      </c>
      <c r="L107" s="7" t="str">
        <f t="shared" si="7"/>
        <v>May 2024</v>
      </c>
      <c r="M107" s="5">
        <v>45448</v>
      </c>
      <c r="N107" s="5">
        <f>IF(ISNUMBER(Table32[[#This Row],[Date Assessed]]),Table32[[#This Row],[Date Assessed]], DATE(1900,1,1))</f>
        <v>45448</v>
      </c>
      <c r="O107" s="13">
        <f>IF(OR(Table32[[#This Row],[Date Assessed]]="N/A",  Table32[[#This Row],[Date Referred]] = "N/A"), "N/A",  Table32[[#This Row],[Date Assessed]]-Table32[[#This Row],[Date Referred]])</f>
        <v>30</v>
      </c>
      <c r="P107" s="18">
        <v>45492</v>
      </c>
      <c r="Q107" s="5">
        <f>IF(ISNUMBER(Table32[[#This Row],[Date Allocated]]),Table32[[#This Row],[Date Allocated]],DATE(1900,1,1))</f>
        <v>45492</v>
      </c>
      <c r="R107" s="14">
        <f>IF(OR(Table32[[#This Row],[Date Assessed]]="N/A",Table32[[#This Row],[Date Allocated]]="N/A"),"N/A",Table32[[#This Row],[Date Allocated]]-Table32[[#This Row],[Date Assessed]])</f>
        <v>44</v>
      </c>
      <c r="S107" s="5">
        <v>45637</v>
      </c>
      <c r="T107" t="s">
        <v>255</v>
      </c>
      <c r="U107" t="s">
        <v>263</v>
      </c>
    </row>
    <row r="108" spans="1:21" x14ac:dyDescent="0.2">
      <c r="A108" s="4" t="s">
        <v>118</v>
      </c>
      <c r="B108" s="5">
        <v>25911</v>
      </c>
      <c r="C108">
        <f t="shared" ca="1" si="6"/>
        <v>54</v>
      </c>
      <c r="D108" t="str">
        <f t="shared" ca="1" si="4"/>
        <v>45–54</v>
      </c>
      <c r="E108" t="s">
        <v>225</v>
      </c>
      <c r="F108" t="s">
        <v>228</v>
      </c>
      <c r="G108" t="s">
        <v>242</v>
      </c>
      <c r="H108" t="str">
        <f t="shared" si="5"/>
        <v>White</v>
      </c>
      <c r="I108" t="s">
        <v>247</v>
      </c>
      <c r="J108" t="s">
        <v>253</v>
      </c>
      <c r="K108" s="5">
        <v>45299</v>
      </c>
      <c r="L108" s="7" t="str">
        <f t="shared" si="7"/>
        <v>January 2024</v>
      </c>
      <c r="M108" s="5">
        <v>45342</v>
      </c>
      <c r="N108" s="5">
        <f>IF(ISNUMBER(Table32[[#This Row],[Date Assessed]]),Table32[[#This Row],[Date Assessed]], DATE(1900,1,1))</f>
        <v>45342</v>
      </c>
      <c r="O108" s="13">
        <f>IF(OR(Table32[[#This Row],[Date Assessed]]="N/A",  Table32[[#This Row],[Date Referred]] = "N/A"), "N/A",  Table32[[#This Row],[Date Assessed]]-Table32[[#This Row],[Date Referred]])</f>
        <v>43</v>
      </c>
      <c r="P108" s="18" t="s">
        <v>226</v>
      </c>
      <c r="Q108" s="5">
        <f>IF(ISNUMBER(Table32[[#This Row],[Date Allocated]]),Table32[[#This Row],[Date Allocated]],DATE(1900,1,1))</f>
        <v>1</v>
      </c>
      <c r="R108" s="14" t="str">
        <f>IF(OR(Table32[[#This Row],[Date Assessed]]="N/A",Table32[[#This Row],[Date Allocated]]="N/A"),"N/A",Table32[[#This Row],[Date Allocated]]-Table32[[#This Row],[Date Assessed]])</f>
        <v>N/A</v>
      </c>
      <c r="S108" s="5" t="s">
        <v>226</v>
      </c>
      <c r="T108" t="s">
        <v>257</v>
      </c>
      <c r="U108" t="s">
        <v>325</v>
      </c>
    </row>
    <row r="109" spans="1:21" x14ac:dyDescent="0.2">
      <c r="A109" s="4" t="s">
        <v>119</v>
      </c>
      <c r="B109" s="5">
        <v>21690</v>
      </c>
      <c r="C109">
        <f t="shared" ca="1" si="6"/>
        <v>66</v>
      </c>
      <c r="D109" t="str">
        <f t="shared" ca="1" si="4"/>
        <v>65+</v>
      </c>
      <c r="E109" t="s">
        <v>224</v>
      </c>
      <c r="F109" t="s">
        <v>230</v>
      </c>
      <c r="G109" t="s">
        <v>243</v>
      </c>
      <c r="H109" t="str">
        <f t="shared" si="5"/>
        <v>BAME</v>
      </c>
      <c r="I109" t="s">
        <v>246</v>
      </c>
      <c r="J109" t="s">
        <v>252</v>
      </c>
      <c r="K109" s="5">
        <v>45461</v>
      </c>
      <c r="L109" s="7" t="str">
        <f t="shared" si="7"/>
        <v>June 2024</v>
      </c>
      <c r="M109" s="5">
        <v>45462</v>
      </c>
      <c r="N109" s="5">
        <f>IF(ISNUMBER(Table32[[#This Row],[Date Assessed]]),Table32[[#This Row],[Date Assessed]], DATE(1900,1,1))</f>
        <v>45462</v>
      </c>
      <c r="O109" s="13">
        <f>IF(OR(Table32[[#This Row],[Date Assessed]]="N/A",  Table32[[#This Row],[Date Referred]] = "N/A"), "N/A",  Table32[[#This Row],[Date Assessed]]-Table32[[#This Row],[Date Referred]])</f>
        <v>1</v>
      </c>
      <c r="P109" s="18" t="s">
        <v>226</v>
      </c>
      <c r="Q109" s="5">
        <f>IF(ISNUMBER(Table32[[#This Row],[Date Allocated]]),Table32[[#This Row],[Date Allocated]],DATE(1900,1,1))</f>
        <v>1</v>
      </c>
      <c r="R109" s="14" t="str">
        <f>IF(OR(Table32[[#This Row],[Date Assessed]]="N/A",Table32[[#This Row],[Date Allocated]]="N/A"),"N/A",Table32[[#This Row],[Date Allocated]]-Table32[[#This Row],[Date Assessed]])</f>
        <v>N/A</v>
      </c>
      <c r="S109" s="5" t="s">
        <v>226</v>
      </c>
      <c r="T109" t="s">
        <v>257</v>
      </c>
      <c r="U109" t="s">
        <v>325</v>
      </c>
    </row>
    <row r="110" spans="1:21" x14ac:dyDescent="0.2">
      <c r="A110" s="4" t="s">
        <v>120</v>
      </c>
      <c r="B110" s="5">
        <v>32950</v>
      </c>
      <c r="C110">
        <f t="shared" ca="1" si="6"/>
        <v>35</v>
      </c>
      <c r="D110" t="str">
        <f t="shared" ca="1" si="4"/>
        <v>35–44</v>
      </c>
      <c r="E110" t="s">
        <v>224</v>
      </c>
      <c r="F110" t="s">
        <v>228</v>
      </c>
      <c r="G110" t="s">
        <v>242</v>
      </c>
      <c r="H110" t="str">
        <f t="shared" si="5"/>
        <v>White</v>
      </c>
      <c r="I110" t="s">
        <v>247</v>
      </c>
      <c r="J110" t="s">
        <v>250</v>
      </c>
      <c r="K110" s="5">
        <v>45399</v>
      </c>
      <c r="L110" s="7" t="str">
        <f t="shared" si="7"/>
        <v>April 2024</v>
      </c>
      <c r="M110" s="5">
        <v>45446</v>
      </c>
      <c r="N110" s="5">
        <f>IF(ISNUMBER(Table32[[#This Row],[Date Assessed]]),Table32[[#This Row],[Date Assessed]], DATE(1900,1,1))</f>
        <v>45446</v>
      </c>
      <c r="O110" s="13">
        <f>IF(OR(Table32[[#This Row],[Date Assessed]]="N/A",  Table32[[#This Row],[Date Referred]] = "N/A"), "N/A",  Table32[[#This Row],[Date Assessed]]-Table32[[#This Row],[Date Referred]])</f>
        <v>47</v>
      </c>
      <c r="P110" s="18">
        <v>45466</v>
      </c>
      <c r="Q110" s="5">
        <f>IF(ISNUMBER(Table32[[#This Row],[Date Allocated]]),Table32[[#This Row],[Date Allocated]],DATE(1900,1,1))</f>
        <v>45466</v>
      </c>
      <c r="R110" s="14">
        <f>IF(OR(Table32[[#This Row],[Date Assessed]]="N/A",Table32[[#This Row],[Date Allocated]]="N/A"),"N/A",Table32[[#This Row],[Date Allocated]]-Table32[[#This Row],[Date Assessed]])</f>
        <v>20</v>
      </c>
      <c r="S110" s="5">
        <v>45618</v>
      </c>
      <c r="T110" t="s">
        <v>255</v>
      </c>
      <c r="U110" t="s">
        <v>264</v>
      </c>
    </row>
    <row r="111" spans="1:21" x14ac:dyDescent="0.2">
      <c r="A111" s="4" t="s">
        <v>121</v>
      </c>
      <c r="B111" s="5">
        <v>32738</v>
      </c>
      <c r="C111">
        <f t="shared" ca="1" si="6"/>
        <v>36</v>
      </c>
      <c r="D111" t="str">
        <f t="shared" ca="1" si="4"/>
        <v>35–44</v>
      </c>
      <c r="E111" t="s">
        <v>225</v>
      </c>
      <c r="F111" t="s">
        <v>230</v>
      </c>
      <c r="G111" t="s">
        <v>243</v>
      </c>
      <c r="H111" t="str">
        <f t="shared" si="5"/>
        <v>BAME</v>
      </c>
      <c r="I111" t="s">
        <v>247</v>
      </c>
      <c r="J111" t="s">
        <v>250</v>
      </c>
      <c r="K111" s="5">
        <v>45397</v>
      </c>
      <c r="L111" s="7" t="str">
        <f t="shared" si="7"/>
        <v>April 2024</v>
      </c>
      <c r="M111" s="5">
        <v>45403</v>
      </c>
      <c r="N111" s="5">
        <f>IF(ISNUMBER(Table32[[#This Row],[Date Assessed]]),Table32[[#This Row],[Date Assessed]], DATE(1900,1,1))</f>
        <v>45403</v>
      </c>
      <c r="O111" s="13">
        <f>IF(OR(Table32[[#This Row],[Date Assessed]]="N/A",  Table32[[#This Row],[Date Referred]] = "N/A"), "N/A",  Table32[[#This Row],[Date Assessed]]-Table32[[#This Row],[Date Referred]])</f>
        <v>6</v>
      </c>
      <c r="P111" s="18">
        <v>45458</v>
      </c>
      <c r="Q111" s="5">
        <f>IF(ISNUMBER(Table32[[#This Row],[Date Allocated]]),Table32[[#This Row],[Date Allocated]],DATE(1900,1,1))</f>
        <v>45458</v>
      </c>
      <c r="R111" s="14">
        <f>IF(OR(Table32[[#This Row],[Date Assessed]]="N/A",Table32[[#This Row],[Date Allocated]]="N/A"),"N/A",Table32[[#This Row],[Date Allocated]]-Table32[[#This Row],[Date Assessed]])</f>
        <v>55</v>
      </c>
      <c r="S111" s="5">
        <v>45608</v>
      </c>
      <c r="T111" t="s">
        <v>255</v>
      </c>
      <c r="U111" t="s">
        <v>261</v>
      </c>
    </row>
    <row r="112" spans="1:21" x14ac:dyDescent="0.2">
      <c r="A112" s="4" t="s">
        <v>122</v>
      </c>
      <c r="B112" s="5">
        <v>28906</v>
      </c>
      <c r="C112">
        <f t="shared" ca="1" si="6"/>
        <v>46</v>
      </c>
      <c r="D112" t="str">
        <f t="shared" ca="1" si="4"/>
        <v>45–54</v>
      </c>
      <c r="E112" t="s">
        <v>225</v>
      </c>
      <c r="F112" t="s">
        <v>230</v>
      </c>
      <c r="G112" t="s">
        <v>243</v>
      </c>
      <c r="H112" t="str">
        <f t="shared" si="5"/>
        <v>BAME</v>
      </c>
      <c r="I112" t="s">
        <v>247</v>
      </c>
      <c r="J112" t="s">
        <v>252</v>
      </c>
      <c r="K112" s="5">
        <v>45581</v>
      </c>
      <c r="L112" s="7" t="str">
        <f t="shared" si="7"/>
        <v>October 2024</v>
      </c>
      <c r="M112" s="5">
        <v>45601</v>
      </c>
      <c r="N112" s="5">
        <f>IF(ISNUMBER(Table32[[#This Row],[Date Assessed]]),Table32[[#This Row],[Date Assessed]], DATE(1900,1,1))</f>
        <v>45601</v>
      </c>
      <c r="O112" s="13">
        <f>IF(OR(Table32[[#This Row],[Date Assessed]]="N/A",  Table32[[#This Row],[Date Referred]] = "N/A"), "N/A",  Table32[[#This Row],[Date Assessed]]-Table32[[#This Row],[Date Referred]])</f>
        <v>20</v>
      </c>
      <c r="P112" s="18">
        <v>45603</v>
      </c>
      <c r="Q112" s="5">
        <f>IF(ISNUMBER(Table32[[#This Row],[Date Allocated]]),Table32[[#This Row],[Date Allocated]],DATE(1900,1,1))</f>
        <v>45603</v>
      </c>
      <c r="R112" s="14">
        <f>IF(OR(Table32[[#This Row],[Date Assessed]]="N/A",Table32[[#This Row],[Date Allocated]]="N/A"),"N/A",Table32[[#This Row],[Date Allocated]]-Table32[[#This Row],[Date Assessed]])</f>
        <v>2</v>
      </c>
      <c r="S112" s="5">
        <v>45747</v>
      </c>
      <c r="T112" t="s">
        <v>255</v>
      </c>
      <c r="U112" t="s">
        <v>262</v>
      </c>
    </row>
    <row r="113" spans="1:21" x14ac:dyDescent="0.2">
      <c r="A113" s="4" t="s">
        <v>123</v>
      </c>
      <c r="B113" s="5">
        <v>34548</v>
      </c>
      <c r="C113">
        <f t="shared" ca="1" si="6"/>
        <v>31</v>
      </c>
      <c r="D113" t="str">
        <f t="shared" ca="1" si="4"/>
        <v>25–34</v>
      </c>
      <c r="E113" t="s">
        <v>224</v>
      </c>
      <c r="F113" t="s">
        <v>230</v>
      </c>
      <c r="G113" t="s">
        <v>243</v>
      </c>
      <c r="H113" t="str">
        <f t="shared" si="5"/>
        <v>BAME</v>
      </c>
      <c r="I113" t="s">
        <v>247</v>
      </c>
      <c r="J113" t="s">
        <v>250</v>
      </c>
      <c r="K113" s="5">
        <v>45629</v>
      </c>
      <c r="L113" s="7" t="str">
        <f t="shared" si="7"/>
        <v>December 2024</v>
      </c>
      <c r="M113" s="5">
        <v>45647</v>
      </c>
      <c r="N113" s="5">
        <f>IF(ISNUMBER(Table32[[#This Row],[Date Assessed]]),Table32[[#This Row],[Date Assessed]], DATE(1900,1,1))</f>
        <v>45647</v>
      </c>
      <c r="O113" s="13">
        <f>IF(OR(Table32[[#This Row],[Date Assessed]]="N/A",  Table32[[#This Row],[Date Referred]] = "N/A"), "N/A",  Table32[[#This Row],[Date Assessed]]-Table32[[#This Row],[Date Referred]])</f>
        <v>18</v>
      </c>
      <c r="P113" s="18">
        <v>45702</v>
      </c>
      <c r="Q113" s="5">
        <f>IF(ISNUMBER(Table32[[#This Row],[Date Allocated]]),Table32[[#This Row],[Date Allocated]],DATE(1900,1,1))</f>
        <v>45702</v>
      </c>
      <c r="R113" s="14">
        <f>IF(OR(Table32[[#This Row],[Date Assessed]]="N/A",Table32[[#This Row],[Date Allocated]]="N/A"),"N/A",Table32[[#This Row],[Date Allocated]]-Table32[[#This Row],[Date Assessed]])</f>
        <v>55</v>
      </c>
      <c r="S113" s="5">
        <v>45843</v>
      </c>
      <c r="T113" t="s">
        <v>255</v>
      </c>
      <c r="U113" t="s">
        <v>263</v>
      </c>
    </row>
    <row r="114" spans="1:21" x14ac:dyDescent="0.2">
      <c r="A114" s="4" t="s">
        <v>124</v>
      </c>
      <c r="B114" s="5">
        <v>33672</v>
      </c>
      <c r="C114">
        <f t="shared" ca="1" si="6"/>
        <v>33</v>
      </c>
      <c r="D114" t="str">
        <f t="shared" ca="1" si="4"/>
        <v>25–34</v>
      </c>
      <c r="E114" t="s">
        <v>225</v>
      </c>
      <c r="F114" t="s">
        <v>231</v>
      </c>
      <c r="G114" t="s">
        <v>241</v>
      </c>
      <c r="H114" t="str">
        <f t="shared" si="5"/>
        <v>BAME</v>
      </c>
      <c r="I114" t="s">
        <v>248</v>
      </c>
      <c r="J114" t="s">
        <v>251</v>
      </c>
      <c r="K114" s="5">
        <v>45510</v>
      </c>
      <c r="L114" s="7" t="str">
        <f t="shared" si="7"/>
        <v>August 2024</v>
      </c>
      <c r="M114" s="5">
        <v>45535</v>
      </c>
      <c r="N114" s="5">
        <f>IF(ISNUMBER(Table32[[#This Row],[Date Assessed]]),Table32[[#This Row],[Date Assessed]], DATE(1900,1,1))</f>
        <v>45535</v>
      </c>
      <c r="O114" s="13">
        <f>IF(OR(Table32[[#This Row],[Date Assessed]]="N/A",  Table32[[#This Row],[Date Referred]] = "N/A"), "N/A",  Table32[[#This Row],[Date Assessed]]-Table32[[#This Row],[Date Referred]])</f>
        <v>25</v>
      </c>
      <c r="P114" s="18" t="s">
        <v>226</v>
      </c>
      <c r="Q114" s="5">
        <f>IF(ISNUMBER(Table32[[#This Row],[Date Allocated]]),Table32[[#This Row],[Date Allocated]],DATE(1900,1,1))</f>
        <v>1</v>
      </c>
      <c r="R114" s="14" t="str">
        <f>IF(OR(Table32[[#This Row],[Date Assessed]]="N/A",Table32[[#This Row],[Date Allocated]]="N/A"),"N/A",Table32[[#This Row],[Date Allocated]]-Table32[[#This Row],[Date Assessed]])</f>
        <v>N/A</v>
      </c>
      <c r="S114" s="5" t="s">
        <v>226</v>
      </c>
      <c r="T114" t="s">
        <v>257</v>
      </c>
      <c r="U114" t="s">
        <v>325</v>
      </c>
    </row>
    <row r="115" spans="1:21" x14ac:dyDescent="0.2">
      <c r="A115" s="4" t="s">
        <v>125</v>
      </c>
      <c r="B115" s="5">
        <v>30169</v>
      </c>
      <c r="C115">
        <f t="shared" ca="1" si="6"/>
        <v>43</v>
      </c>
      <c r="D115" t="str">
        <f t="shared" ca="1" si="4"/>
        <v>35–44</v>
      </c>
      <c r="E115" t="s">
        <v>225</v>
      </c>
      <c r="F115" t="s">
        <v>230</v>
      </c>
      <c r="G115" t="s">
        <v>243</v>
      </c>
      <c r="H115" t="str">
        <f t="shared" si="5"/>
        <v>BAME</v>
      </c>
      <c r="I115" t="s">
        <v>247</v>
      </c>
      <c r="J115" t="s">
        <v>250</v>
      </c>
      <c r="K115" s="5">
        <v>45333</v>
      </c>
      <c r="L115" s="7" t="str">
        <f t="shared" si="7"/>
        <v>February 2024</v>
      </c>
      <c r="M115" s="5">
        <v>45349</v>
      </c>
      <c r="N115" s="5">
        <f>IF(ISNUMBER(Table32[[#This Row],[Date Assessed]]),Table32[[#This Row],[Date Assessed]], DATE(1900,1,1))</f>
        <v>45349</v>
      </c>
      <c r="O115" s="13">
        <f>IF(OR(Table32[[#This Row],[Date Assessed]]="N/A",  Table32[[#This Row],[Date Referred]] = "N/A"), "N/A",  Table32[[#This Row],[Date Assessed]]-Table32[[#This Row],[Date Referred]])</f>
        <v>16</v>
      </c>
      <c r="P115" s="18" t="s">
        <v>226</v>
      </c>
      <c r="Q115" s="5">
        <f>IF(ISNUMBER(Table32[[#This Row],[Date Allocated]]),Table32[[#This Row],[Date Allocated]],DATE(1900,1,1))</f>
        <v>1</v>
      </c>
      <c r="R115" s="14" t="str">
        <f>IF(OR(Table32[[#This Row],[Date Assessed]]="N/A",Table32[[#This Row],[Date Allocated]]="N/A"),"N/A",Table32[[#This Row],[Date Allocated]]-Table32[[#This Row],[Date Assessed]])</f>
        <v>N/A</v>
      </c>
      <c r="S115" s="5" t="s">
        <v>226</v>
      </c>
      <c r="T115" t="s">
        <v>257</v>
      </c>
      <c r="U115" t="s">
        <v>325</v>
      </c>
    </row>
    <row r="116" spans="1:21" x14ac:dyDescent="0.2">
      <c r="A116" s="4" t="s">
        <v>126</v>
      </c>
      <c r="B116" s="5">
        <v>32303</v>
      </c>
      <c r="C116">
        <f t="shared" ca="1" si="6"/>
        <v>37</v>
      </c>
      <c r="D116" t="str">
        <f t="shared" ca="1" si="4"/>
        <v>35–44</v>
      </c>
      <c r="E116" t="s">
        <v>225</v>
      </c>
      <c r="F116" t="s">
        <v>231</v>
      </c>
      <c r="G116" t="s">
        <v>241</v>
      </c>
      <c r="H116" t="str">
        <f t="shared" si="5"/>
        <v>BAME</v>
      </c>
      <c r="I116" t="s">
        <v>247</v>
      </c>
      <c r="J116" t="s">
        <v>254</v>
      </c>
      <c r="K116" s="5">
        <v>45488</v>
      </c>
      <c r="L116" s="7" t="str">
        <f t="shared" si="7"/>
        <v>July 2024</v>
      </c>
      <c r="M116" s="5">
        <v>45501</v>
      </c>
      <c r="N116" s="5">
        <f>IF(ISNUMBER(Table32[[#This Row],[Date Assessed]]),Table32[[#This Row],[Date Assessed]], DATE(1900,1,1))</f>
        <v>45501</v>
      </c>
      <c r="O116" s="13">
        <f>IF(OR(Table32[[#This Row],[Date Assessed]]="N/A",  Table32[[#This Row],[Date Referred]] = "N/A"), "N/A",  Table32[[#This Row],[Date Assessed]]-Table32[[#This Row],[Date Referred]])</f>
        <v>13</v>
      </c>
      <c r="P116" s="18" t="s">
        <v>226</v>
      </c>
      <c r="Q116" s="5">
        <f>IF(ISNUMBER(Table32[[#This Row],[Date Allocated]]),Table32[[#This Row],[Date Allocated]],DATE(1900,1,1))</f>
        <v>1</v>
      </c>
      <c r="R116" s="14" t="str">
        <f>IF(OR(Table32[[#This Row],[Date Assessed]]="N/A",Table32[[#This Row],[Date Allocated]]="N/A"),"N/A",Table32[[#This Row],[Date Allocated]]-Table32[[#This Row],[Date Assessed]])</f>
        <v>N/A</v>
      </c>
      <c r="S116" s="5" t="s">
        <v>226</v>
      </c>
      <c r="T116" t="s">
        <v>257</v>
      </c>
      <c r="U116" t="s">
        <v>325</v>
      </c>
    </row>
    <row r="117" spans="1:21" x14ac:dyDescent="0.2">
      <c r="A117" s="4" t="s">
        <v>127</v>
      </c>
      <c r="B117" s="5">
        <v>33760</v>
      </c>
      <c r="C117">
        <f t="shared" ca="1" si="6"/>
        <v>33</v>
      </c>
      <c r="D117" t="str">
        <f t="shared" ca="1" si="4"/>
        <v>25–34</v>
      </c>
      <c r="E117" t="s">
        <v>225</v>
      </c>
      <c r="F117" t="s">
        <v>230</v>
      </c>
      <c r="G117" t="s">
        <v>243</v>
      </c>
      <c r="H117" t="str">
        <f t="shared" si="5"/>
        <v>BAME</v>
      </c>
      <c r="I117" t="s">
        <v>247</v>
      </c>
      <c r="J117" t="s">
        <v>250</v>
      </c>
      <c r="K117" s="5">
        <v>45655</v>
      </c>
      <c r="L117" s="7" t="str">
        <f t="shared" si="7"/>
        <v>December 2024</v>
      </c>
      <c r="M117" s="5">
        <v>45704</v>
      </c>
      <c r="N117" s="5">
        <f>IF(ISNUMBER(Table32[[#This Row],[Date Assessed]]),Table32[[#This Row],[Date Assessed]], DATE(1900,1,1))</f>
        <v>45704</v>
      </c>
      <c r="O117" s="13">
        <f>IF(OR(Table32[[#This Row],[Date Assessed]]="N/A",  Table32[[#This Row],[Date Referred]] = "N/A"), "N/A",  Table32[[#This Row],[Date Assessed]]-Table32[[#This Row],[Date Referred]])</f>
        <v>49</v>
      </c>
      <c r="P117" s="18">
        <v>45727</v>
      </c>
      <c r="Q117" s="5">
        <f>IF(ISNUMBER(Table32[[#This Row],[Date Allocated]]),Table32[[#This Row],[Date Allocated]],DATE(1900,1,1))</f>
        <v>45727</v>
      </c>
      <c r="R117" s="14">
        <f>IF(OR(Table32[[#This Row],[Date Assessed]]="N/A",Table32[[#This Row],[Date Allocated]]="N/A"),"N/A",Table32[[#This Row],[Date Allocated]]-Table32[[#This Row],[Date Assessed]])</f>
        <v>23</v>
      </c>
      <c r="S117" s="5">
        <v>45904</v>
      </c>
      <c r="T117" t="s">
        <v>255</v>
      </c>
      <c r="U117" t="s">
        <v>264</v>
      </c>
    </row>
    <row r="118" spans="1:21" x14ac:dyDescent="0.2">
      <c r="A118" s="4" t="s">
        <v>128</v>
      </c>
      <c r="B118" s="5">
        <v>30789</v>
      </c>
      <c r="C118">
        <f t="shared" ca="1" si="6"/>
        <v>41</v>
      </c>
      <c r="D118" t="str">
        <f t="shared" ca="1" si="4"/>
        <v>35–44</v>
      </c>
      <c r="E118" t="s">
        <v>224</v>
      </c>
      <c r="F118" t="s">
        <v>227</v>
      </c>
      <c r="G118" t="s">
        <v>227</v>
      </c>
      <c r="H118" t="str">
        <f t="shared" si="5"/>
        <v>BAME</v>
      </c>
      <c r="I118" t="s">
        <v>246</v>
      </c>
      <c r="J118" t="s">
        <v>253</v>
      </c>
      <c r="K118" s="5">
        <v>45324</v>
      </c>
      <c r="L118" s="7" t="str">
        <f t="shared" si="7"/>
        <v>February 2024</v>
      </c>
      <c r="M118" s="5">
        <v>45351</v>
      </c>
      <c r="N118" s="5">
        <f>IF(ISNUMBER(Table32[[#This Row],[Date Assessed]]),Table32[[#This Row],[Date Assessed]], DATE(1900,1,1))</f>
        <v>45351</v>
      </c>
      <c r="O118" s="13">
        <f>IF(OR(Table32[[#This Row],[Date Assessed]]="N/A",  Table32[[#This Row],[Date Referred]] = "N/A"), "N/A",  Table32[[#This Row],[Date Assessed]]-Table32[[#This Row],[Date Referred]])</f>
        <v>27</v>
      </c>
      <c r="P118" s="18">
        <v>45353</v>
      </c>
      <c r="Q118" s="5">
        <f>IF(ISNUMBER(Table32[[#This Row],[Date Allocated]]),Table32[[#This Row],[Date Allocated]],DATE(1900,1,1))</f>
        <v>45353</v>
      </c>
      <c r="R118" s="14">
        <f>IF(OR(Table32[[#This Row],[Date Assessed]]="N/A",Table32[[#This Row],[Date Allocated]]="N/A"),"N/A",Table32[[#This Row],[Date Allocated]]-Table32[[#This Row],[Date Assessed]])</f>
        <v>2</v>
      </c>
      <c r="S118" s="5">
        <v>45518</v>
      </c>
      <c r="T118" t="s">
        <v>255</v>
      </c>
      <c r="U118" t="s">
        <v>261</v>
      </c>
    </row>
    <row r="119" spans="1:21" x14ac:dyDescent="0.2">
      <c r="A119" s="4" t="s">
        <v>129</v>
      </c>
      <c r="B119" s="5">
        <v>32870</v>
      </c>
      <c r="C119">
        <f t="shared" ca="1" si="6"/>
        <v>35</v>
      </c>
      <c r="D119" t="str">
        <f t="shared" ca="1" si="4"/>
        <v>35–44</v>
      </c>
      <c r="E119" t="s">
        <v>224</v>
      </c>
      <c r="F119" t="s">
        <v>230</v>
      </c>
      <c r="G119" t="s">
        <v>243</v>
      </c>
      <c r="H119" t="str">
        <f t="shared" si="5"/>
        <v>BAME</v>
      </c>
      <c r="I119" t="s">
        <v>247</v>
      </c>
      <c r="J119" t="s">
        <v>254</v>
      </c>
      <c r="K119" s="5">
        <v>45340</v>
      </c>
      <c r="L119" s="7" t="str">
        <f t="shared" si="7"/>
        <v>February 2024</v>
      </c>
      <c r="M119" s="5">
        <v>45365</v>
      </c>
      <c r="N119" s="5">
        <f>IF(ISNUMBER(Table32[[#This Row],[Date Assessed]]),Table32[[#This Row],[Date Assessed]], DATE(1900,1,1))</f>
        <v>45365</v>
      </c>
      <c r="O119" s="13">
        <f>IF(OR(Table32[[#This Row],[Date Assessed]]="N/A",  Table32[[#This Row],[Date Referred]] = "N/A"), "N/A",  Table32[[#This Row],[Date Assessed]]-Table32[[#This Row],[Date Referred]])</f>
        <v>25</v>
      </c>
      <c r="P119" s="18">
        <v>45386</v>
      </c>
      <c r="Q119" s="5">
        <f>IF(ISNUMBER(Table32[[#This Row],[Date Allocated]]),Table32[[#This Row],[Date Allocated]],DATE(1900,1,1))</f>
        <v>45386</v>
      </c>
      <c r="R119" s="14">
        <f>IF(OR(Table32[[#This Row],[Date Assessed]]="N/A",Table32[[#This Row],[Date Allocated]]="N/A"),"N/A",Table32[[#This Row],[Date Allocated]]-Table32[[#This Row],[Date Assessed]])</f>
        <v>21</v>
      </c>
      <c r="S119" s="5">
        <v>45564</v>
      </c>
      <c r="T119" t="s">
        <v>255</v>
      </c>
      <c r="U119" t="s">
        <v>263</v>
      </c>
    </row>
    <row r="120" spans="1:21" x14ac:dyDescent="0.2">
      <c r="A120" s="4" t="s">
        <v>130</v>
      </c>
      <c r="B120" s="5">
        <v>26203</v>
      </c>
      <c r="C120">
        <f t="shared" ca="1" si="6"/>
        <v>54</v>
      </c>
      <c r="D120" t="str">
        <f t="shared" ca="1" si="4"/>
        <v>45–54</v>
      </c>
      <c r="E120" t="s">
        <v>224</v>
      </c>
      <c r="F120" t="s">
        <v>228</v>
      </c>
      <c r="G120" t="s">
        <v>242</v>
      </c>
      <c r="H120" t="str">
        <f t="shared" si="5"/>
        <v>White</v>
      </c>
      <c r="I120" t="s">
        <v>247</v>
      </c>
      <c r="J120" t="s">
        <v>251</v>
      </c>
      <c r="K120" s="5">
        <v>45312</v>
      </c>
      <c r="L120" s="7" t="str">
        <f t="shared" si="7"/>
        <v>January 2024</v>
      </c>
      <c r="M120" s="5">
        <v>45313</v>
      </c>
      <c r="N120" s="5">
        <f>IF(ISNUMBER(Table32[[#This Row],[Date Assessed]]),Table32[[#This Row],[Date Assessed]], DATE(1900,1,1))</f>
        <v>45313</v>
      </c>
      <c r="O120" s="13">
        <f>IF(OR(Table32[[#This Row],[Date Assessed]]="N/A",  Table32[[#This Row],[Date Referred]] = "N/A"), "N/A",  Table32[[#This Row],[Date Assessed]]-Table32[[#This Row],[Date Referred]])</f>
        <v>1</v>
      </c>
      <c r="P120" s="18">
        <v>45321</v>
      </c>
      <c r="Q120" s="5">
        <f>IF(ISNUMBER(Table32[[#This Row],[Date Allocated]]),Table32[[#This Row],[Date Allocated]],DATE(1900,1,1))</f>
        <v>45321</v>
      </c>
      <c r="R120" s="14">
        <f>IF(OR(Table32[[#This Row],[Date Assessed]]="N/A",Table32[[#This Row],[Date Allocated]]="N/A"),"N/A",Table32[[#This Row],[Date Allocated]]-Table32[[#This Row],[Date Assessed]])</f>
        <v>8</v>
      </c>
      <c r="S120" s="5">
        <v>45445</v>
      </c>
      <c r="T120" t="s">
        <v>255</v>
      </c>
      <c r="U120" t="s">
        <v>264</v>
      </c>
    </row>
    <row r="121" spans="1:21" x14ac:dyDescent="0.2">
      <c r="A121" s="4" t="s">
        <v>131</v>
      </c>
      <c r="B121" s="5">
        <v>33500</v>
      </c>
      <c r="C121">
        <f t="shared" ca="1" si="6"/>
        <v>34</v>
      </c>
      <c r="D121" t="str">
        <f t="shared" ca="1" si="4"/>
        <v>25–34</v>
      </c>
      <c r="E121" t="s">
        <v>225</v>
      </c>
      <c r="F121" t="s">
        <v>230</v>
      </c>
      <c r="G121" t="s">
        <v>243</v>
      </c>
      <c r="H121" t="str">
        <f t="shared" si="5"/>
        <v>BAME</v>
      </c>
      <c r="I121" t="s">
        <v>247</v>
      </c>
      <c r="J121" t="s">
        <v>252</v>
      </c>
      <c r="K121" s="5">
        <v>45604</v>
      </c>
      <c r="L121" s="7" t="str">
        <f t="shared" si="7"/>
        <v>November 2024</v>
      </c>
      <c r="M121" s="5">
        <v>45642</v>
      </c>
      <c r="N121" s="5">
        <f>IF(ISNUMBER(Table32[[#This Row],[Date Assessed]]),Table32[[#This Row],[Date Assessed]], DATE(1900,1,1))</f>
        <v>45642</v>
      </c>
      <c r="O121" s="13">
        <f>IF(OR(Table32[[#This Row],[Date Assessed]]="N/A",  Table32[[#This Row],[Date Referred]] = "N/A"), "N/A",  Table32[[#This Row],[Date Assessed]]-Table32[[#This Row],[Date Referred]])</f>
        <v>38</v>
      </c>
      <c r="P121" s="18">
        <v>45682</v>
      </c>
      <c r="Q121" s="5">
        <f>IF(ISNUMBER(Table32[[#This Row],[Date Allocated]]),Table32[[#This Row],[Date Allocated]],DATE(1900,1,1))</f>
        <v>45682</v>
      </c>
      <c r="R121" s="14">
        <f>IF(OR(Table32[[#This Row],[Date Assessed]]="N/A",Table32[[#This Row],[Date Allocated]]="N/A"),"N/A",Table32[[#This Row],[Date Allocated]]-Table32[[#This Row],[Date Assessed]])</f>
        <v>40</v>
      </c>
      <c r="S121" s="5">
        <v>45809</v>
      </c>
      <c r="T121" t="s">
        <v>255</v>
      </c>
      <c r="U121" t="s">
        <v>272</v>
      </c>
    </row>
    <row r="122" spans="1:21" x14ac:dyDescent="0.2">
      <c r="A122" s="4" t="s">
        <v>132</v>
      </c>
      <c r="B122" s="5">
        <v>27561</v>
      </c>
      <c r="C122">
        <f t="shared" ca="1" si="6"/>
        <v>50</v>
      </c>
      <c r="D122" t="str">
        <f t="shared" ca="1" si="4"/>
        <v>45–54</v>
      </c>
      <c r="E122" t="s">
        <v>225</v>
      </c>
      <c r="F122" t="s">
        <v>230</v>
      </c>
      <c r="G122" t="s">
        <v>243</v>
      </c>
      <c r="H122" t="str">
        <f t="shared" si="5"/>
        <v>BAME</v>
      </c>
      <c r="I122" t="s">
        <v>246</v>
      </c>
      <c r="J122" t="s">
        <v>254</v>
      </c>
      <c r="K122" s="5">
        <v>45622</v>
      </c>
      <c r="L122" s="7" t="str">
        <f t="shared" si="7"/>
        <v>November 2024</v>
      </c>
      <c r="M122" s="5">
        <v>45642</v>
      </c>
      <c r="N122" s="5">
        <f>IF(ISNUMBER(Table32[[#This Row],[Date Assessed]]),Table32[[#This Row],[Date Assessed]], DATE(1900,1,1))</f>
        <v>45642</v>
      </c>
      <c r="O122" s="13">
        <f>IF(OR(Table32[[#This Row],[Date Assessed]]="N/A",  Table32[[#This Row],[Date Referred]] = "N/A"), "N/A",  Table32[[#This Row],[Date Assessed]]-Table32[[#This Row],[Date Referred]])</f>
        <v>20</v>
      </c>
      <c r="P122" s="18">
        <v>45674</v>
      </c>
      <c r="Q122" s="5">
        <f>IF(ISNUMBER(Table32[[#This Row],[Date Allocated]]),Table32[[#This Row],[Date Allocated]],DATE(1900,1,1))</f>
        <v>45674</v>
      </c>
      <c r="R122" s="14">
        <f>IF(OR(Table32[[#This Row],[Date Assessed]]="N/A",Table32[[#This Row],[Date Allocated]]="N/A"),"N/A",Table32[[#This Row],[Date Allocated]]-Table32[[#This Row],[Date Assessed]])</f>
        <v>32</v>
      </c>
      <c r="S122" s="5">
        <v>45850</v>
      </c>
      <c r="T122" t="s">
        <v>255</v>
      </c>
      <c r="U122" t="s">
        <v>263</v>
      </c>
    </row>
    <row r="123" spans="1:21" x14ac:dyDescent="0.2">
      <c r="A123" s="4" t="s">
        <v>133</v>
      </c>
      <c r="B123" s="5">
        <v>21921</v>
      </c>
      <c r="C123">
        <f t="shared" ca="1" si="6"/>
        <v>65</v>
      </c>
      <c r="D123" t="str">
        <f t="shared" ca="1" si="4"/>
        <v>65+</v>
      </c>
      <c r="E123" t="s">
        <v>225</v>
      </c>
      <c r="F123" t="s">
        <v>227</v>
      </c>
      <c r="G123" t="s">
        <v>227</v>
      </c>
      <c r="H123" t="str">
        <f t="shared" si="5"/>
        <v>BAME</v>
      </c>
      <c r="I123" t="s">
        <v>247</v>
      </c>
      <c r="J123" t="s">
        <v>253</v>
      </c>
      <c r="K123" s="5">
        <v>45551</v>
      </c>
      <c r="L123" s="7" t="str">
        <f t="shared" si="7"/>
        <v>September 2024</v>
      </c>
      <c r="M123" s="5">
        <v>45581</v>
      </c>
      <c r="N123" s="5">
        <f>IF(ISNUMBER(Table32[[#This Row],[Date Assessed]]),Table32[[#This Row],[Date Assessed]], DATE(1900,1,1))</f>
        <v>45581</v>
      </c>
      <c r="O123" s="13">
        <f>IF(OR(Table32[[#This Row],[Date Assessed]]="N/A",  Table32[[#This Row],[Date Referred]] = "N/A"), "N/A",  Table32[[#This Row],[Date Assessed]]-Table32[[#This Row],[Date Referred]])</f>
        <v>30</v>
      </c>
      <c r="P123" s="18">
        <v>45639</v>
      </c>
      <c r="Q123" s="5">
        <f>IF(ISNUMBER(Table32[[#This Row],[Date Allocated]]),Table32[[#This Row],[Date Allocated]],DATE(1900,1,1))</f>
        <v>45639</v>
      </c>
      <c r="R123" s="14">
        <f>IF(OR(Table32[[#This Row],[Date Assessed]]="N/A",Table32[[#This Row],[Date Allocated]]="N/A"),"N/A",Table32[[#This Row],[Date Allocated]]-Table32[[#This Row],[Date Assessed]])</f>
        <v>58</v>
      </c>
      <c r="S123" s="5">
        <v>45810</v>
      </c>
      <c r="T123" t="s">
        <v>255</v>
      </c>
      <c r="U123" t="s">
        <v>262</v>
      </c>
    </row>
    <row r="124" spans="1:21" x14ac:dyDescent="0.2">
      <c r="A124" s="4" t="s">
        <v>134</v>
      </c>
      <c r="B124" s="5">
        <v>33530</v>
      </c>
      <c r="C124">
        <f t="shared" ca="1" si="6"/>
        <v>33</v>
      </c>
      <c r="D124" t="str">
        <f t="shared" ca="1" si="4"/>
        <v>25–34</v>
      </c>
      <c r="E124" t="s">
        <v>225</v>
      </c>
      <c r="F124" t="s">
        <v>227</v>
      </c>
      <c r="G124" t="s">
        <v>227</v>
      </c>
      <c r="H124" t="str">
        <f t="shared" si="5"/>
        <v>BAME</v>
      </c>
      <c r="I124" t="s">
        <v>247</v>
      </c>
      <c r="J124" t="s">
        <v>250</v>
      </c>
      <c r="K124" s="5">
        <v>45520</v>
      </c>
      <c r="L124" s="7" t="str">
        <f t="shared" si="7"/>
        <v>August 2024</v>
      </c>
      <c r="M124" s="5">
        <v>45544</v>
      </c>
      <c r="N124" s="5">
        <f>IF(ISNUMBER(Table32[[#This Row],[Date Assessed]]),Table32[[#This Row],[Date Assessed]], DATE(1900,1,1))</f>
        <v>45544</v>
      </c>
      <c r="O124" s="13">
        <f>IF(OR(Table32[[#This Row],[Date Assessed]]="N/A",  Table32[[#This Row],[Date Referred]] = "N/A"), "N/A",  Table32[[#This Row],[Date Assessed]]-Table32[[#This Row],[Date Referred]])</f>
        <v>24</v>
      </c>
      <c r="P124" s="18">
        <v>45596</v>
      </c>
      <c r="Q124" s="5">
        <f>IF(ISNUMBER(Table32[[#This Row],[Date Allocated]]),Table32[[#This Row],[Date Allocated]],DATE(1900,1,1))</f>
        <v>45596</v>
      </c>
      <c r="R124" s="14">
        <f>IF(OR(Table32[[#This Row],[Date Assessed]]="N/A",Table32[[#This Row],[Date Allocated]]="N/A"),"N/A",Table32[[#This Row],[Date Allocated]]-Table32[[#This Row],[Date Assessed]])</f>
        <v>52</v>
      </c>
      <c r="S124" s="5">
        <v>45744</v>
      </c>
      <c r="T124" t="s">
        <v>255</v>
      </c>
      <c r="U124" t="s">
        <v>264</v>
      </c>
    </row>
    <row r="125" spans="1:21" x14ac:dyDescent="0.2">
      <c r="A125" s="4" t="s">
        <v>135</v>
      </c>
      <c r="B125" s="5">
        <v>24451</v>
      </c>
      <c r="C125">
        <f t="shared" ca="1" si="6"/>
        <v>58</v>
      </c>
      <c r="D125" t="str">
        <f t="shared" ca="1" si="4"/>
        <v>55–64</v>
      </c>
      <c r="E125" t="s">
        <v>225</v>
      </c>
      <c r="F125" t="s">
        <v>228</v>
      </c>
      <c r="G125" t="s">
        <v>241</v>
      </c>
      <c r="H125" t="str">
        <f t="shared" si="5"/>
        <v>BAME</v>
      </c>
      <c r="I125" t="s">
        <v>247</v>
      </c>
      <c r="J125" t="s">
        <v>250</v>
      </c>
      <c r="K125" s="5">
        <v>45415</v>
      </c>
      <c r="L125" s="7" t="str">
        <f t="shared" si="7"/>
        <v>May 2024</v>
      </c>
      <c r="M125" s="5">
        <v>45417</v>
      </c>
      <c r="N125" s="5">
        <f>IF(ISNUMBER(Table32[[#This Row],[Date Assessed]]),Table32[[#This Row],[Date Assessed]], DATE(1900,1,1))</f>
        <v>45417</v>
      </c>
      <c r="O125" s="13">
        <f>IF(OR(Table32[[#This Row],[Date Assessed]]="N/A",  Table32[[#This Row],[Date Referred]] = "N/A"), "N/A",  Table32[[#This Row],[Date Assessed]]-Table32[[#This Row],[Date Referred]])</f>
        <v>2</v>
      </c>
      <c r="P125" s="18">
        <v>45423</v>
      </c>
      <c r="Q125" s="5">
        <f>IF(ISNUMBER(Table32[[#This Row],[Date Allocated]]),Table32[[#This Row],[Date Allocated]],DATE(1900,1,1))</f>
        <v>45423</v>
      </c>
      <c r="R125" s="14">
        <f>IF(OR(Table32[[#This Row],[Date Assessed]]="N/A",Table32[[#This Row],[Date Allocated]]="N/A"),"N/A",Table32[[#This Row],[Date Allocated]]-Table32[[#This Row],[Date Assessed]])</f>
        <v>6</v>
      </c>
      <c r="S125" s="5">
        <v>45574</v>
      </c>
      <c r="T125" t="s">
        <v>255</v>
      </c>
      <c r="U125" t="s">
        <v>272</v>
      </c>
    </row>
    <row r="126" spans="1:21" x14ac:dyDescent="0.2">
      <c r="A126" s="4" t="s">
        <v>136</v>
      </c>
      <c r="B126" s="5">
        <v>33612</v>
      </c>
      <c r="C126">
        <f t="shared" ca="1" si="6"/>
        <v>33</v>
      </c>
      <c r="D126" t="str">
        <f t="shared" ca="1" si="4"/>
        <v>25–34</v>
      </c>
      <c r="E126" t="s">
        <v>224</v>
      </c>
      <c r="F126" t="s">
        <v>230</v>
      </c>
      <c r="G126" t="s">
        <v>243</v>
      </c>
      <c r="H126" t="str">
        <f t="shared" si="5"/>
        <v>BAME</v>
      </c>
      <c r="I126" t="s">
        <v>247</v>
      </c>
      <c r="J126" t="s">
        <v>250</v>
      </c>
      <c r="K126" s="5">
        <v>45336</v>
      </c>
      <c r="L126" s="7" t="str">
        <f t="shared" si="7"/>
        <v>February 2024</v>
      </c>
      <c r="M126" s="5">
        <v>45378</v>
      </c>
      <c r="N126" s="5">
        <f>IF(ISNUMBER(Table32[[#This Row],[Date Assessed]]),Table32[[#This Row],[Date Assessed]], DATE(1900,1,1))</f>
        <v>45378</v>
      </c>
      <c r="O126" s="13">
        <f>IF(OR(Table32[[#This Row],[Date Assessed]]="N/A",  Table32[[#This Row],[Date Referred]] = "N/A"), "N/A",  Table32[[#This Row],[Date Assessed]]-Table32[[#This Row],[Date Referred]])</f>
        <v>42</v>
      </c>
      <c r="P126" s="18">
        <v>45401</v>
      </c>
      <c r="Q126" s="5">
        <f>IF(ISNUMBER(Table32[[#This Row],[Date Allocated]]),Table32[[#This Row],[Date Allocated]],DATE(1900,1,1))</f>
        <v>45401</v>
      </c>
      <c r="R126" s="14">
        <f>IF(OR(Table32[[#This Row],[Date Assessed]]="N/A",Table32[[#This Row],[Date Allocated]]="N/A"),"N/A",Table32[[#This Row],[Date Allocated]]-Table32[[#This Row],[Date Assessed]])</f>
        <v>23</v>
      </c>
      <c r="S126" s="5">
        <v>45536</v>
      </c>
      <c r="T126" t="s">
        <v>255</v>
      </c>
      <c r="U126" t="s">
        <v>272</v>
      </c>
    </row>
    <row r="127" spans="1:21" x14ac:dyDescent="0.2">
      <c r="A127" s="4" t="s">
        <v>137</v>
      </c>
      <c r="B127" s="5">
        <v>24065</v>
      </c>
      <c r="C127">
        <f t="shared" ca="1" si="6"/>
        <v>59</v>
      </c>
      <c r="D127" t="str">
        <f t="shared" ca="1" si="4"/>
        <v>55–64</v>
      </c>
      <c r="E127" t="s">
        <v>224</v>
      </c>
      <c r="F127" t="s">
        <v>229</v>
      </c>
      <c r="G127" t="s">
        <v>243</v>
      </c>
      <c r="H127" t="str">
        <f t="shared" si="5"/>
        <v>BAME</v>
      </c>
      <c r="I127" t="s">
        <v>247</v>
      </c>
      <c r="J127" t="s">
        <v>253</v>
      </c>
      <c r="K127" s="5">
        <v>45306</v>
      </c>
      <c r="L127" s="7" t="str">
        <f t="shared" si="7"/>
        <v>January 2024</v>
      </c>
      <c r="M127" s="5">
        <v>45322</v>
      </c>
      <c r="N127" s="5">
        <f>IF(ISNUMBER(Table32[[#This Row],[Date Assessed]]),Table32[[#This Row],[Date Assessed]], DATE(1900,1,1))</f>
        <v>45322</v>
      </c>
      <c r="O127" s="13">
        <f>IF(OR(Table32[[#This Row],[Date Assessed]]="N/A",  Table32[[#This Row],[Date Referred]] = "N/A"), "N/A",  Table32[[#This Row],[Date Assessed]]-Table32[[#This Row],[Date Referred]])</f>
        <v>16</v>
      </c>
      <c r="P127" s="18">
        <v>45353</v>
      </c>
      <c r="Q127" s="5">
        <f>IF(ISNUMBER(Table32[[#This Row],[Date Allocated]]),Table32[[#This Row],[Date Allocated]],DATE(1900,1,1))</f>
        <v>45353</v>
      </c>
      <c r="R127" s="14">
        <f>IF(OR(Table32[[#This Row],[Date Assessed]]="N/A",Table32[[#This Row],[Date Allocated]]="N/A"),"N/A",Table32[[#This Row],[Date Allocated]]-Table32[[#This Row],[Date Assessed]])</f>
        <v>31</v>
      </c>
      <c r="S127" s="5">
        <v>45498</v>
      </c>
      <c r="T127" t="s">
        <v>255</v>
      </c>
      <c r="U127" t="s">
        <v>262</v>
      </c>
    </row>
    <row r="128" spans="1:21" x14ac:dyDescent="0.2">
      <c r="A128" s="4" t="s">
        <v>138</v>
      </c>
      <c r="B128" s="5">
        <v>31841</v>
      </c>
      <c r="C128">
        <f t="shared" ca="1" si="6"/>
        <v>38</v>
      </c>
      <c r="D128" t="str">
        <f t="shared" ca="1" si="4"/>
        <v>35–44</v>
      </c>
      <c r="E128" t="s">
        <v>225</v>
      </c>
      <c r="F128" t="s">
        <v>230</v>
      </c>
      <c r="G128" t="s">
        <v>243</v>
      </c>
      <c r="H128" t="str">
        <f t="shared" si="5"/>
        <v>BAME</v>
      </c>
      <c r="I128" t="s">
        <v>247</v>
      </c>
      <c r="J128" t="s">
        <v>250</v>
      </c>
      <c r="K128" s="5">
        <v>45345</v>
      </c>
      <c r="L128" s="7" t="str">
        <f t="shared" si="7"/>
        <v>February 2024</v>
      </c>
      <c r="M128" s="5">
        <v>45392</v>
      </c>
      <c r="N128" s="5">
        <f>IF(ISNUMBER(Table32[[#This Row],[Date Assessed]]),Table32[[#This Row],[Date Assessed]], DATE(1900,1,1))</f>
        <v>45392</v>
      </c>
      <c r="O128" s="13">
        <f>IF(OR(Table32[[#This Row],[Date Assessed]]="N/A",  Table32[[#This Row],[Date Referred]] = "N/A"), "N/A",  Table32[[#This Row],[Date Assessed]]-Table32[[#This Row],[Date Referred]])</f>
        <v>47</v>
      </c>
      <c r="P128" s="18">
        <v>45440</v>
      </c>
      <c r="Q128" s="5">
        <f>IF(ISNUMBER(Table32[[#This Row],[Date Allocated]]),Table32[[#This Row],[Date Allocated]],DATE(1900,1,1))</f>
        <v>45440</v>
      </c>
      <c r="R128" s="14">
        <f>IF(OR(Table32[[#This Row],[Date Assessed]]="N/A",Table32[[#This Row],[Date Allocated]]="N/A"),"N/A",Table32[[#This Row],[Date Allocated]]-Table32[[#This Row],[Date Assessed]])</f>
        <v>48</v>
      </c>
      <c r="S128" s="5">
        <v>45592</v>
      </c>
      <c r="T128" t="s">
        <v>255</v>
      </c>
      <c r="U128" t="s">
        <v>261</v>
      </c>
    </row>
    <row r="129" spans="1:21" x14ac:dyDescent="0.2">
      <c r="A129" s="4" t="s">
        <v>139</v>
      </c>
      <c r="B129" s="5">
        <v>33879</v>
      </c>
      <c r="C129">
        <f t="shared" ca="1" si="6"/>
        <v>32</v>
      </c>
      <c r="D129" t="str">
        <f t="shared" ca="1" si="4"/>
        <v>25–34</v>
      </c>
      <c r="E129" t="s">
        <v>225</v>
      </c>
      <c r="F129" t="s">
        <v>230</v>
      </c>
      <c r="G129" t="s">
        <v>243</v>
      </c>
      <c r="H129" t="str">
        <f t="shared" si="5"/>
        <v>BAME</v>
      </c>
      <c r="I129" t="s">
        <v>247</v>
      </c>
      <c r="J129" t="s">
        <v>250</v>
      </c>
      <c r="K129" s="5">
        <v>45588</v>
      </c>
      <c r="L129" s="7" t="str">
        <f t="shared" si="7"/>
        <v>October 2024</v>
      </c>
      <c r="M129" s="5">
        <v>45633</v>
      </c>
      <c r="N129" s="5">
        <f>IF(ISNUMBER(Table32[[#This Row],[Date Assessed]]),Table32[[#This Row],[Date Assessed]], DATE(1900,1,1))</f>
        <v>45633</v>
      </c>
      <c r="O129" s="13">
        <f>IF(OR(Table32[[#This Row],[Date Assessed]]="N/A",  Table32[[#This Row],[Date Referred]] = "N/A"), "N/A",  Table32[[#This Row],[Date Assessed]]-Table32[[#This Row],[Date Referred]])</f>
        <v>45</v>
      </c>
      <c r="P129" s="18">
        <v>45659</v>
      </c>
      <c r="Q129" s="5">
        <f>IF(ISNUMBER(Table32[[#This Row],[Date Allocated]]),Table32[[#This Row],[Date Allocated]],DATE(1900,1,1))</f>
        <v>45659</v>
      </c>
      <c r="R129" s="14">
        <f>IF(OR(Table32[[#This Row],[Date Assessed]]="N/A",Table32[[#This Row],[Date Allocated]]="N/A"),"N/A",Table32[[#This Row],[Date Allocated]]-Table32[[#This Row],[Date Assessed]])</f>
        <v>26</v>
      </c>
      <c r="S129" s="5">
        <v>45830</v>
      </c>
      <c r="T129" t="s">
        <v>255</v>
      </c>
      <c r="U129" t="s">
        <v>272</v>
      </c>
    </row>
    <row r="130" spans="1:21" x14ac:dyDescent="0.2">
      <c r="A130" s="4" t="s">
        <v>140</v>
      </c>
      <c r="B130" s="5">
        <v>35136</v>
      </c>
      <c r="C130">
        <f t="shared" ca="1" si="6"/>
        <v>29</v>
      </c>
      <c r="D130" t="str">
        <f t="shared" ca="1" si="4"/>
        <v>25–34</v>
      </c>
      <c r="E130" t="s">
        <v>225</v>
      </c>
      <c r="F130" t="s">
        <v>228</v>
      </c>
      <c r="G130" t="s">
        <v>242</v>
      </c>
      <c r="H130" t="str">
        <f t="shared" si="5"/>
        <v>White</v>
      </c>
      <c r="I130" t="s">
        <v>247</v>
      </c>
      <c r="J130" t="s">
        <v>250</v>
      </c>
      <c r="K130" s="5">
        <v>45432</v>
      </c>
      <c r="L130" s="7" t="str">
        <f t="shared" si="7"/>
        <v>May 2024</v>
      </c>
      <c r="M130" s="5">
        <v>45466</v>
      </c>
      <c r="N130" s="5">
        <f>IF(ISNUMBER(Table32[[#This Row],[Date Assessed]]),Table32[[#This Row],[Date Assessed]], DATE(1900,1,1))</f>
        <v>45466</v>
      </c>
      <c r="O130" s="13">
        <f>IF(OR(Table32[[#This Row],[Date Assessed]]="N/A",  Table32[[#This Row],[Date Referred]] = "N/A"), "N/A",  Table32[[#This Row],[Date Assessed]]-Table32[[#This Row],[Date Referred]])</f>
        <v>34</v>
      </c>
      <c r="P130" s="18">
        <v>45468</v>
      </c>
      <c r="Q130" s="5">
        <f>IF(ISNUMBER(Table32[[#This Row],[Date Allocated]]),Table32[[#This Row],[Date Allocated]],DATE(1900,1,1))</f>
        <v>45468</v>
      </c>
      <c r="R130" s="14">
        <f>IF(OR(Table32[[#This Row],[Date Assessed]]="N/A",Table32[[#This Row],[Date Allocated]]="N/A"),"N/A",Table32[[#This Row],[Date Allocated]]-Table32[[#This Row],[Date Assessed]])</f>
        <v>2</v>
      </c>
      <c r="S130" s="5">
        <v>45611</v>
      </c>
      <c r="T130" t="s">
        <v>255</v>
      </c>
      <c r="U130" t="s">
        <v>263</v>
      </c>
    </row>
    <row r="131" spans="1:21" x14ac:dyDescent="0.2">
      <c r="A131" s="4" t="s">
        <v>141</v>
      </c>
      <c r="B131" s="5">
        <v>26394</v>
      </c>
      <c r="C131">
        <f t="shared" ca="1" si="6"/>
        <v>53</v>
      </c>
      <c r="D131" t="str">
        <f t="shared" ca="1" si="4"/>
        <v>45–54</v>
      </c>
      <c r="E131" t="s">
        <v>225</v>
      </c>
      <c r="F131" t="s">
        <v>230</v>
      </c>
      <c r="G131" t="s">
        <v>243</v>
      </c>
      <c r="H131" t="str">
        <f t="shared" si="5"/>
        <v>BAME</v>
      </c>
      <c r="I131" t="s">
        <v>247</v>
      </c>
      <c r="J131" t="s">
        <v>252</v>
      </c>
      <c r="K131" s="5">
        <v>45458</v>
      </c>
      <c r="L131" s="7" t="str">
        <f t="shared" si="7"/>
        <v>June 2024</v>
      </c>
      <c r="M131" s="5" t="s">
        <v>226</v>
      </c>
      <c r="N131" s="5">
        <f>IF(ISNUMBER(Table32[[#This Row],[Date Assessed]]),Table32[[#This Row],[Date Assessed]], DATE(1900,1,1))</f>
        <v>1</v>
      </c>
      <c r="O131" s="13" t="str">
        <f>IF(OR(Table32[[#This Row],[Date Assessed]]="N/A",  Table32[[#This Row],[Date Referred]] = "N/A"), "N/A",  Table32[[#This Row],[Date Assessed]]-Table32[[#This Row],[Date Referred]])</f>
        <v>N/A</v>
      </c>
      <c r="P131" s="18" t="s">
        <v>226</v>
      </c>
      <c r="Q131" s="5">
        <f>IF(ISNUMBER(Table32[[#This Row],[Date Allocated]]),Table32[[#This Row],[Date Allocated]],DATE(1900,1,1))</f>
        <v>1</v>
      </c>
      <c r="R131" s="14" t="str">
        <f>IF(OR(Table32[[#This Row],[Date Assessed]]="N/A",Table32[[#This Row],[Date Allocated]]="N/A"),"N/A",Table32[[#This Row],[Date Allocated]]-Table32[[#This Row],[Date Assessed]])</f>
        <v>N/A</v>
      </c>
      <c r="S131" s="5" t="s">
        <v>226</v>
      </c>
      <c r="T131" t="s">
        <v>256</v>
      </c>
      <c r="U131" t="s">
        <v>325</v>
      </c>
    </row>
    <row r="132" spans="1:21" x14ac:dyDescent="0.2">
      <c r="A132" s="4" t="s">
        <v>142</v>
      </c>
      <c r="B132" s="5">
        <v>30968</v>
      </c>
      <c r="C132">
        <f t="shared" ca="1" si="6"/>
        <v>40</v>
      </c>
      <c r="D132" t="str">
        <f t="shared" ref="D132:D195" ca="1" si="8">IF(OR(ISBLANK(C132), C132 ="N/A"), "N/A",
  IF(VALUE(C132) &lt; 18, "0–17",
    IF(VALUE(C132) &lt; 25, "18–24",
      IF(VALUE(C132) &lt; 35, "25–34",
        IF(VALUE(C132) &lt; 45, "35–44",
          IF(VALUE(C132) &lt; 55, "45–54",
            IF(VALUE(C132) &lt; 65, "55–64", "65+")
          )
        )
      )
    )
  )
)</f>
        <v>35–44</v>
      </c>
      <c r="E132" t="s">
        <v>225</v>
      </c>
      <c r="F132" t="s">
        <v>228</v>
      </c>
      <c r="G132" t="s">
        <v>242</v>
      </c>
      <c r="H132" t="str">
        <f t="shared" ref="H132:H195" si="9">IF(OR(G132="Other",G132="Black / African / Caribbean", G132="Asian"), "BAME", "White")</f>
        <v>White</v>
      </c>
      <c r="I132" t="s">
        <v>247</v>
      </c>
      <c r="J132" t="s">
        <v>250</v>
      </c>
      <c r="K132" s="5">
        <v>45374</v>
      </c>
      <c r="L132" s="7" t="str">
        <f t="shared" si="7"/>
        <v>March 2024</v>
      </c>
      <c r="M132" s="5">
        <v>45421</v>
      </c>
      <c r="N132" s="5">
        <f>IF(ISNUMBER(Table32[[#This Row],[Date Assessed]]),Table32[[#This Row],[Date Assessed]], DATE(1900,1,1))</f>
        <v>45421</v>
      </c>
      <c r="O132" s="13">
        <f>IF(OR(Table32[[#This Row],[Date Assessed]]="N/A",  Table32[[#This Row],[Date Referred]] = "N/A"), "N/A",  Table32[[#This Row],[Date Assessed]]-Table32[[#This Row],[Date Referred]])</f>
        <v>47</v>
      </c>
      <c r="P132" s="18">
        <v>45458</v>
      </c>
      <c r="Q132" s="5">
        <f>IF(ISNUMBER(Table32[[#This Row],[Date Allocated]]),Table32[[#This Row],[Date Allocated]],DATE(1900,1,1))</f>
        <v>45458</v>
      </c>
      <c r="R132" s="14">
        <f>IF(OR(Table32[[#This Row],[Date Assessed]]="N/A",Table32[[#This Row],[Date Allocated]]="N/A"),"N/A",Table32[[#This Row],[Date Allocated]]-Table32[[#This Row],[Date Assessed]])</f>
        <v>37</v>
      </c>
      <c r="S132" s="5">
        <v>45623</v>
      </c>
      <c r="T132" t="s">
        <v>255</v>
      </c>
      <c r="U132" t="s">
        <v>261</v>
      </c>
    </row>
    <row r="133" spans="1:21" x14ac:dyDescent="0.2">
      <c r="A133" s="4" t="s">
        <v>143</v>
      </c>
      <c r="B133" s="5">
        <v>25435</v>
      </c>
      <c r="C133">
        <f t="shared" ref="C133:C196" ca="1" si="10">INT((TODAY()-B133)/365.25)</f>
        <v>56</v>
      </c>
      <c r="D133" t="str">
        <f t="shared" ca="1" si="8"/>
        <v>55–64</v>
      </c>
      <c r="E133" t="s">
        <v>225</v>
      </c>
      <c r="F133" t="s">
        <v>230</v>
      </c>
      <c r="G133" t="s">
        <v>243</v>
      </c>
      <c r="H133" t="str">
        <f t="shared" si="9"/>
        <v>BAME</v>
      </c>
      <c r="I133" t="s">
        <v>246</v>
      </c>
      <c r="J133" t="s">
        <v>253</v>
      </c>
      <c r="K133" s="5">
        <v>45434</v>
      </c>
      <c r="L133" s="7" t="str">
        <f t="shared" ref="L133:L196" si="11">TEXT(K133,"mmmm yyyyy")</f>
        <v>May 2024</v>
      </c>
      <c r="M133" s="5" t="s">
        <v>226</v>
      </c>
      <c r="N133" s="5">
        <f>IF(ISNUMBER(Table32[[#This Row],[Date Assessed]]),Table32[[#This Row],[Date Assessed]], DATE(1900,1,1))</f>
        <v>1</v>
      </c>
      <c r="O133" s="13" t="str">
        <f>IF(OR(Table32[[#This Row],[Date Assessed]]="N/A",  Table32[[#This Row],[Date Referred]] = "N/A"), "N/A",  Table32[[#This Row],[Date Assessed]]-Table32[[#This Row],[Date Referred]])</f>
        <v>N/A</v>
      </c>
      <c r="P133" s="18" t="s">
        <v>226</v>
      </c>
      <c r="Q133" s="5">
        <f>IF(ISNUMBER(Table32[[#This Row],[Date Allocated]]),Table32[[#This Row],[Date Allocated]],DATE(1900,1,1))</f>
        <v>1</v>
      </c>
      <c r="R133" s="14" t="str">
        <f>IF(OR(Table32[[#This Row],[Date Assessed]]="N/A",Table32[[#This Row],[Date Allocated]]="N/A"),"N/A",Table32[[#This Row],[Date Allocated]]-Table32[[#This Row],[Date Assessed]])</f>
        <v>N/A</v>
      </c>
      <c r="S133" s="5" t="s">
        <v>226</v>
      </c>
      <c r="T133" t="s">
        <v>256</v>
      </c>
      <c r="U133" t="s">
        <v>325</v>
      </c>
    </row>
    <row r="134" spans="1:21" x14ac:dyDescent="0.2">
      <c r="A134" s="4" t="s">
        <v>144</v>
      </c>
      <c r="B134" s="5">
        <v>25783</v>
      </c>
      <c r="C134">
        <f t="shared" ca="1" si="10"/>
        <v>55</v>
      </c>
      <c r="D134" t="str">
        <f t="shared" ca="1" si="8"/>
        <v>55–64</v>
      </c>
      <c r="E134" t="s">
        <v>225</v>
      </c>
      <c r="F134" t="s">
        <v>228</v>
      </c>
      <c r="G134" t="s">
        <v>242</v>
      </c>
      <c r="H134" t="str">
        <f t="shared" si="9"/>
        <v>White</v>
      </c>
      <c r="I134" t="s">
        <v>247</v>
      </c>
      <c r="J134" t="s">
        <v>250</v>
      </c>
      <c r="K134" s="5">
        <v>45385</v>
      </c>
      <c r="L134" s="7" t="str">
        <f t="shared" si="11"/>
        <v>April 2024</v>
      </c>
      <c r="M134" s="5">
        <v>45417</v>
      </c>
      <c r="N134" s="5">
        <f>IF(ISNUMBER(Table32[[#This Row],[Date Assessed]]),Table32[[#This Row],[Date Assessed]], DATE(1900,1,1))</f>
        <v>45417</v>
      </c>
      <c r="O134" s="13">
        <f>IF(OR(Table32[[#This Row],[Date Assessed]]="N/A",  Table32[[#This Row],[Date Referred]] = "N/A"), "N/A",  Table32[[#This Row],[Date Assessed]]-Table32[[#This Row],[Date Referred]])</f>
        <v>32</v>
      </c>
      <c r="P134" s="18">
        <v>45421</v>
      </c>
      <c r="Q134" s="5">
        <f>IF(ISNUMBER(Table32[[#This Row],[Date Allocated]]),Table32[[#This Row],[Date Allocated]],DATE(1900,1,1))</f>
        <v>45421</v>
      </c>
      <c r="R134" s="14">
        <f>IF(OR(Table32[[#This Row],[Date Assessed]]="N/A",Table32[[#This Row],[Date Allocated]]="N/A"),"N/A",Table32[[#This Row],[Date Allocated]]-Table32[[#This Row],[Date Assessed]])</f>
        <v>4</v>
      </c>
      <c r="S134" s="5">
        <v>45550</v>
      </c>
      <c r="T134" t="s">
        <v>255</v>
      </c>
      <c r="U134" t="s">
        <v>272</v>
      </c>
    </row>
    <row r="135" spans="1:21" x14ac:dyDescent="0.2">
      <c r="A135" s="4" t="s">
        <v>145</v>
      </c>
      <c r="B135" s="5">
        <v>27751</v>
      </c>
      <c r="C135">
        <f t="shared" ca="1" si="10"/>
        <v>49</v>
      </c>
      <c r="D135" t="str">
        <f t="shared" ca="1" si="8"/>
        <v>45–54</v>
      </c>
      <c r="E135" t="s">
        <v>225</v>
      </c>
      <c r="F135" t="s">
        <v>230</v>
      </c>
      <c r="G135" t="s">
        <v>243</v>
      </c>
      <c r="H135" t="str">
        <f t="shared" si="9"/>
        <v>BAME</v>
      </c>
      <c r="I135" t="s">
        <v>247</v>
      </c>
      <c r="J135" t="s">
        <v>250</v>
      </c>
      <c r="K135" s="5">
        <v>45314</v>
      </c>
      <c r="L135" s="7" t="str">
        <f t="shared" si="11"/>
        <v>January 2024</v>
      </c>
      <c r="M135" s="5">
        <v>45317</v>
      </c>
      <c r="N135" s="5">
        <f>IF(ISNUMBER(Table32[[#This Row],[Date Assessed]]),Table32[[#This Row],[Date Assessed]], DATE(1900,1,1))</f>
        <v>45317</v>
      </c>
      <c r="O135" s="13">
        <f>IF(OR(Table32[[#This Row],[Date Assessed]]="N/A",  Table32[[#This Row],[Date Referred]] = "N/A"), "N/A",  Table32[[#This Row],[Date Assessed]]-Table32[[#This Row],[Date Referred]])</f>
        <v>3</v>
      </c>
      <c r="P135" s="18">
        <v>45368</v>
      </c>
      <c r="Q135" s="5">
        <f>IF(ISNUMBER(Table32[[#This Row],[Date Allocated]]),Table32[[#This Row],[Date Allocated]],DATE(1900,1,1))</f>
        <v>45368</v>
      </c>
      <c r="R135" s="14">
        <f>IF(OR(Table32[[#This Row],[Date Assessed]]="N/A",Table32[[#This Row],[Date Allocated]]="N/A"),"N/A",Table32[[#This Row],[Date Allocated]]-Table32[[#This Row],[Date Assessed]])</f>
        <v>51</v>
      </c>
      <c r="S135" s="5">
        <v>45547</v>
      </c>
      <c r="T135" t="s">
        <v>255</v>
      </c>
      <c r="U135" t="s">
        <v>263</v>
      </c>
    </row>
    <row r="136" spans="1:21" x14ac:dyDescent="0.2">
      <c r="A136" s="4" t="s">
        <v>146</v>
      </c>
      <c r="B136" s="5">
        <v>37912</v>
      </c>
      <c r="C136">
        <f t="shared" ca="1" si="10"/>
        <v>21</v>
      </c>
      <c r="D136" t="str">
        <f t="shared" ca="1" si="8"/>
        <v>18–24</v>
      </c>
      <c r="E136" t="s">
        <v>225</v>
      </c>
      <c r="F136" t="s">
        <v>229</v>
      </c>
      <c r="G136" t="s">
        <v>243</v>
      </c>
      <c r="H136" t="str">
        <f t="shared" si="9"/>
        <v>BAME</v>
      </c>
      <c r="I136" t="s">
        <v>247</v>
      </c>
      <c r="J136" t="s">
        <v>250</v>
      </c>
      <c r="K136" s="5">
        <v>45398</v>
      </c>
      <c r="L136" s="7" t="str">
        <f t="shared" si="11"/>
        <v>April 2024</v>
      </c>
      <c r="M136" s="5">
        <v>45427</v>
      </c>
      <c r="N136" s="5">
        <f>IF(ISNUMBER(Table32[[#This Row],[Date Assessed]]),Table32[[#This Row],[Date Assessed]], DATE(1900,1,1))</f>
        <v>45427</v>
      </c>
      <c r="O136" s="13">
        <f>IF(OR(Table32[[#This Row],[Date Assessed]]="N/A",  Table32[[#This Row],[Date Referred]] = "N/A"), "N/A",  Table32[[#This Row],[Date Assessed]]-Table32[[#This Row],[Date Referred]])</f>
        <v>29</v>
      </c>
      <c r="P136" s="18">
        <v>45435</v>
      </c>
      <c r="Q136" s="5">
        <f>IF(ISNUMBER(Table32[[#This Row],[Date Allocated]]),Table32[[#This Row],[Date Allocated]],DATE(1900,1,1))</f>
        <v>45435</v>
      </c>
      <c r="R136" s="14">
        <f>IF(OR(Table32[[#This Row],[Date Assessed]]="N/A",Table32[[#This Row],[Date Allocated]]="N/A"),"N/A",Table32[[#This Row],[Date Allocated]]-Table32[[#This Row],[Date Assessed]])</f>
        <v>8</v>
      </c>
      <c r="S136" s="5">
        <v>45614</v>
      </c>
      <c r="T136" t="s">
        <v>255</v>
      </c>
      <c r="U136" t="s">
        <v>272</v>
      </c>
    </row>
    <row r="137" spans="1:21" x14ac:dyDescent="0.2">
      <c r="A137" s="4" t="s">
        <v>147</v>
      </c>
      <c r="B137" s="5">
        <v>21807</v>
      </c>
      <c r="C137">
        <f t="shared" ca="1" si="10"/>
        <v>66</v>
      </c>
      <c r="D137" t="str">
        <f t="shared" ca="1" si="8"/>
        <v>65+</v>
      </c>
      <c r="E137" t="s">
        <v>225</v>
      </c>
      <c r="F137" t="s">
        <v>230</v>
      </c>
      <c r="G137" t="s">
        <v>243</v>
      </c>
      <c r="H137" t="str">
        <f t="shared" si="9"/>
        <v>BAME</v>
      </c>
      <c r="I137" t="s">
        <v>247</v>
      </c>
      <c r="J137" t="s">
        <v>253</v>
      </c>
      <c r="K137" s="5">
        <v>45464</v>
      </c>
      <c r="L137" s="7" t="str">
        <f t="shared" si="11"/>
        <v>June 2024</v>
      </c>
      <c r="M137" s="5">
        <v>45476</v>
      </c>
      <c r="N137" s="5">
        <f>IF(ISNUMBER(Table32[[#This Row],[Date Assessed]]),Table32[[#This Row],[Date Assessed]], DATE(1900,1,1))</f>
        <v>45476</v>
      </c>
      <c r="O137" s="13">
        <f>IF(OR(Table32[[#This Row],[Date Assessed]]="N/A",  Table32[[#This Row],[Date Referred]] = "N/A"), "N/A",  Table32[[#This Row],[Date Assessed]]-Table32[[#This Row],[Date Referred]])</f>
        <v>12</v>
      </c>
      <c r="P137" s="18">
        <v>45480</v>
      </c>
      <c r="Q137" s="5">
        <f>IF(ISNUMBER(Table32[[#This Row],[Date Allocated]]),Table32[[#This Row],[Date Allocated]],DATE(1900,1,1))</f>
        <v>45480</v>
      </c>
      <c r="R137" s="14">
        <f>IF(OR(Table32[[#This Row],[Date Assessed]]="N/A",Table32[[#This Row],[Date Allocated]]="N/A"),"N/A",Table32[[#This Row],[Date Allocated]]-Table32[[#This Row],[Date Assessed]])</f>
        <v>4</v>
      </c>
      <c r="S137" s="5">
        <v>45616</v>
      </c>
      <c r="T137" t="s">
        <v>255</v>
      </c>
      <c r="U137" t="s">
        <v>261</v>
      </c>
    </row>
    <row r="138" spans="1:21" x14ac:dyDescent="0.2">
      <c r="A138" s="4" t="s">
        <v>148</v>
      </c>
      <c r="B138" s="5">
        <v>35713</v>
      </c>
      <c r="C138">
        <f t="shared" ca="1" si="10"/>
        <v>27</v>
      </c>
      <c r="D138" t="str">
        <f t="shared" ca="1" si="8"/>
        <v>25–34</v>
      </c>
      <c r="E138" t="s">
        <v>225</v>
      </c>
      <c r="F138" t="s">
        <v>228</v>
      </c>
      <c r="G138" t="s">
        <v>242</v>
      </c>
      <c r="H138" t="str">
        <f t="shared" si="9"/>
        <v>White</v>
      </c>
      <c r="I138" t="s">
        <v>247</v>
      </c>
      <c r="J138" t="s">
        <v>252</v>
      </c>
      <c r="K138" s="5">
        <v>45623</v>
      </c>
      <c r="L138" s="7" t="str">
        <f t="shared" si="11"/>
        <v>November 2024</v>
      </c>
      <c r="M138" s="5">
        <v>45657</v>
      </c>
      <c r="N138" s="5">
        <f>IF(ISNUMBER(Table32[[#This Row],[Date Assessed]]),Table32[[#This Row],[Date Assessed]], DATE(1900,1,1))</f>
        <v>45657</v>
      </c>
      <c r="O138" s="13">
        <f>IF(OR(Table32[[#This Row],[Date Assessed]]="N/A",  Table32[[#This Row],[Date Referred]] = "N/A"), "N/A",  Table32[[#This Row],[Date Assessed]]-Table32[[#This Row],[Date Referred]])</f>
        <v>34</v>
      </c>
      <c r="P138" s="18" t="s">
        <v>226</v>
      </c>
      <c r="Q138" s="5">
        <f>IF(ISNUMBER(Table32[[#This Row],[Date Allocated]]),Table32[[#This Row],[Date Allocated]],DATE(1900,1,1))</f>
        <v>1</v>
      </c>
      <c r="R138" s="14" t="str">
        <f>IF(OR(Table32[[#This Row],[Date Assessed]]="N/A",Table32[[#This Row],[Date Allocated]]="N/A"),"N/A",Table32[[#This Row],[Date Allocated]]-Table32[[#This Row],[Date Assessed]])</f>
        <v>N/A</v>
      </c>
      <c r="S138" s="5" t="s">
        <v>226</v>
      </c>
      <c r="T138" t="s">
        <v>259</v>
      </c>
      <c r="U138" t="s">
        <v>325</v>
      </c>
    </row>
    <row r="139" spans="1:21" x14ac:dyDescent="0.2">
      <c r="A139" s="4" t="s">
        <v>149</v>
      </c>
      <c r="B139" s="5">
        <v>26020</v>
      </c>
      <c r="C139">
        <f t="shared" ca="1" si="10"/>
        <v>54</v>
      </c>
      <c r="D139" t="str">
        <f t="shared" ca="1" si="8"/>
        <v>45–54</v>
      </c>
      <c r="E139" t="s">
        <v>225</v>
      </c>
      <c r="F139" t="s">
        <v>228</v>
      </c>
      <c r="G139" t="s">
        <v>242</v>
      </c>
      <c r="H139" t="str">
        <f t="shared" si="9"/>
        <v>White</v>
      </c>
      <c r="I139" t="s">
        <v>247</v>
      </c>
      <c r="J139" t="s">
        <v>250</v>
      </c>
      <c r="K139" s="5">
        <v>45349</v>
      </c>
      <c r="L139" s="7" t="str">
        <f t="shared" si="11"/>
        <v>February 2024</v>
      </c>
      <c r="M139" s="5">
        <v>45355</v>
      </c>
      <c r="N139" s="5">
        <f>IF(ISNUMBER(Table32[[#This Row],[Date Assessed]]),Table32[[#This Row],[Date Assessed]], DATE(1900,1,1))</f>
        <v>45355</v>
      </c>
      <c r="O139" s="13">
        <f>IF(OR(Table32[[#This Row],[Date Assessed]]="N/A",  Table32[[#This Row],[Date Referred]] = "N/A"), "N/A",  Table32[[#This Row],[Date Assessed]]-Table32[[#This Row],[Date Referred]])</f>
        <v>6</v>
      </c>
      <c r="P139" s="18" t="s">
        <v>226</v>
      </c>
      <c r="Q139" s="5">
        <f>IF(ISNUMBER(Table32[[#This Row],[Date Allocated]]),Table32[[#This Row],[Date Allocated]],DATE(1900,1,1))</f>
        <v>1</v>
      </c>
      <c r="R139" s="14" t="str">
        <f>IF(OR(Table32[[#This Row],[Date Assessed]]="N/A",Table32[[#This Row],[Date Allocated]]="N/A"),"N/A",Table32[[#This Row],[Date Allocated]]-Table32[[#This Row],[Date Assessed]])</f>
        <v>N/A</v>
      </c>
      <c r="S139" s="5" t="s">
        <v>226</v>
      </c>
      <c r="T139" t="s">
        <v>259</v>
      </c>
      <c r="U139" t="s">
        <v>325</v>
      </c>
    </row>
    <row r="140" spans="1:21" x14ac:dyDescent="0.2">
      <c r="A140" s="4" t="s">
        <v>150</v>
      </c>
      <c r="B140" s="5">
        <v>28412</v>
      </c>
      <c r="C140">
        <f t="shared" ca="1" si="10"/>
        <v>47</v>
      </c>
      <c r="D140" t="str">
        <f t="shared" ca="1" si="8"/>
        <v>45–54</v>
      </c>
      <c r="E140" t="s">
        <v>224</v>
      </c>
      <c r="F140" t="s">
        <v>236</v>
      </c>
      <c r="G140" t="s">
        <v>227</v>
      </c>
      <c r="H140" t="str">
        <f t="shared" si="9"/>
        <v>BAME</v>
      </c>
      <c r="I140" t="s">
        <v>247</v>
      </c>
      <c r="J140" t="s">
        <v>251</v>
      </c>
      <c r="K140" s="5">
        <v>45405</v>
      </c>
      <c r="L140" s="7" t="str">
        <f t="shared" si="11"/>
        <v>April 2024</v>
      </c>
      <c r="M140" s="5">
        <v>45447</v>
      </c>
      <c r="N140" s="5">
        <f>IF(ISNUMBER(Table32[[#This Row],[Date Assessed]]),Table32[[#This Row],[Date Assessed]], DATE(1900,1,1))</f>
        <v>45447</v>
      </c>
      <c r="O140" s="13">
        <f>IF(OR(Table32[[#This Row],[Date Assessed]]="N/A",  Table32[[#This Row],[Date Referred]] = "N/A"), "N/A",  Table32[[#This Row],[Date Assessed]]-Table32[[#This Row],[Date Referred]])</f>
        <v>42</v>
      </c>
      <c r="P140" s="18">
        <v>45495</v>
      </c>
      <c r="Q140" s="5">
        <f>IF(ISNUMBER(Table32[[#This Row],[Date Allocated]]),Table32[[#This Row],[Date Allocated]],DATE(1900,1,1))</f>
        <v>45495</v>
      </c>
      <c r="R140" s="14">
        <f>IF(OR(Table32[[#This Row],[Date Assessed]]="N/A",Table32[[#This Row],[Date Allocated]]="N/A"),"N/A",Table32[[#This Row],[Date Allocated]]-Table32[[#This Row],[Date Assessed]])</f>
        <v>48</v>
      </c>
      <c r="S140" s="5">
        <v>45668</v>
      </c>
      <c r="T140" t="s">
        <v>255</v>
      </c>
      <c r="U140" t="s">
        <v>272</v>
      </c>
    </row>
    <row r="141" spans="1:21" x14ac:dyDescent="0.2">
      <c r="A141" s="4" t="s">
        <v>151</v>
      </c>
      <c r="B141" s="5">
        <v>34996</v>
      </c>
      <c r="C141">
        <f t="shared" ca="1" si="10"/>
        <v>29</v>
      </c>
      <c r="D141" t="str">
        <f t="shared" ca="1" si="8"/>
        <v>25–34</v>
      </c>
      <c r="E141" t="s">
        <v>224</v>
      </c>
      <c r="F141" t="s">
        <v>230</v>
      </c>
      <c r="G141" t="s">
        <v>243</v>
      </c>
      <c r="H141" t="str">
        <f t="shared" si="9"/>
        <v>BAME</v>
      </c>
      <c r="I141" t="s">
        <v>247</v>
      </c>
      <c r="J141" t="s">
        <v>252</v>
      </c>
      <c r="K141" s="5">
        <v>45603</v>
      </c>
      <c r="L141" s="7" t="str">
        <f t="shared" si="11"/>
        <v>November 2024</v>
      </c>
      <c r="M141" s="5">
        <v>45623</v>
      </c>
      <c r="N141" s="5">
        <f>IF(ISNUMBER(Table32[[#This Row],[Date Assessed]]),Table32[[#This Row],[Date Assessed]], DATE(1900,1,1))</f>
        <v>45623</v>
      </c>
      <c r="O141" s="13">
        <f>IF(OR(Table32[[#This Row],[Date Assessed]]="N/A",  Table32[[#This Row],[Date Referred]] = "N/A"), "N/A",  Table32[[#This Row],[Date Assessed]]-Table32[[#This Row],[Date Referred]])</f>
        <v>20</v>
      </c>
      <c r="P141" s="18">
        <v>45658</v>
      </c>
      <c r="Q141" s="5">
        <f>IF(ISNUMBER(Table32[[#This Row],[Date Allocated]]),Table32[[#This Row],[Date Allocated]],DATE(1900,1,1))</f>
        <v>45658</v>
      </c>
      <c r="R141" s="14">
        <f>IF(OR(Table32[[#This Row],[Date Assessed]]="N/A",Table32[[#This Row],[Date Allocated]]="N/A"),"N/A",Table32[[#This Row],[Date Allocated]]-Table32[[#This Row],[Date Assessed]])</f>
        <v>35</v>
      </c>
      <c r="S141" s="5">
        <v>45816</v>
      </c>
      <c r="T141" t="s">
        <v>255</v>
      </c>
      <c r="U141" t="s">
        <v>262</v>
      </c>
    </row>
    <row r="142" spans="1:21" x14ac:dyDescent="0.2">
      <c r="A142" s="4" t="s">
        <v>152</v>
      </c>
      <c r="B142" s="5">
        <v>29785</v>
      </c>
      <c r="C142">
        <f t="shared" ca="1" si="10"/>
        <v>44</v>
      </c>
      <c r="D142" t="str">
        <f t="shared" ca="1" si="8"/>
        <v>35–44</v>
      </c>
      <c r="E142" t="s">
        <v>224</v>
      </c>
      <c r="F142" t="s">
        <v>228</v>
      </c>
      <c r="G142" t="s">
        <v>242</v>
      </c>
      <c r="H142" t="str">
        <f t="shared" si="9"/>
        <v>White</v>
      </c>
      <c r="I142" t="s">
        <v>247</v>
      </c>
      <c r="J142" t="s">
        <v>251</v>
      </c>
      <c r="K142" s="5">
        <v>45555</v>
      </c>
      <c r="L142" s="7" t="str">
        <f t="shared" si="11"/>
        <v>September 2024</v>
      </c>
      <c r="M142" s="5">
        <v>45569</v>
      </c>
      <c r="N142" s="5">
        <f>IF(ISNUMBER(Table32[[#This Row],[Date Assessed]]),Table32[[#This Row],[Date Assessed]], DATE(1900,1,1))</f>
        <v>45569</v>
      </c>
      <c r="O142" s="13">
        <f>IF(OR(Table32[[#This Row],[Date Assessed]]="N/A",  Table32[[#This Row],[Date Referred]] = "N/A"), "N/A",  Table32[[#This Row],[Date Assessed]]-Table32[[#This Row],[Date Referred]])</f>
        <v>14</v>
      </c>
      <c r="P142" s="18">
        <v>45606</v>
      </c>
      <c r="Q142" s="5">
        <f>IF(ISNUMBER(Table32[[#This Row],[Date Allocated]]),Table32[[#This Row],[Date Allocated]],DATE(1900,1,1))</f>
        <v>45606</v>
      </c>
      <c r="R142" s="14">
        <f>IF(OR(Table32[[#This Row],[Date Assessed]]="N/A",Table32[[#This Row],[Date Allocated]]="N/A"),"N/A",Table32[[#This Row],[Date Allocated]]-Table32[[#This Row],[Date Assessed]])</f>
        <v>37</v>
      </c>
      <c r="S142" s="5">
        <v>45775</v>
      </c>
      <c r="T142" t="s">
        <v>255</v>
      </c>
      <c r="U142" t="s">
        <v>263</v>
      </c>
    </row>
    <row r="143" spans="1:21" x14ac:dyDescent="0.2">
      <c r="A143" s="4" t="s">
        <v>153</v>
      </c>
      <c r="B143" s="5">
        <v>25530</v>
      </c>
      <c r="C143">
        <f t="shared" ca="1" si="10"/>
        <v>55</v>
      </c>
      <c r="D143" t="str">
        <f t="shared" ca="1" si="8"/>
        <v>55–64</v>
      </c>
      <c r="E143" t="s">
        <v>225</v>
      </c>
      <c r="F143" t="s">
        <v>230</v>
      </c>
      <c r="G143" t="s">
        <v>243</v>
      </c>
      <c r="H143" t="str">
        <f t="shared" si="9"/>
        <v>BAME</v>
      </c>
      <c r="I143" t="s">
        <v>247</v>
      </c>
      <c r="J143" t="s">
        <v>252</v>
      </c>
      <c r="K143" s="5">
        <v>45571</v>
      </c>
      <c r="L143" s="7" t="str">
        <f t="shared" si="11"/>
        <v>October 2024</v>
      </c>
      <c r="M143" s="5">
        <v>45620</v>
      </c>
      <c r="N143" s="5">
        <f>IF(ISNUMBER(Table32[[#This Row],[Date Assessed]]),Table32[[#This Row],[Date Assessed]], DATE(1900,1,1))</f>
        <v>45620</v>
      </c>
      <c r="O143" s="13">
        <f>IF(OR(Table32[[#This Row],[Date Assessed]]="N/A",  Table32[[#This Row],[Date Referred]] = "N/A"), "N/A",  Table32[[#This Row],[Date Assessed]]-Table32[[#This Row],[Date Referred]])</f>
        <v>49</v>
      </c>
      <c r="P143" s="18">
        <v>45621</v>
      </c>
      <c r="Q143" s="5">
        <f>IF(ISNUMBER(Table32[[#This Row],[Date Allocated]]),Table32[[#This Row],[Date Allocated]],DATE(1900,1,1))</f>
        <v>45621</v>
      </c>
      <c r="R143" s="14">
        <f>IF(OR(Table32[[#This Row],[Date Assessed]]="N/A",Table32[[#This Row],[Date Allocated]]="N/A"),"N/A",Table32[[#This Row],[Date Allocated]]-Table32[[#This Row],[Date Assessed]])</f>
        <v>1</v>
      </c>
      <c r="S143" s="5">
        <v>45786</v>
      </c>
      <c r="T143" t="s">
        <v>255</v>
      </c>
      <c r="U143" t="s">
        <v>262</v>
      </c>
    </row>
    <row r="144" spans="1:21" x14ac:dyDescent="0.2">
      <c r="A144" s="4" t="s">
        <v>154</v>
      </c>
      <c r="B144" s="5">
        <v>37575</v>
      </c>
      <c r="C144">
        <f t="shared" ca="1" si="10"/>
        <v>22</v>
      </c>
      <c r="D144" t="str">
        <f t="shared" ca="1" si="8"/>
        <v>18–24</v>
      </c>
      <c r="E144" t="s">
        <v>225</v>
      </c>
      <c r="F144" t="s">
        <v>228</v>
      </c>
      <c r="G144" t="s">
        <v>242</v>
      </c>
      <c r="H144" t="str">
        <f t="shared" si="9"/>
        <v>White</v>
      </c>
      <c r="I144" t="s">
        <v>247</v>
      </c>
      <c r="J144" t="s">
        <v>253</v>
      </c>
      <c r="K144" s="5">
        <v>45530</v>
      </c>
      <c r="L144" s="7" t="str">
        <f t="shared" si="11"/>
        <v>August 2024</v>
      </c>
      <c r="M144" s="5">
        <v>45540</v>
      </c>
      <c r="N144" s="5">
        <f>IF(ISNUMBER(Table32[[#This Row],[Date Assessed]]),Table32[[#This Row],[Date Assessed]], DATE(1900,1,1))</f>
        <v>45540</v>
      </c>
      <c r="O144" s="13">
        <f>IF(OR(Table32[[#This Row],[Date Assessed]]="N/A",  Table32[[#This Row],[Date Referred]] = "N/A"), "N/A",  Table32[[#This Row],[Date Assessed]]-Table32[[#This Row],[Date Referred]])</f>
        <v>10</v>
      </c>
      <c r="P144" s="18">
        <v>45572</v>
      </c>
      <c r="Q144" s="5">
        <f>IF(ISNUMBER(Table32[[#This Row],[Date Allocated]]),Table32[[#This Row],[Date Allocated]],DATE(1900,1,1))</f>
        <v>45572</v>
      </c>
      <c r="R144" s="14">
        <f>IF(OR(Table32[[#This Row],[Date Assessed]]="N/A",Table32[[#This Row],[Date Allocated]]="N/A"),"N/A",Table32[[#This Row],[Date Allocated]]-Table32[[#This Row],[Date Assessed]])</f>
        <v>32</v>
      </c>
      <c r="S144" s="5">
        <v>45743</v>
      </c>
      <c r="T144" t="s">
        <v>255</v>
      </c>
      <c r="U144" t="s">
        <v>264</v>
      </c>
    </row>
    <row r="145" spans="1:21" x14ac:dyDescent="0.2">
      <c r="A145" s="4" t="s">
        <v>155</v>
      </c>
      <c r="B145" s="5">
        <v>26400</v>
      </c>
      <c r="C145">
        <f t="shared" ca="1" si="10"/>
        <v>53</v>
      </c>
      <c r="D145" t="str">
        <f t="shared" ca="1" si="8"/>
        <v>45–54</v>
      </c>
      <c r="E145" t="s">
        <v>225</v>
      </c>
      <c r="F145" t="s">
        <v>228</v>
      </c>
      <c r="G145" t="s">
        <v>242</v>
      </c>
      <c r="H145" t="str">
        <f t="shared" si="9"/>
        <v>White</v>
      </c>
      <c r="I145" t="s">
        <v>247</v>
      </c>
      <c r="J145" t="s">
        <v>253</v>
      </c>
      <c r="K145" s="5">
        <v>45417</v>
      </c>
      <c r="L145" s="7" t="str">
        <f t="shared" si="11"/>
        <v>May 2024</v>
      </c>
      <c r="M145" s="5">
        <v>45433</v>
      </c>
      <c r="N145" s="5">
        <f>IF(ISNUMBER(Table32[[#This Row],[Date Assessed]]),Table32[[#This Row],[Date Assessed]], DATE(1900,1,1))</f>
        <v>45433</v>
      </c>
      <c r="O145" s="13">
        <f>IF(OR(Table32[[#This Row],[Date Assessed]]="N/A",  Table32[[#This Row],[Date Referred]] = "N/A"), "N/A",  Table32[[#This Row],[Date Assessed]]-Table32[[#This Row],[Date Referred]])</f>
        <v>16</v>
      </c>
      <c r="P145" s="18">
        <v>45477</v>
      </c>
      <c r="Q145" s="5">
        <f>IF(ISNUMBER(Table32[[#This Row],[Date Allocated]]),Table32[[#This Row],[Date Allocated]],DATE(1900,1,1))</f>
        <v>45477</v>
      </c>
      <c r="R145" s="14">
        <f>IF(OR(Table32[[#This Row],[Date Assessed]]="N/A",Table32[[#This Row],[Date Allocated]]="N/A"),"N/A",Table32[[#This Row],[Date Allocated]]-Table32[[#This Row],[Date Assessed]])</f>
        <v>44</v>
      </c>
      <c r="S145" s="5">
        <v>45635</v>
      </c>
      <c r="T145" t="s">
        <v>255</v>
      </c>
      <c r="U145" t="s">
        <v>263</v>
      </c>
    </row>
    <row r="146" spans="1:21" x14ac:dyDescent="0.2">
      <c r="A146" s="4" t="s">
        <v>156</v>
      </c>
      <c r="B146" s="5">
        <v>23472</v>
      </c>
      <c r="C146">
        <f t="shared" ca="1" si="10"/>
        <v>61</v>
      </c>
      <c r="D146" t="str">
        <f t="shared" ca="1" si="8"/>
        <v>55–64</v>
      </c>
      <c r="E146" t="s">
        <v>224</v>
      </c>
      <c r="F146" t="s">
        <v>230</v>
      </c>
      <c r="G146" t="s">
        <v>243</v>
      </c>
      <c r="H146" t="str">
        <f t="shared" si="9"/>
        <v>BAME</v>
      </c>
      <c r="I146" t="s">
        <v>247</v>
      </c>
      <c r="J146" t="s">
        <v>252</v>
      </c>
      <c r="K146" s="5">
        <v>45405</v>
      </c>
      <c r="L146" s="7" t="str">
        <f t="shared" si="11"/>
        <v>April 2024</v>
      </c>
      <c r="M146" s="5">
        <v>45414</v>
      </c>
      <c r="N146" s="5">
        <f>IF(ISNUMBER(Table32[[#This Row],[Date Assessed]]),Table32[[#This Row],[Date Assessed]], DATE(1900,1,1))</f>
        <v>45414</v>
      </c>
      <c r="O146" s="13">
        <f>IF(OR(Table32[[#This Row],[Date Assessed]]="N/A",  Table32[[#This Row],[Date Referred]] = "N/A"), "N/A",  Table32[[#This Row],[Date Assessed]]-Table32[[#This Row],[Date Referred]])</f>
        <v>9</v>
      </c>
      <c r="P146" s="18">
        <v>45472</v>
      </c>
      <c r="Q146" s="5">
        <f>IF(ISNUMBER(Table32[[#This Row],[Date Allocated]]),Table32[[#This Row],[Date Allocated]],DATE(1900,1,1))</f>
        <v>45472</v>
      </c>
      <c r="R146" s="14">
        <f>IF(OR(Table32[[#This Row],[Date Assessed]]="N/A",Table32[[#This Row],[Date Allocated]]="N/A"),"N/A",Table32[[#This Row],[Date Allocated]]-Table32[[#This Row],[Date Assessed]])</f>
        <v>58</v>
      </c>
      <c r="S146" s="5">
        <v>45609</v>
      </c>
      <c r="T146" t="s">
        <v>255</v>
      </c>
      <c r="U146" t="s">
        <v>272</v>
      </c>
    </row>
    <row r="147" spans="1:21" x14ac:dyDescent="0.2">
      <c r="A147" s="4" t="s">
        <v>157</v>
      </c>
      <c r="B147" s="5">
        <v>35044</v>
      </c>
      <c r="C147">
        <f t="shared" ca="1" si="10"/>
        <v>29</v>
      </c>
      <c r="D147" t="str">
        <f t="shared" ca="1" si="8"/>
        <v>25–34</v>
      </c>
      <c r="E147" t="s">
        <v>225</v>
      </c>
      <c r="F147" t="s">
        <v>228</v>
      </c>
      <c r="G147" t="s">
        <v>242</v>
      </c>
      <c r="H147" t="str">
        <f t="shared" si="9"/>
        <v>White</v>
      </c>
      <c r="I147" t="s">
        <v>247</v>
      </c>
      <c r="J147" t="s">
        <v>253</v>
      </c>
      <c r="K147" s="5">
        <v>45502</v>
      </c>
      <c r="L147" s="7" t="str">
        <f t="shared" si="11"/>
        <v>July 2024</v>
      </c>
      <c r="M147" s="5">
        <v>45516</v>
      </c>
      <c r="N147" s="5">
        <f>IF(ISNUMBER(Table32[[#This Row],[Date Assessed]]),Table32[[#This Row],[Date Assessed]], DATE(1900,1,1))</f>
        <v>45516</v>
      </c>
      <c r="O147" s="13">
        <f>IF(OR(Table32[[#This Row],[Date Assessed]]="N/A",  Table32[[#This Row],[Date Referred]] = "N/A"), "N/A",  Table32[[#This Row],[Date Assessed]]-Table32[[#This Row],[Date Referred]])</f>
        <v>14</v>
      </c>
      <c r="P147" s="18">
        <v>45523</v>
      </c>
      <c r="Q147" s="5">
        <f>IF(ISNUMBER(Table32[[#This Row],[Date Allocated]]),Table32[[#This Row],[Date Allocated]],DATE(1900,1,1))</f>
        <v>45523</v>
      </c>
      <c r="R147" s="14">
        <f>IF(OR(Table32[[#This Row],[Date Assessed]]="N/A",Table32[[#This Row],[Date Allocated]]="N/A"),"N/A",Table32[[#This Row],[Date Allocated]]-Table32[[#This Row],[Date Assessed]])</f>
        <v>7</v>
      </c>
      <c r="S147" s="5">
        <v>45673</v>
      </c>
      <c r="T147" t="s">
        <v>255</v>
      </c>
      <c r="U147" t="s">
        <v>272</v>
      </c>
    </row>
    <row r="148" spans="1:21" x14ac:dyDescent="0.2">
      <c r="A148" s="4" t="s">
        <v>158</v>
      </c>
      <c r="B148" s="5">
        <v>26656</v>
      </c>
      <c r="C148">
        <f t="shared" ca="1" si="10"/>
        <v>52</v>
      </c>
      <c r="D148" t="str">
        <f t="shared" ca="1" si="8"/>
        <v>45–54</v>
      </c>
      <c r="E148" t="s">
        <v>224</v>
      </c>
      <c r="F148" t="s">
        <v>230</v>
      </c>
      <c r="G148" t="s">
        <v>243</v>
      </c>
      <c r="H148" t="str">
        <f t="shared" si="9"/>
        <v>BAME</v>
      </c>
      <c r="I148" t="s">
        <v>247</v>
      </c>
      <c r="J148" t="s">
        <v>253</v>
      </c>
      <c r="K148" s="5">
        <v>45486</v>
      </c>
      <c r="L148" s="7" t="str">
        <f t="shared" si="11"/>
        <v>July 2024</v>
      </c>
      <c r="M148" s="5">
        <v>45531</v>
      </c>
      <c r="N148" s="5">
        <f>IF(ISNUMBER(Table32[[#This Row],[Date Assessed]]),Table32[[#This Row],[Date Assessed]], DATE(1900,1,1))</f>
        <v>45531</v>
      </c>
      <c r="O148" s="13">
        <f>IF(OR(Table32[[#This Row],[Date Assessed]]="N/A",  Table32[[#This Row],[Date Referred]] = "N/A"), "N/A",  Table32[[#This Row],[Date Assessed]]-Table32[[#This Row],[Date Referred]])</f>
        <v>45</v>
      </c>
      <c r="P148" s="18">
        <v>45556</v>
      </c>
      <c r="Q148" s="5">
        <f>IF(ISNUMBER(Table32[[#This Row],[Date Allocated]]),Table32[[#This Row],[Date Allocated]],DATE(1900,1,1))</f>
        <v>45556</v>
      </c>
      <c r="R148" s="14">
        <f>IF(OR(Table32[[#This Row],[Date Assessed]]="N/A",Table32[[#This Row],[Date Allocated]]="N/A"),"N/A",Table32[[#This Row],[Date Allocated]]-Table32[[#This Row],[Date Assessed]])</f>
        <v>25</v>
      </c>
      <c r="S148" s="5">
        <v>45695</v>
      </c>
      <c r="T148" t="s">
        <v>255</v>
      </c>
      <c r="U148" t="s">
        <v>272</v>
      </c>
    </row>
    <row r="149" spans="1:21" x14ac:dyDescent="0.2">
      <c r="A149" s="4" t="s">
        <v>159</v>
      </c>
      <c r="B149" s="5">
        <v>27693</v>
      </c>
      <c r="C149">
        <f t="shared" ca="1" si="10"/>
        <v>49</v>
      </c>
      <c r="D149" t="str">
        <f t="shared" ca="1" si="8"/>
        <v>45–54</v>
      </c>
      <c r="E149" t="s">
        <v>226</v>
      </c>
      <c r="F149" t="s">
        <v>229</v>
      </c>
      <c r="G149" t="s">
        <v>243</v>
      </c>
      <c r="H149" t="str">
        <f t="shared" si="9"/>
        <v>BAME</v>
      </c>
      <c r="I149" t="s">
        <v>247</v>
      </c>
      <c r="J149" t="s">
        <v>253</v>
      </c>
      <c r="K149" s="5">
        <v>45652</v>
      </c>
      <c r="L149" s="7" t="str">
        <f t="shared" si="11"/>
        <v>December 2024</v>
      </c>
      <c r="M149" s="5">
        <v>45675</v>
      </c>
      <c r="N149" s="5">
        <f>IF(ISNUMBER(Table32[[#This Row],[Date Assessed]]),Table32[[#This Row],[Date Assessed]], DATE(1900,1,1))</f>
        <v>45675</v>
      </c>
      <c r="O149" s="13">
        <f>IF(OR(Table32[[#This Row],[Date Assessed]]="N/A",  Table32[[#This Row],[Date Referred]] = "N/A"), "N/A",  Table32[[#This Row],[Date Assessed]]-Table32[[#This Row],[Date Referred]])</f>
        <v>23</v>
      </c>
      <c r="P149" s="18">
        <v>45696</v>
      </c>
      <c r="Q149" s="5">
        <f>IF(ISNUMBER(Table32[[#This Row],[Date Allocated]]),Table32[[#This Row],[Date Allocated]],DATE(1900,1,1))</f>
        <v>45696</v>
      </c>
      <c r="R149" s="14">
        <f>IF(OR(Table32[[#This Row],[Date Assessed]]="N/A",Table32[[#This Row],[Date Allocated]]="N/A"),"N/A",Table32[[#This Row],[Date Allocated]]-Table32[[#This Row],[Date Assessed]])</f>
        <v>21</v>
      </c>
      <c r="S149" s="5">
        <v>45860</v>
      </c>
      <c r="T149" t="s">
        <v>255</v>
      </c>
      <c r="U149" t="s">
        <v>261</v>
      </c>
    </row>
    <row r="150" spans="1:21" x14ac:dyDescent="0.2">
      <c r="A150" s="4" t="s">
        <v>160</v>
      </c>
      <c r="B150" s="5">
        <v>26127</v>
      </c>
      <c r="C150">
        <f t="shared" ca="1" si="10"/>
        <v>54</v>
      </c>
      <c r="D150" t="str">
        <f t="shared" ca="1" si="8"/>
        <v>45–54</v>
      </c>
      <c r="E150" t="s">
        <v>225</v>
      </c>
      <c r="F150" t="s">
        <v>228</v>
      </c>
      <c r="G150" t="s">
        <v>242</v>
      </c>
      <c r="H150" t="str">
        <f t="shared" si="9"/>
        <v>White</v>
      </c>
      <c r="I150" t="s">
        <v>247</v>
      </c>
      <c r="J150" t="s">
        <v>252</v>
      </c>
      <c r="K150" s="5">
        <v>45322</v>
      </c>
      <c r="L150" s="7" t="str">
        <f t="shared" si="11"/>
        <v>January 2024</v>
      </c>
      <c r="M150" s="5">
        <v>45353</v>
      </c>
      <c r="N150" s="5">
        <f>IF(ISNUMBER(Table32[[#This Row],[Date Assessed]]),Table32[[#This Row],[Date Assessed]], DATE(1900,1,1))</f>
        <v>45353</v>
      </c>
      <c r="O150" s="13">
        <f>IF(OR(Table32[[#This Row],[Date Assessed]]="N/A",  Table32[[#This Row],[Date Referred]] = "N/A"), "N/A",  Table32[[#This Row],[Date Assessed]]-Table32[[#This Row],[Date Referred]])</f>
        <v>31</v>
      </c>
      <c r="P150" s="18">
        <v>45379</v>
      </c>
      <c r="Q150" s="5">
        <f>IF(ISNUMBER(Table32[[#This Row],[Date Allocated]]),Table32[[#This Row],[Date Allocated]],DATE(1900,1,1))</f>
        <v>45379</v>
      </c>
      <c r="R150" s="14">
        <f>IF(OR(Table32[[#This Row],[Date Assessed]]="N/A",Table32[[#This Row],[Date Allocated]]="N/A"),"N/A",Table32[[#This Row],[Date Allocated]]-Table32[[#This Row],[Date Assessed]])</f>
        <v>26</v>
      </c>
      <c r="S150" s="5">
        <v>45554</v>
      </c>
      <c r="T150" t="s">
        <v>255</v>
      </c>
      <c r="U150" t="s">
        <v>264</v>
      </c>
    </row>
    <row r="151" spans="1:21" x14ac:dyDescent="0.2">
      <c r="A151" s="4" t="s">
        <v>161</v>
      </c>
      <c r="B151" s="5">
        <v>25721</v>
      </c>
      <c r="C151">
        <f t="shared" ca="1" si="10"/>
        <v>55</v>
      </c>
      <c r="D151" t="str">
        <f t="shared" ca="1" si="8"/>
        <v>55–64</v>
      </c>
      <c r="E151" t="s">
        <v>225</v>
      </c>
      <c r="F151" t="s">
        <v>230</v>
      </c>
      <c r="G151" t="s">
        <v>243</v>
      </c>
      <c r="H151" t="str">
        <f t="shared" si="9"/>
        <v>BAME</v>
      </c>
      <c r="I151" t="s">
        <v>247</v>
      </c>
      <c r="J151" t="s">
        <v>252</v>
      </c>
      <c r="K151" s="5">
        <v>45360</v>
      </c>
      <c r="L151" s="7" t="str">
        <f t="shared" si="11"/>
        <v>March 2024</v>
      </c>
      <c r="M151" s="5">
        <v>45389</v>
      </c>
      <c r="N151" s="5">
        <f>IF(ISNUMBER(Table32[[#This Row],[Date Assessed]]),Table32[[#This Row],[Date Assessed]], DATE(1900,1,1))</f>
        <v>45389</v>
      </c>
      <c r="O151" s="13">
        <f>IF(OR(Table32[[#This Row],[Date Assessed]]="N/A",  Table32[[#This Row],[Date Referred]] = "N/A"), "N/A",  Table32[[#This Row],[Date Assessed]]-Table32[[#This Row],[Date Referred]])</f>
        <v>29</v>
      </c>
      <c r="P151" s="18">
        <v>45447</v>
      </c>
      <c r="Q151" s="5">
        <f>IF(ISNUMBER(Table32[[#This Row],[Date Allocated]]),Table32[[#This Row],[Date Allocated]],DATE(1900,1,1))</f>
        <v>45447</v>
      </c>
      <c r="R151" s="14">
        <f>IF(OR(Table32[[#This Row],[Date Assessed]]="N/A",Table32[[#This Row],[Date Allocated]]="N/A"),"N/A",Table32[[#This Row],[Date Allocated]]-Table32[[#This Row],[Date Assessed]])</f>
        <v>58</v>
      </c>
      <c r="S151" s="5">
        <v>45627</v>
      </c>
      <c r="T151" t="s">
        <v>255</v>
      </c>
      <c r="U151" t="s">
        <v>261</v>
      </c>
    </row>
    <row r="152" spans="1:21" x14ac:dyDescent="0.2">
      <c r="A152" s="4" t="s">
        <v>162</v>
      </c>
      <c r="B152" s="5">
        <v>37736</v>
      </c>
      <c r="C152">
        <f t="shared" ca="1" si="10"/>
        <v>22</v>
      </c>
      <c r="D152" t="str">
        <f t="shared" ca="1" si="8"/>
        <v>18–24</v>
      </c>
      <c r="E152" t="s">
        <v>225</v>
      </c>
      <c r="F152" t="s">
        <v>231</v>
      </c>
      <c r="G152" t="s">
        <v>241</v>
      </c>
      <c r="H152" t="str">
        <f t="shared" si="9"/>
        <v>BAME</v>
      </c>
      <c r="I152" t="s">
        <v>246</v>
      </c>
      <c r="J152" t="s">
        <v>253</v>
      </c>
      <c r="K152" s="5">
        <v>45326</v>
      </c>
      <c r="L152" s="7" t="str">
        <f t="shared" si="11"/>
        <v>February 2024</v>
      </c>
      <c r="M152" s="5">
        <v>45356</v>
      </c>
      <c r="N152" s="5">
        <f>IF(ISNUMBER(Table32[[#This Row],[Date Assessed]]),Table32[[#This Row],[Date Assessed]], DATE(1900,1,1))</f>
        <v>45356</v>
      </c>
      <c r="O152" s="13">
        <f>IF(OR(Table32[[#This Row],[Date Assessed]]="N/A",  Table32[[#This Row],[Date Referred]] = "N/A"), "N/A",  Table32[[#This Row],[Date Assessed]]-Table32[[#This Row],[Date Referred]])</f>
        <v>30</v>
      </c>
      <c r="P152" s="18">
        <v>45366</v>
      </c>
      <c r="Q152" s="5">
        <f>IF(ISNUMBER(Table32[[#This Row],[Date Allocated]]),Table32[[#This Row],[Date Allocated]],DATE(1900,1,1))</f>
        <v>45366</v>
      </c>
      <c r="R152" s="14">
        <f>IF(OR(Table32[[#This Row],[Date Assessed]]="N/A",Table32[[#This Row],[Date Allocated]]="N/A"),"N/A",Table32[[#This Row],[Date Allocated]]-Table32[[#This Row],[Date Assessed]])</f>
        <v>10</v>
      </c>
      <c r="S152" s="5">
        <v>45486</v>
      </c>
      <c r="T152" t="s">
        <v>255</v>
      </c>
      <c r="U152" t="s">
        <v>261</v>
      </c>
    </row>
    <row r="153" spans="1:21" x14ac:dyDescent="0.2">
      <c r="A153" s="4" t="s">
        <v>163</v>
      </c>
      <c r="B153" s="5">
        <v>21799</v>
      </c>
      <c r="C153">
        <f t="shared" ca="1" si="10"/>
        <v>66</v>
      </c>
      <c r="D153" t="str">
        <f t="shared" ca="1" si="8"/>
        <v>65+</v>
      </c>
      <c r="E153" t="s">
        <v>225</v>
      </c>
      <c r="F153" t="s">
        <v>228</v>
      </c>
      <c r="G153" t="s">
        <v>242</v>
      </c>
      <c r="H153" t="str">
        <f t="shared" si="9"/>
        <v>White</v>
      </c>
      <c r="I153" t="s">
        <v>246</v>
      </c>
      <c r="J153" t="s">
        <v>254</v>
      </c>
      <c r="K153" s="5">
        <v>45364</v>
      </c>
      <c r="L153" s="7" t="str">
        <f t="shared" si="11"/>
        <v>March 2024</v>
      </c>
      <c r="M153" s="5">
        <v>45380</v>
      </c>
      <c r="N153" s="5">
        <f>IF(ISNUMBER(Table32[[#This Row],[Date Assessed]]),Table32[[#This Row],[Date Assessed]], DATE(1900,1,1))</f>
        <v>45380</v>
      </c>
      <c r="O153" s="13">
        <f>IF(OR(Table32[[#This Row],[Date Assessed]]="N/A",  Table32[[#This Row],[Date Referred]] = "N/A"), "N/A",  Table32[[#This Row],[Date Assessed]]-Table32[[#This Row],[Date Referred]])</f>
        <v>16</v>
      </c>
      <c r="P153" s="18">
        <v>45425</v>
      </c>
      <c r="Q153" s="5">
        <f>IF(ISNUMBER(Table32[[#This Row],[Date Allocated]]),Table32[[#This Row],[Date Allocated]],DATE(1900,1,1))</f>
        <v>45425</v>
      </c>
      <c r="R153" s="14">
        <f>IF(OR(Table32[[#This Row],[Date Assessed]]="N/A",Table32[[#This Row],[Date Allocated]]="N/A"),"N/A",Table32[[#This Row],[Date Allocated]]-Table32[[#This Row],[Date Assessed]])</f>
        <v>45</v>
      </c>
      <c r="S153" s="5">
        <v>45579</v>
      </c>
      <c r="T153" t="s">
        <v>255</v>
      </c>
      <c r="U153" t="s">
        <v>263</v>
      </c>
    </row>
    <row r="154" spans="1:21" x14ac:dyDescent="0.2">
      <c r="A154" s="4" t="s">
        <v>164</v>
      </c>
      <c r="B154" s="5">
        <v>34340</v>
      </c>
      <c r="C154">
        <f t="shared" ca="1" si="10"/>
        <v>31</v>
      </c>
      <c r="D154" t="str">
        <f t="shared" ca="1" si="8"/>
        <v>25–34</v>
      </c>
      <c r="E154" t="s">
        <v>225</v>
      </c>
      <c r="F154" t="s">
        <v>229</v>
      </c>
      <c r="G154" t="s">
        <v>243</v>
      </c>
      <c r="H154" t="str">
        <f t="shared" si="9"/>
        <v>BAME</v>
      </c>
      <c r="I154" t="s">
        <v>247</v>
      </c>
      <c r="J154" t="s">
        <v>252</v>
      </c>
      <c r="K154" s="5">
        <v>45317</v>
      </c>
      <c r="L154" s="7" t="str">
        <f t="shared" si="11"/>
        <v>January 2024</v>
      </c>
      <c r="M154" s="5">
        <v>45325</v>
      </c>
      <c r="N154" s="5">
        <f>IF(ISNUMBER(Table32[[#This Row],[Date Assessed]]),Table32[[#This Row],[Date Assessed]], DATE(1900,1,1))</f>
        <v>45325</v>
      </c>
      <c r="O154" s="13">
        <f>IF(OR(Table32[[#This Row],[Date Assessed]]="N/A",  Table32[[#This Row],[Date Referred]] = "N/A"), "N/A",  Table32[[#This Row],[Date Assessed]]-Table32[[#This Row],[Date Referred]])</f>
        <v>8</v>
      </c>
      <c r="P154" s="18">
        <v>45369</v>
      </c>
      <c r="Q154" s="5">
        <f>IF(ISNUMBER(Table32[[#This Row],[Date Allocated]]),Table32[[#This Row],[Date Allocated]],DATE(1900,1,1))</f>
        <v>45369</v>
      </c>
      <c r="R154" s="14">
        <f>IF(OR(Table32[[#This Row],[Date Assessed]]="N/A",Table32[[#This Row],[Date Allocated]]="N/A"),"N/A",Table32[[#This Row],[Date Allocated]]-Table32[[#This Row],[Date Assessed]])</f>
        <v>44</v>
      </c>
      <c r="S154" s="5">
        <v>45495</v>
      </c>
      <c r="T154" t="s">
        <v>255</v>
      </c>
      <c r="U154" t="s">
        <v>261</v>
      </c>
    </row>
    <row r="155" spans="1:21" x14ac:dyDescent="0.2">
      <c r="A155" s="4" t="s">
        <v>165</v>
      </c>
      <c r="B155" s="5">
        <v>23938</v>
      </c>
      <c r="C155">
        <f t="shared" ca="1" si="10"/>
        <v>60</v>
      </c>
      <c r="D155" t="str">
        <f t="shared" ca="1" si="8"/>
        <v>55–64</v>
      </c>
      <c r="E155" t="s">
        <v>225</v>
      </c>
      <c r="F155" t="s">
        <v>229</v>
      </c>
      <c r="G155" t="s">
        <v>243</v>
      </c>
      <c r="H155" t="str">
        <f t="shared" si="9"/>
        <v>BAME</v>
      </c>
      <c r="I155" t="s">
        <v>247</v>
      </c>
      <c r="J155" t="s">
        <v>250</v>
      </c>
      <c r="K155" s="5">
        <v>45303</v>
      </c>
      <c r="L155" s="7" t="str">
        <f t="shared" si="11"/>
        <v>January 2024</v>
      </c>
      <c r="M155" s="5">
        <v>45352</v>
      </c>
      <c r="N155" s="5">
        <f>IF(ISNUMBER(Table32[[#This Row],[Date Assessed]]),Table32[[#This Row],[Date Assessed]], DATE(1900,1,1))</f>
        <v>45352</v>
      </c>
      <c r="O155" s="13">
        <f>IF(OR(Table32[[#This Row],[Date Assessed]]="N/A",  Table32[[#This Row],[Date Referred]] = "N/A"), "N/A",  Table32[[#This Row],[Date Assessed]]-Table32[[#This Row],[Date Referred]])</f>
        <v>49</v>
      </c>
      <c r="P155" s="18">
        <v>45359</v>
      </c>
      <c r="Q155" s="5">
        <f>IF(ISNUMBER(Table32[[#This Row],[Date Allocated]]),Table32[[#This Row],[Date Allocated]],DATE(1900,1,1))</f>
        <v>45359</v>
      </c>
      <c r="R155" s="14">
        <f>IF(OR(Table32[[#This Row],[Date Assessed]]="N/A",Table32[[#This Row],[Date Allocated]]="N/A"),"N/A",Table32[[#This Row],[Date Allocated]]-Table32[[#This Row],[Date Assessed]])</f>
        <v>7</v>
      </c>
      <c r="S155" s="5">
        <v>45507</v>
      </c>
      <c r="T155" t="s">
        <v>255</v>
      </c>
      <c r="U155" t="s">
        <v>272</v>
      </c>
    </row>
    <row r="156" spans="1:21" x14ac:dyDescent="0.2">
      <c r="A156" s="4" t="s">
        <v>166</v>
      </c>
      <c r="B156" s="5">
        <v>29337</v>
      </c>
      <c r="C156">
        <f t="shared" ca="1" si="10"/>
        <v>45</v>
      </c>
      <c r="D156" t="str">
        <f t="shared" ca="1" si="8"/>
        <v>45–54</v>
      </c>
      <c r="E156" t="s">
        <v>225</v>
      </c>
      <c r="F156" t="s">
        <v>232</v>
      </c>
      <c r="G156" t="s">
        <v>243</v>
      </c>
      <c r="H156" t="str">
        <f t="shared" si="9"/>
        <v>BAME</v>
      </c>
      <c r="I156" t="s">
        <v>248</v>
      </c>
      <c r="J156" t="s">
        <v>253</v>
      </c>
      <c r="K156" s="5">
        <v>45459</v>
      </c>
      <c r="L156" s="7" t="str">
        <f t="shared" si="11"/>
        <v>June 2024</v>
      </c>
      <c r="M156" s="5">
        <v>45461</v>
      </c>
      <c r="N156" s="5">
        <f>IF(ISNUMBER(Table32[[#This Row],[Date Assessed]]),Table32[[#This Row],[Date Assessed]], DATE(1900,1,1))</f>
        <v>45461</v>
      </c>
      <c r="O156" s="13">
        <f>IF(OR(Table32[[#This Row],[Date Assessed]]="N/A",  Table32[[#This Row],[Date Referred]] = "N/A"), "N/A",  Table32[[#This Row],[Date Assessed]]-Table32[[#This Row],[Date Referred]])</f>
        <v>2</v>
      </c>
      <c r="P156" s="18">
        <v>45476</v>
      </c>
      <c r="Q156" s="5">
        <f>IF(ISNUMBER(Table32[[#This Row],[Date Allocated]]),Table32[[#This Row],[Date Allocated]],DATE(1900,1,1))</f>
        <v>45476</v>
      </c>
      <c r="R156" s="14">
        <f>IF(OR(Table32[[#This Row],[Date Assessed]]="N/A",Table32[[#This Row],[Date Allocated]]="N/A"),"N/A",Table32[[#This Row],[Date Allocated]]-Table32[[#This Row],[Date Assessed]])</f>
        <v>15</v>
      </c>
      <c r="S156" s="5">
        <v>45615</v>
      </c>
      <c r="T156" t="s">
        <v>255</v>
      </c>
      <c r="U156" t="s">
        <v>272</v>
      </c>
    </row>
    <row r="157" spans="1:21" x14ac:dyDescent="0.2">
      <c r="A157" s="4" t="s">
        <v>167</v>
      </c>
      <c r="B157" s="5">
        <v>25261</v>
      </c>
      <c r="C157">
        <f t="shared" ca="1" si="10"/>
        <v>56</v>
      </c>
      <c r="D157" t="str">
        <f t="shared" ca="1" si="8"/>
        <v>55–64</v>
      </c>
      <c r="E157" t="s">
        <v>224</v>
      </c>
      <c r="F157" t="s">
        <v>228</v>
      </c>
      <c r="G157" t="s">
        <v>242</v>
      </c>
      <c r="H157" t="str">
        <f t="shared" si="9"/>
        <v>White</v>
      </c>
      <c r="I157" t="s">
        <v>247</v>
      </c>
      <c r="J157" t="s">
        <v>252</v>
      </c>
      <c r="K157" s="5">
        <v>45519</v>
      </c>
      <c r="L157" s="7" t="str">
        <f t="shared" si="11"/>
        <v>August 2024</v>
      </c>
      <c r="M157" s="5">
        <v>45526</v>
      </c>
      <c r="N157" s="5">
        <f>IF(ISNUMBER(Table32[[#This Row],[Date Assessed]]),Table32[[#This Row],[Date Assessed]], DATE(1900,1,1))</f>
        <v>45526</v>
      </c>
      <c r="O157" s="13">
        <f>IF(OR(Table32[[#This Row],[Date Assessed]]="N/A",  Table32[[#This Row],[Date Referred]] = "N/A"), "N/A",  Table32[[#This Row],[Date Assessed]]-Table32[[#This Row],[Date Referred]])</f>
        <v>7</v>
      </c>
      <c r="P157" s="18">
        <v>45559</v>
      </c>
      <c r="Q157" s="5">
        <f>IF(ISNUMBER(Table32[[#This Row],[Date Allocated]]),Table32[[#This Row],[Date Allocated]],DATE(1900,1,1))</f>
        <v>45559</v>
      </c>
      <c r="R157" s="14">
        <f>IF(OR(Table32[[#This Row],[Date Assessed]]="N/A",Table32[[#This Row],[Date Allocated]]="N/A"),"N/A",Table32[[#This Row],[Date Allocated]]-Table32[[#This Row],[Date Assessed]])</f>
        <v>33</v>
      </c>
      <c r="S157" s="5">
        <v>45724</v>
      </c>
      <c r="T157" t="s">
        <v>255</v>
      </c>
      <c r="U157" t="s">
        <v>261</v>
      </c>
    </row>
    <row r="158" spans="1:21" x14ac:dyDescent="0.2">
      <c r="A158" s="4" t="s">
        <v>168</v>
      </c>
      <c r="B158" s="5">
        <v>36055</v>
      </c>
      <c r="C158">
        <f t="shared" ca="1" si="10"/>
        <v>27</v>
      </c>
      <c r="D158" t="str">
        <f t="shared" ca="1" si="8"/>
        <v>25–34</v>
      </c>
      <c r="E158" t="s">
        <v>225</v>
      </c>
      <c r="F158" t="s">
        <v>230</v>
      </c>
      <c r="G158" t="s">
        <v>243</v>
      </c>
      <c r="H158" t="str">
        <f t="shared" si="9"/>
        <v>BAME</v>
      </c>
      <c r="I158" t="s">
        <v>247</v>
      </c>
      <c r="J158" t="s">
        <v>253</v>
      </c>
      <c r="K158" s="5">
        <v>45470</v>
      </c>
      <c r="L158" s="7" t="str">
        <f t="shared" si="11"/>
        <v>June 2024</v>
      </c>
      <c r="M158" s="5">
        <v>45514</v>
      </c>
      <c r="N158" s="5">
        <f>IF(ISNUMBER(Table32[[#This Row],[Date Assessed]]),Table32[[#This Row],[Date Assessed]], DATE(1900,1,1))</f>
        <v>45514</v>
      </c>
      <c r="O158" s="13">
        <f>IF(OR(Table32[[#This Row],[Date Assessed]]="N/A",  Table32[[#This Row],[Date Referred]] = "N/A"), "N/A",  Table32[[#This Row],[Date Assessed]]-Table32[[#This Row],[Date Referred]])</f>
        <v>44</v>
      </c>
      <c r="P158" s="18">
        <v>45530</v>
      </c>
      <c r="Q158" s="5">
        <f>IF(ISNUMBER(Table32[[#This Row],[Date Allocated]]),Table32[[#This Row],[Date Allocated]],DATE(1900,1,1))</f>
        <v>45530</v>
      </c>
      <c r="R158" s="14">
        <f>IF(OR(Table32[[#This Row],[Date Assessed]]="N/A",Table32[[#This Row],[Date Allocated]]="N/A"),"N/A",Table32[[#This Row],[Date Allocated]]-Table32[[#This Row],[Date Assessed]])</f>
        <v>16</v>
      </c>
      <c r="S158" s="5">
        <v>45709</v>
      </c>
      <c r="T158" t="s">
        <v>255</v>
      </c>
      <c r="U158" t="s">
        <v>261</v>
      </c>
    </row>
    <row r="159" spans="1:21" x14ac:dyDescent="0.2">
      <c r="A159" s="4" t="s">
        <v>169</v>
      </c>
      <c r="B159" s="5">
        <v>25698</v>
      </c>
      <c r="C159">
        <f t="shared" ca="1" si="10"/>
        <v>55</v>
      </c>
      <c r="D159" t="str">
        <f t="shared" ca="1" si="8"/>
        <v>55–64</v>
      </c>
      <c r="E159" t="s">
        <v>225</v>
      </c>
      <c r="F159" t="s">
        <v>228</v>
      </c>
      <c r="G159" t="s">
        <v>242</v>
      </c>
      <c r="H159" t="str">
        <f t="shared" si="9"/>
        <v>White</v>
      </c>
      <c r="I159" t="s">
        <v>247</v>
      </c>
      <c r="J159" t="s">
        <v>253</v>
      </c>
      <c r="K159" s="5">
        <v>45454</v>
      </c>
      <c r="L159" s="7" t="str">
        <f t="shared" si="11"/>
        <v>June 2024</v>
      </c>
      <c r="M159" s="5">
        <v>45464</v>
      </c>
      <c r="N159" s="5">
        <f>IF(ISNUMBER(Table32[[#This Row],[Date Assessed]]),Table32[[#This Row],[Date Assessed]], DATE(1900,1,1))</f>
        <v>45464</v>
      </c>
      <c r="O159" s="13">
        <f>IF(OR(Table32[[#This Row],[Date Assessed]]="N/A",  Table32[[#This Row],[Date Referred]] = "N/A"), "N/A",  Table32[[#This Row],[Date Assessed]]-Table32[[#This Row],[Date Referred]])</f>
        <v>10</v>
      </c>
      <c r="P159" s="18">
        <v>45481</v>
      </c>
      <c r="Q159" s="5">
        <f>IF(ISNUMBER(Table32[[#This Row],[Date Allocated]]),Table32[[#This Row],[Date Allocated]],DATE(1900,1,1))</f>
        <v>45481</v>
      </c>
      <c r="R159" s="14">
        <f>IF(OR(Table32[[#This Row],[Date Assessed]]="N/A",Table32[[#This Row],[Date Allocated]]="N/A"),"N/A",Table32[[#This Row],[Date Allocated]]-Table32[[#This Row],[Date Assessed]])</f>
        <v>17</v>
      </c>
      <c r="S159" s="5">
        <v>45601</v>
      </c>
      <c r="T159" t="s">
        <v>255</v>
      </c>
      <c r="U159" t="s">
        <v>263</v>
      </c>
    </row>
    <row r="160" spans="1:21" x14ac:dyDescent="0.2">
      <c r="A160" s="4" t="s">
        <v>170</v>
      </c>
      <c r="B160" s="5">
        <v>32127</v>
      </c>
      <c r="C160">
        <f t="shared" ca="1" si="10"/>
        <v>37</v>
      </c>
      <c r="D160" t="str">
        <f t="shared" ca="1" si="8"/>
        <v>35–44</v>
      </c>
      <c r="E160" t="s">
        <v>224</v>
      </c>
      <c r="F160" t="s">
        <v>230</v>
      </c>
      <c r="G160" t="s">
        <v>243</v>
      </c>
      <c r="H160" t="str">
        <f t="shared" si="9"/>
        <v>BAME</v>
      </c>
      <c r="I160" t="s">
        <v>247</v>
      </c>
      <c r="J160" t="s">
        <v>250</v>
      </c>
      <c r="K160" s="5">
        <v>45585</v>
      </c>
      <c r="L160" s="7" t="str">
        <f t="shared" si="11"/>
        <v>October 2024</v>
      </c>
      <c r="M160" s="5">
        <v>45623</v>
      </c>
      <c r="N160" s="5">
        <f>IF(ISNUMBER(Table32[[#This Row],[Date Assessed]]),Table32[[#This Row],[Date Assessed]], DATE(1900,1,1))</f>
        <v>45623</v>
      </c>
      <c r="O160" s="13">
        <f>IF(OR(Table32[[#This Row],[Date Assessed]]="N/A",  Table32[[#This Row],[Date Referred]] = "N/A"), "N/A",  Table32[[#This Row],[Date Assessed]]-Table32[[#This Row],[Date Referred]])</f>
        <v>38</v>
      </c>
      <c r="P160" s="18">
        <v>45630</v>
      </c>
      <c r="Q160" s="5">
        <f>IF(ISNUMBER(Table32[[#This Row],[Date Allocated]]),Table32[[#This Row],[Date Allocated]],DATE(1900,1,1))</f>
        <v>45630</v>
      </c>
      <c r="R160" s="14">
        <f>IF(OR(Table32[[#This Row],[Date Assessed]]="N/A",Table32[[#This Row],[Date Allocated]]="N/A"),"N/A",Table32[[#This Row],[Date Allocated]]-Table32[[#This Row],[Date Assessed]])</f>
        <v>7</v>
      </c>
      <c r="S160" s="5">
        <v>45801</v>
      </c>
      <c r="T160" t="s">
        <v>255</v>
      </c>
      <c r="U160" t="s">
        <v>263</v>
      </c>
    </row>
    <row r="161" spans="1:21" x14ac:dyDescent="0.2">
      <c r="A161" s="4" t="s">
        <v>171</v>
      </c>
      <c r="B161" s="5">
        <v>32188</v>
      </c>
      <c r="C161">
        <f t="shared" ca="1" si="10"/>
        <v>37</v>
      </c>
      <c r="D161" t="str">
        <f t="shared" ca="1" si="8"/>
        <v>35–44</v>
      </c>
      <c r="E161" t="s">
        <v>226</v>
      </c>
      <c r="F161" t="s">
        <v>230</v>
      </c>
      <c r="G161" t="s">
        <v>243</v>
      </c>
      <c r="H161" t="str">
        <f t="shared" si="9"/>
        <v>BAME</v>
      </c>
      <c r="I161" t="s">
        <v>246</v>
      </c>
      <c r="J161" t="s">
        <v>253</v>
      </c>
      <c r="K161" s="5">
        <v>45314</v>
      </c>
      <c r="L161" s="7" t="str">
        <f t="shared" si="11"/>
        <v>January 2024</v>
      </c>
      <c r="M161" s="5">
        <v>45360</v>
      </c>
      <c r="N161" s="5">
        <f>IF(ISNUMBER(Table32[[#This Row],[Date Assessed]]),Table32[[#This Row],[Date Assessed]], DATE(1900,1,1))</f>
        <v>45360</v>
      </c>
      <c r="O161" s="13">
        <f>IF(OR(Table32[[#This Row],[Date Assessed]]="N/A",  Table32[[#This Row],[Date Referred]] = "N/A"), "N/A",  Table32[[#This Row],[Date Assessed]]-Table32[[#This Row],[Date Referred]])</f>
        <v>46</v>
      </c>
      <c r="P161" s="18">
        <v>45392</v>
      </c>
      <c r="Q161" s="5">
        <f>IF(ISNUMBER(Table32[[#This Row],[Date Allocated]]),Table32[[#This Row],[Date Allocated]],DATE(1900,1,1))</f>
        <v>45392</v>
      </c>
      <c r="R161" s="14">
        <f>IF(OR(Table32[[#This Row],[Date Assessed]]="N/A",Table32[[#This Row],[Date Allocated]]="N/A"),"N/A",Table32[[#This Row],[Date Allocated]]-Table32[[#This Row],[Date Assessed]])</f>
        <v>32</v>
      </c>
      <c r="S161" s="5">
        <v>45519</v>
      </c>
      <c r="T161" t="s">
        <v>255</v>
      </c>
      <c r="U161" t="s">
        <v>272</v>
      </c>
    </row>
    <row r="162" spans="1:21" x14ac:dyDescent="0.2">
      <c r="A162" s="4" t="s">
        <v>172</v>
      </c>
      <c r="B162" s="5">
        <v>38336</v>
      </c>
      <c r="C162">
        <f t="shared" ca="1" si="10"/>
        <v>20</v>
      </c>
      <c r="D162" t="str">
        <f t="shared" ca="1" si="8"/>
        <v>18–24</v>
      </c>
      <c r="E162" t="s">
        <v>225</v>
      </c>
      <c r="F162" t="s">
        <v>228</v>
      </c>
      <c r="G162" t="s">
        <v>242</v>
      </c>
      <c r="H162" t="str">
        <f t="shared" si="9"/>
        <v>White</v>
      </c>
      <c r="I162" t="s">
        <v>247</v>
      </c>
      <c r="J162" t="s">
        <v>253</v>
      </c>
      <c r="K162" s="5">
        <v>45622</v>
      </c>
      <c r="L162" s="7" t="str">
        <f t="shared" si="11"/>
        <v>November 2024</v>
      </c>
      <c r="M162" s="5">
        <v>45653</v>
      </c>
      <c r="N162" s="5">
        <f>IF(ISNUMBER(Table32[[#This Row],[Date Assessed]]),Table32[[#This Row],[Date Assessed]], DATE(1900,1,1))</f>
        <v>45653</v>
      </c>
      <c r="O162" s="13">
        <f>IF(OR(Table32[[#This Row],[Date Assessed]]="N/A",  Table32[[#This Row],[Date Referred]] = "N/A"), "N/A",  Table32[[#This Row],[Date Assessed]]-Table32[[#This Row],[Date Referred]])</f>
        <v>31</v>
      </c>
      <c r="P162" s="18">
        <v>45674</v>
      </c>
      <c r="Q162" s="5">
        <f>IF(ISNUMBER(Table32[[#This Row],[Date Allocated]]),Table32[[#This Row],[Date Allocated]],DATE(1900,1,1))</f>
        <v>45674</v>
      </c>
      <c r="R162" s="14">
        <f>IF(OR(Table32[[#This Row],[Date Assessed]]="N/A",Table32[[#This Row],[Date Allocated]]="N/A"),"N/A",Table32[[#This Row],[Date Allocated]]-Table32[[#This Row],[Date Assessed]])</f>
        <v>21</v>
      </c>
      <c r="S162" s="5">
        <v>45832</v>
      </c>
      <c r="T162" t="s">
        <v>255</v>
      </c>
      <c r="U162" t="s">
        <v>264</v>
      </c>
    </row>
    <row r="163" spans="1:21" x14ac:dyDescent="0.2">
      <c r="A163" s="4" t="s">
        <v>173</v>
      </c>
      <c r="B163" s="5">
        <v>38028</v>
      </c>
      <c r="C163">
        <f t="shared" ca="1" si="10"/>
        <v>21</v>
      </c>
      <c r="D163" t="str">
        <f t="shared" ca="1" si="8"/>
        <v>18–24</v>
      </c>
      <c r="E163" t="s">
        <v>225</v>
      </c>
      <c r="F163" t="s">
        <v>230</v>
      </c>
      <c r="G163" t="s">
        <v>243</v>
      </c>
      <c r="H163" t="str">
        <f t="shared" si="9"/>
        <v>BAME</v>
      </c>
      <c r="I163" t="s">
        <v>248</v>
      </c>
      <c r="J163" t="s">
        <v>252</v>
      </c>
      <c r="K163" s="5">
        <v>45379</v>
      </c>
      <c r="L163" s="7" t="str">
        <f t="shared" si="11"/>
        <v>March 2024</v>
      </c>
      <c r="M163" s="5">
        <v>45423</v>
      </c>
      <c r="N163" s="5">
        <f>IF(ISNUMBER(Table32[[#This Row],[Date Assessed]]),Table32[[#This Row],[Date Assessed]], DATE(1900,1,1))</f>
        <v>45423</v>
      </c>
      <c r="O163" s="13">
        <f>IF(OR(Table32[[#This Row],[Date Assessed]]="N/A",  Table32[[#This Row],[Date Referred]] = "N/A"), "N/A",  Table32[[#This Row],[Date Assessed]]-Table32[[#This Row],[Date Referred]])</f>
        <v>44</v>
      </c>
      <c r="P163" s="18">
        <v>45458</v>
      </c>
      <c r="Q163" s="5">
        <f>IF(ISNUMBER(Table32[[#This Row],[Date Allocated]]),Table32[[#This Row],[Date Allocated]],DATE(1900,1,1))</f>
        <v>45458</v>
      </c>
      <c r="R163" s="14">
        <f>IF(OR(Table32[[#This Row],[Date Assessed]]="N/A",Table32[[#This Row],[Date Allocated]]="N/A"),"N/A",Table32[[#This Row],[Date Allocated]]-Table32[[#This Row],[Date Assessed]])</f>
        <v>35</v>
      </c>
      <c r="S163" s="5">
        <v>45613</v>
      </c>
      <c r="T163" t="s">
        <v>255</v>
      </c>
      <c r="U163" t="s">
        <v>261</v>
      </c>
    </row>
    <row r="164" spans="1:21" x14ac:dyDescent="0.2">
      <c r="A164" s="4" t="s">
        <v>174</v>
      </c>
      <c r="B164" s="5">
        <v>32101</v>
      </c>
      <c r="C164">
        <f t="shared" ca="1" si="10"/>
        <v>37</v>
      </c>
      <c r="D164" t="str">
        <f t="shared" ca="1" si="8"/>
        <v>35–44</v>
      </c>
      <c r="E164" t="s">
        <v>225</v>
      </c>
      <c r="F164" t="s">
        <v>228</v>
      </c>
      <c r="G164" t="s">
        <v>243</v>
      </c>
      <c r="H164" t="str">
        <f t="shared" si="9"/>
        <v>BAME</v>
      </c>
      <c r="I164" t="s">
        <v>247</v>
      </c>
      <c r="J164" t="s">
        <v>250</v>
      </c>
      <c r="K164" s="5">
        <v>45505</v>
      </c>
      <c r="L164" s="7" t="str">
        <f t="shared" si="11"/>
        <v>August 2024</v>
      </c>
      <c r="M164" s="5">
        <v>45509</v>
      </c>
      <c r="N164" s="5">
        <f>IF(ISNUMBER(Table32[[#This Row],[Date Assessed]]),Table32[[#This Row],[Date Assessed]], DATE(1900,1,1))</f>
        <v>45509</v>
      </c>
      <c r="O164" s="13">
        <f>IF(OR(Table32[[#This Row],[Date Assessed]]="N/A",  Table32[[#This Row],[Date Referred]] = "N/A"), "N/A",  Table32[[#This Row],[Date Assessed]]-Table32[[#This Row],[Date Referred]])</f>
        <v>4</v>
      </c>
      <c r="P164" s="18">
        <v>45551</v>
      </c>
      <c r="Q164" s="5">
        <f>IF(ISNUMBER(Table32[[#This Row],[Date Allocated]]),Table32[[#This Row],[Date Allocated]],DATE(1900,1,1))</f>
        <v>45551</v>
      </c>
      <c r="R164" s="14">
        <f>IF(OR(Table32[[#This Row],[Date Assessed]]="N/A",Table32[[#This Row],[Date Allocated]]="N/A"),"N/A",Table32[[#This Row],[Date Allocated]]-Table32[[#This Row],[Date Assessed]])</f>
        <v>42</v>
      </c>
      <c r="S164" s="5">
        <v>45713</v>
      </c>
      <c r="T164" t="s">
        <v>255</v>
      </c>
      <c r="U164" t="s">
        <v>272</v>
      </c>
    </row>
    <row r="165" spans="1:21" x14ac:dyDescent="0.2">
      <c r="A165" s="4" t="s">
        <v>175</v>
      </c>
      <c r="B165" s="5">
        <v>32602</v>
      </c>
      <c r="C165">
        <f t="shared" ca="1" si="10"/>
        <v>36</v>
      </c>
      <c r="D165" t="str">
        <f t="shared" ca="1" si="8"/>
        <v>35–44</v>
      </c>
      <c r="E165" t="s">
        <v>224</v>
      </c>
      <c r="F165" t="s">
        <v>230</v>
      </c>
      <c r="G165" t="s">
        <v>243</v>
      </c>
      <c r="H165" t="str">
        <f t="shared" si="9"/>
        <v>BAME</v>
      </c>
      <c r="I165" t="s">
        <v>247</v>
      </c>
      <c r="J165" t="s">
        <v>253</v>
      </c>
      <c r="K165" s="5">
        <v>45542</v>
      </c>
      <c r="L165" s="7" t="str">
        <f t="shared" si="11"/>
        <v>September 2024</v>
      </c>
      <c r="M165" s="5">
        <v>45591</v>
      </c>
      <c r="N165" s="5">
        <f>IF(ISNUMBER(Table32[[#This Row],[Date Assessed]]),Table32[[#This Row],[Date Assessed]], DATE(1900,1,1))</f>
        <v>45591</v>
      </c>
      <c r="O165" s="13">
        <f>IF(OR(Table32[[#This Row],[Date Assessed]]="N/A",  Table32[[#This Row],[Date Referred]] = "N/A"), "N/A",  Table32[[#This Row],[Date Assessed]]-Table32[[#This Row],[Date Referred]])</f>
        <v>49</v>
      </c>
      <c r="P165" s="18">
        <v>45633</v>
      </c>
      <c r="Q165" s="5">
        <f>IF(ISNUMBER(Table32[[#This Row],[Date Allocated]]),Table32[[#This Row],[Date Allocated]],DATE(1900,1,1))</f>
        <v>45633</v>
      </c>
      <c r="R165" s="14">
        <f>IF(OR(Table32[[#This Row],[Date Assessed]]="N/A",Table32[[#This Row],[Date Allocated]]="N/A"),"N/A",Table32[[#This Row],[Date Allocated]]-Table32[[#This Row],[Date Assessed]])</f>
        <v>42</v>
      </c>
      <c r="S165" s="5">
        <v>45756</v>
      </c>
      <c r="T165" t="s">
        <v>255</v>
      </c>
      <c r="U165" t="s">
        <v>262</v>
      </c>
    </row>
    <row r="166" spans="1:21" x14ac:dyDescent="0.2">
      <c r="A166" s="4" t="s">
        <v>176</v>
      </c>
      <c r="B166" s="5">
        <v>38037</v>
      </c>
      <c r="C166">
        <f t="shared" ca="1" si="10"/>
        <v>21</v>
      </c>
      <c r="D166" t="str">
        <f t="shared" ca="1" si="8"/>
        <v>18–24</v>
      </c>
      <c r="E166" t="s">
        <v>225</v>
      </c>
      <c r="F166" t="s">
        <v>228</v>
      </c>
      <c r="G166" t="s">
        <v>242</v>
      </c>
      <c r="H166" t="str">
        <f t="shared" si="9"/>
        <v>White</v>
      </c>
      <c r="I166" t="s">
        <v>247</v>
      </c>
      <c r="J166" t="s">
        <v>251</v>
      </c>
      <c r="K166" s="5">
        <v>45583</v>
      </c>
      <c r="L166" s="7" t="str">
        <f t="shared" si="11"/>
        <v>October 2024</v>
      </c>
      <c r="M166" s="5">
        <v>45593</v>
      </c>
      <c r="N166" s="5">
        <f>IF(ISNUMBER(Table32[[#This Row],[Date Assessed]]),Table32[[#This Row],[Date Assessed]], DATE(1900,1,1))</f>
        <v>45593</v>
      </c>
      <c r="O166" s="13">
        <f>IF(OR(Table32[[#This Row],[Date Assessed]]="N/A",  Table32[[#This Row],[Date Referred]] = "N/A"), "N/A",  Table32[[#This Row],[Date Assessed]]-Table32[[#This Row],[Date Referred]])</f>
        <v>10</v>
      </c>
      <c r="P166" s="18">
        <v>45624</v>
      </c>
      <c r="Q166" s="5">
        <f>IF(ISNUMBER(Table32[[#This Row],[Date Allocated]]),Table32[[#This Row],[Date Allocated]],DATE(1900,1,1))</f>
        <v>45624</v>
      </c>
      <c r="R166" s="14">
        <f>IF(OR(Table32[[#This Row],[Date Assessed]]="N/A",Table32[[#This Row],[Date Allocated]]="N/A"),"N/A",Table32[[#This Row],[Date Allocated]]-Table32[[#This Row],[Date Assessed]])</f>
        <v>31</v>
      </c>
      <c r="S166" s="5">
        <v>45768</v>
      </c>
      <c r="T166" t="s">
        <v>255</v>
      </c>
      <c r="U166" t="s">
        <v>261</v>
      </c>
    </row>
    <row r="167" spans="1:21" x14ac:dyDescent="0.2">
      <c r="A167" s="4" t="s">
        <v>177</v>
      </c>
      <c r="B167" s="5">
        <v>31105</v>
      </c>
      <c r="C167">
        <f t="shared" ca="1" si="10"/>
        <v>40</v>
      </c>
      <c r="D167" t="str">
        <f t="shared" ca="1" si="8"/>
        <v>35–44</v>
      </c>
      <c r="E167" t="s">
        <v>225</v>
      </c>
      <c r="F167" t="s">
        <v>231</v>
      </c>
      <c r="G167" t="s">
        <v>241</v>
      </c>
      <c r="H167" t="str">
        <f t="shared" si="9"/>
        <v>BAME</v>
      </c>
      <c r="I167" t="s">
        <v>246</v>
      </c>
      <c r="J167" t="s">
        <v>254</v>
      </c>
      <c r="K167" s="5">
        <v>45387</v>
      </c>
      <c r="L167" s="7" t="str">
        <f t="shared" si="11"/>
        <v>April 2024</v>
      </c>
      <c r="M167" s="5">
        <v>45419</v>
      </c>
      <c r="N167" s="5">
        <f>IF(ISNUMBER(Table32[[#This Row],[Date Assessed]]),Table32[[#This Row],[Date Assessed]], DATE(1900,1,1))</f>
        <v>45419</v>
      </c>
      <c r="O167" s="13">
        <f>IF(OR(Table32[[#This Row],[Date Assessed]]="N/A",  Table32[[#This Row],[Date Referred]] = "N/A"), "N/A",  Table32[[#This Row],[Date Assessed]]-Table32[[#This Row],[Date Referred]])</f>
        <v>32</v>
      </c>
      <c r="P167" s="18">
        <v>45459</v>
      </c>
      <c r="Q167" s="5">
        <f>IF(ISNUMBER(Table32[[#This Row],[Date Allocated]]),Table32[[#This Row],[Date Allocated]],DATE(1900,1,1))</f>
        <v>45459</v>
      </c>
      <c r="R167" s="14">
        <f>IF(OR(Table32[[#This Row],[Date Assessed]]="N/A",Table32[[#This Row],[Date Allocated]]="N/A"),"N/A",Table32[[#This Row],[Date Allocated]]-Table32[[#This Row],[Date Assessed]])</f>
        <v>40</v>
      </c>
      <c r="S167" s="5">
        <v>45601</v>
      </c>
      <c r="T167" t="s">
        <v>255</v>
      </c>
      <c r="U167" t="s">
        <v>264</v>
      </c>
    </row>
    <row r="168" spans="1:21" x14ac:dyDescent="0.2">
      <c r="A168" s="4" t="s">
        <v>178</v>
      </c>
      <c r="B168" s="5">
        <v>36760</v>
      </c>
      <c r="C168">
        <f t="shared" ca="1" si="10"/>
        <v>25</v>
      </c>
      <c r="D168" t="str">
        <f t="shared" ca="1" si="8"/>
        <v>25–34</v>
      </c>
      <c r="E168" t="s">
        <v>224</v>
      </c>
      <c r="F168" t="s">
        <v>228</v>
      </c>
      <c r="G168" t="s">
        <v>242</v>
      </c>
      <c r="H168" t="str">
        <f t="shared" si="9"/>
        <v>White</v>
      </c>
      <c r="I168" t="s">
        <v>247</v>
      </c>
      <c r="J168" t="s">
        <v>252</v>
      </c>
      <c r="K168" s="5">
        <v>45292</v>
      </c>
      <c r="L168" s="7" t="str">
        <f t="shared" si="11"/>
        <v>January 2024</v>
      </c>
      <c r="M168" s="5">
        <v>45293</v>
      </c>
      <c r="N168" s="5">
        <f>IF(ISNUMBER(Table32[[#This Row],[Date Assessed]]),Table32[[#This Row],[Date Assessed]], DATE(1900,1,1))</f>
        <v>45293</v>
      </c>
      <c r="O168" s="13">
        <f>IF(OR(Table32[[#This Row],[Date Assessed]]="N/A",  Table32[[#This Row],[Date Referred]] = "N/A"), "N/A",  Table32[[#This Row],[Date Assessed]]-Table32[[#This Row],[Date Referred]])</f>
        <v>1</v>
      </c>
      <c r="P168" s="18">
        <v>45346</v>
      </c>
      <c r="Q168" s="5">
        <f>IF(ISNUMBER(Table32[[#This Row],[Date Allocated]]),Table32[[#This Row],[Date Allocated]],DATE(1900,1,1))</f>
        <v>45346</v>
      </c>
      <c r="R168" s="14">
        <f>IF(OR(Table32[[#This Row],[Date Assessed]]="N/A",Table32[[#This Row],[Date Allocated]]="N/A"),"N/A",Table32[[#This Row],[Date Allocated]]-Table32[[#This Row],[Date Assessed]])</f>
        <v>53</v>
      </c>
      <c r="S168" s="5">
        <v>45507</v>
      </c>
      <c r="T168" t="s">
        <v>255</v>
      </c>
      <c r="U168" t="s">
        <v>264</v>
      </c>
    </row>
    <row r="169" spans="1:21" x14ac:dyDescent="0.2">
      <c r="A169" s="4" t="s">
        <v>179</v>
      </c>
      <c r="B169" s="5">
        <v>35362</v>
      </c>
      <c r="C169">
        <f t="shared" ca="1" si="10"/>
        <v>28</v>
      </c>
      <c r="D169" t="str">
        <f t="shared" ca="1" si="8"/>
        <v>25–34</v>
      </c>
      <c r="E169" t="s">
        <v>225</v>
      </c>
      <c r="F169" t="s">
        <v>229</v>
      </c>
      <c r="G169" t="s">
        <v>243</v>
      </c>
      <c r="H169" t="str">
        <f t="shared" si="9"/>
        <v>BAME</v>
      </c>
      <c r="I169" t="s">
        <v>246</v>
      </c>
      <c r="J169" t="s">
        <v>252</v>
      </c>
      <c r="K169" s="5">
        <v>45401</v>
      </c>
      <c r="L169" s="7" t="str">
        <f t="shared" si="11"/>
        <v>April 2024</v>
      </c>
      <c r="M169" s="5">
        <v>45415</v>
      </c>
      <c r="N169" s="5">
        <f>IF(ISNUMBER(Table32[[#This Row],[Date Assessed]]),Table32[[#This Row],[Date Assessed]], DATE(1900,1,1))</f>
        <v>45415</v>
      </c>
      <c r="O169" s="13">
        <f>IF(OR(Table32[[#This Row],[Date Assessed]]="N/A",  Table32[[#This Row],[Date Referred]] = "N/A"), "N/A",  Table32[[#This Row],[Date Assessed]]-Table32[[#This Row],[Date Referred]])</f>
        <v>14</v>
      </c>
      <c r="P169" s="18">
        <v>45470</v>
      </c>
      <c r="Q169" s="5">
        <f>IF(ISNUMBER(Table32[[#This Row],[Date Allocated]]),Table32[[#This Row],[Date Allocated]],DATE(1900,1,1))</f>
        <v>45470</v>
      </c>
      <c r="R169" s="14">
        <f>IF(OR(Table32[[#This Row],[Date Assessed]]="N/A",Table32[[#This Row],[Date Allocated]]="N/A"),"N/A",Table32[[#This Row],[Date Allocated]]-Table32[[#This Row],[Date Assessed]])</f>
        <v>55</v>
      </c>
      <c r="S169" s="5">
        <v>45618</v>
      </c>
      <c r="T169" t="s">
        <v>255</v>
      </c>
      <c r="U169" t="s">
        <v>261</v>
      </c>
    </row>
    <row r="170" spans="1:21" x14ac:dyDescent="0.2">
      <c r="A170" s="4" t="s">
        <v>180</v>
      </c>
      <c r="B170" s="5">
        <v>37232</v>
      </c>
      <c r="C170">
        <f t="shared" ca="1" si="10"/>
        <v>23</v>
      </c>
      <c r="D170" t="str">
        <f t="shared" ca="1" si="8"/>
        <v>18–24</v>
      </c>
      <c r="E170" t="s">
        <v>225</v>
      </c>
      <c r="F170" t="s">
        <v>228</v>
      </c>
      <c r="G170" t="s">
        <v>242</v>
      </c>
      <c r="H170" t="str">
        <f t="shared" si="9"/>
        <v>White</v>
      </c>
      <c r="I170" t="s">
        <v>247</v>
      </c>
      <c r="J170" t="s">
        <v>252</v>
      </c>
      <c r="K170" s="5">
        <v>45549</v>
      </c>
      <c r="L170" s="7" t="str">
        <f t="shared" si="11"/>
        <v>September 2024</v>
      </c>
      <c r="M170" s="5">
        <v>45590</v>
      </c>
      <c r="N170" s="5">
        <f>IF(ISNUMBER(Table32[[#This Row],[Date Assessed]]),Table32[[#This Row],[Date Assessed]], DATE(1900,1,1))</f>
        <v>45590</v>
      </c>
      <c r="O170" s="13">
        <f>IF(OR(Table32[[#This Row],[Date Assessed]]="N/A",  Table32[[#This Row],[Date Referred]] = "N/A"), "N/A",  Table32[[#This Row],[Date Assessed]]-Table32[[#This Row],[Date Referred]])</f>
        <v>41</v>
      </c>
      <c r="P170" s="18">
        <v>45634</v>
      </c>
      <c r="Q170" s="5">
        <f>IF(ISNUMBER(Table32[[#This Row],[Date Allocated]]),Table32[[#This Row],[Date Allocated]],DATE(1900,1,1))</f>
        <v>45634</v>
      </c>
      <c r="R170" s="14">
        <f>IF(OR(Table32[[#This Row],[Date Assessed]]="N/A",Table32[[#This Row],[Date Allocated]]="N/A"),"N/A",Table32[[#This Row],[Date Allocated]]-Table32[[#This Row],[Date Assessed]])</f>
        <v>44</v>
      </c>
      <c r="S170" s="5">
        <v>45775</v>
      </c>
      <c r="T170" t="s">
        <v>255</v>
      </c>
      <c r="U170" t="s">
        <v>264</v>
      </c>
    </row>
    <row r="171" spans="1:21" x14ac:dyDescent="0.2">
      <c r="A171" s="4" t="s">
        <v>181</v>
      </c>
      <c r="B171" s="5">
        <v>33567</v>
      </c>
      <c r="C171">
        <f t="shared" ca="1" si="10"/>
        <v>33</v>
      </c>
      <c r="D171" t="str">
        <f t="shared" ca="1" si="8"/>
        <v>25–34</v>
      </c>
      <c r="E171" t="s">
        <v>225</v>
      </c>
      <c r="F171" t="s">
        <v>228</v>
      </c>
      <c r="G171" t="s">
        <v>242</v>
      </c>
      <c r="H171" t="str">
        <f t="shared" si="9"/>
        <v>White</v>
      </c>
      <c r="I171" t="s">
        <v>246</v>
      </c>
      <c r="J171" t="s">
        <v>253</v>
      </c>
      <c r="K171" s="5">
        <v>45523</v>
      </c>
      <c r="L171" s="7" t="str">
        <f t="shared" si="11"/>
        <v>August 2024</v>
      </c>
      <c r="M171" s="5">
        <v>45532</v>
      </c>
      <c r="N171" s="5">
        <f>IF(ISNUMBER(Table32[[#This Row],[Date Assessed]]),Table32[[#This Row],[Date Assessed]], DATE(1900,1,1))</f>
        <v>45532</v>
      </c>
      <c r="O171" s="13">
        <f>IF(OR(Table32[[#This Row],[Date Assessed]]="N/A",  Table32[[#This Row],[Date Referred]] = "N/A"), "N/A",  Table32[[#This Row],[Date Assessed]]-Table32[[#This Row],[Date Referred]])</f>
        <v>9</v>
      </c>
      <c r="P171" s="18">
        <v>45583</v>
      </c>
      <c r="Q171" s="5">
        <f>IF(ISNUMBER(Table32[[#This Row],[Date Allocated]]),Table32[[#This Row],[Date Allocated]],DATE(1900,1,1))</f>
        <v>45583</v>
      </c>
      <c r="R171" s="14">
        <f>IF(OR(Table32[[#This Row],[Date Assessed]]="N/A",Table32[[#This Row],[Date Allocated]]="N/A"),"N/A",Table32[[#This Row],[Date Allocated]]-Table32[[#This Row],[Date Assessed]])</f>
        <v>51</v>
      </c>
      <c r="S171" s="5">
        <v>45738</v>
      </c>
      <c r="T171" t="s">
        <v>255</v>
      </c>
      <c r="U171" t="s">
        <v>263</v>
      </c>
    </row>
    <row r="172" spans="1:21" x14ac:dyDescent="0.2">
      <c r="A172" s="4" t="s">
        <v>182</v>
      </c>
      <c r="B172" s="5">
        <v>30333</v>
      </c>
      <c r="C172">
        <f t="shared" ca="1" si="10"/>
        <v>42</v>
      </c>
      <c r="D172" t="str">
        <f t="shared" ca="1" si="8"/>
        <v>35–44</v>
      </c>
      <c r="E172" t="s">
        <v>224</v>
      </c>
      <c r="F172" t="s">
        <v>232</v>
      </c>
      <c r="G172" t="s">
        <v>243</v>
      </c>
      <c r="H172" t="str">
        <f t="shared" si="9"/>
        <v>BAME</v>
      </c>
      <c r="I172" t="s">
        <v>247</v>
      </c>
      <c r="J172" t="s">
        <v>253</v>
      </c>
      <c r="K172" s="5">
        <v>45410</v>
      </c>
      <c r="L172" s="7" t="str">
        <f t="shared" si="11"/>
        <v>April 2024</v>
      </c>
      <c r="M172" s="5">
        <v>45426</v>
      </c>
      <c r="N172" s="5">
        <f>IF(ISNUMBER(Table32[[#This Row],[Date Assessed]]),Table32[[#This Row],[Date Assessed]], DATE(1900,1,1))</f>
        <v>45426</v>
      </c>
      <c r="O172" s="13">
        <f>IF(OR(Table32[[#This Row],[Date Assessed]]="N/A",  Table32[[#This Row],[Date Referred]] = "N/A"), "N/A",  Table32[[#This Row],[Date Assessed]]-Table32[[#This Row],[Date Referred]])</f>
        <v>16</v>
      </c>
      <c r="P172" s="18">
        <v>45428</v>
      </c>
      <c r="Q172" s="5">
        <f>IF(ISNUMBER(Table32[[#This Row],[Date Allocated]]),Table32[[#This Row],[Date Allocated]],DATE(1900,1,1))</f>
        <v>45428</v>
      </c>
      <c r="R172" s="14">
        <f>IF(OR(Table32[[#This Row],[Date Assessed]]="N/A",Table32[[#This Row],[Date Allocated]]="N/A"),"N/A",Table32[[#This Row],[Date Allocated]]-Table32[[#This Row],[Date Assessed]])</f>
        <v>2</v>
      </c>
      <c r="S172" s="5">
        <v>45605</v>
      </c>
      <c r="T172" t="s">
        <v>255</v>
      </c>
      <c r="U172" t="s">
        <v>261</v>
      </c>
    </row>
    <row r="173" spans="1:21" x14ac:dyDescent="0.2">
      <c r="A173" s="4" t="s">
        <v>183</v>
      </c>
      <c r="B173" s="5">
        <v>21311</v>
      </c>
      <c r="C173">
        <f t="shared" ca="1" si="10"/>
        <v>67</v>
      </c>
      <c r="D173" t="str">
        <f t="shared" ca="1" si="8"/>
        <v>65+</v>
      </c>
      <c r="E173" t="s">
        <v>224</v>
      </c>
      <c r="F173" t="s">
        <v>228</v>
      </c>
      <c r="G173" t="s">
        <v>242</v>
      </c>
      <c r="H173" t="str">
        <f t="shared" si="9"/>
        <v>White</v>
      </c>
      <c r="I173" t="s">
        <v>247</v>
      </c>
      <c r="J173" t="s">
        <v>252</v>
      </c>
      <c r="K173" s="5">
        <v>45416</v>
      </c>
      <c r="L173" s="7" t="str">
        <f t="shared" si="11"/>
        <v>May 2024</v>
      </c>
      <c r="M173" s="5">
        <v>45425</v>
      </c>
      <c r="N173" s="5">
        <f>IF(ISNUMBER(Table32[[#This Row],[Date Assessed]]),Table32[[#This Row],[Date Assessed]], DATE(1900,1,1))</f>
        <v>45425</v>
      </c>
      <c r="O173" s="13">
        <f>IF(OR(Table32[[#This Row],[Date Assessed]]="N/A",  Table32[[#This Row],[Date Referred]] = "N/A"), "N/A",  Table32[[#This Row],[Date Assessed]]-Table32[[#This Row],[Date Referred]])</f>
        <v>9</v>
      </c>
      <c r="P173" s="18">
        <v>45430</v>
      </c>
      <c r="Q173" s="5">
        <f>IF(ISNUMBER(Table32[[#This Row],[Date Allocated]]),Table32[[#This Row],[Date Allocated]],DATE(1900,1,1))</f>
        <v>45430</v>
      </c>
      <c r="R173" s="14">
        <f>IF(OR(Table32[[#This Row],[Date Assessed]]="N/A",Table32[[#This Row],[Date Allocated]]="N/A"),"N/A",Table32[[#This Row],[Date Allocated]]-Table32[[#This Row],[Date Assessed]])</f>
        <v>5</v>
      </c>
      <c r="S173" s="5">
        <v>45550</v>
      </c>
      <c r="T173" t="s">
        <v>255</v>
      </c>
      <c r="U173" t="s">
        <v>272</v>
      </c>
    </row>
    <row r="174" spans="1:21" x14ac:dyDescent="0.2">
      <c r="A174" s="4" t="s">
        <v>184</v>
      </c>
      <c r="B174" s="5">
        <v>33298</v>
      </c>
      <c r="C174">
        <f t="shared" ca="1" si="10"/>
        <v>34</v>
      </c>
      <c r="D174" t="str">
        <f t="shared" ca="1" si="8"/>
        <v>25–34</v>
      </c>
      <c r="E174" t="s">
        <v>225</v>
      </c>
      <c r="F174" t="s">
        <v>230</v>
      </c>
      <c r="G174" t="s">
        <v>243</v>
      </c>
      <c r="H174" t="str">
        <f t="shared" si="9"/>
        <v>BAME</v>
      </c>
      <c r="I174" t="s">
        <v>247</v>
      </c>
      <c r="J174" t="s">
        <v>253</v>
      </c>
      <c r="K174" s="5">
        <v>45439</v>
      </c>
      <c r="L174" s="7" t="str">
        <f t="shared" si="11"/>
        <v>May 2024</v>
      </c>
      <c r="M174" s="5">
        <v>45464</v>
      </c>
      <c r="N174" s="5">
        <f>IF(ISNUMBER(Table32[[#This Row],[Date Assessed]]),Table32[[#This Row],[Date Assessed]], DATE(1900,1,1))</f>
        <v>45464</v>
      </c>
      <c r="O174" s="13">
        <f>IF(OR(Table32[[#This Row],[Date Assessed]]="N/A",  Table32[[#This Row],[Date Referred]] = "N/A"), "N/A",  Table32[[#This Row],[Date Assessed]]-Table32[[#This Row],[Date Referred]])</f>
        <v>25</v>
      </c>
      <c r="P174" s="18">
        <v>45479</v>
      </c>
      <c r="Q174" s="5">
        <f>IF(ISNUMBER(Table32[[#This Row],[Date Allocated]]),Table32[[#This Row],[Date Allocated]],DATE(1900,1,1))</f>
        <v>45479</v>
      </c>
      <c r="R174" s="14">
        <f>IF(OR(Table32[[#This Row],[Date Assessed]]="N/A",Table32[[#This Row],[Date Allocated]]="N/A"),"N/A",Table32[[#This Row],[Date Allocated]]-Table32[[#This Row],[Date Assessed]])</f>
        <v>15</v>
      </c>
      <c r="S174" s="5">
        <v>45608</v>
      </c>
      <c r="T174" t="s">
        <v>255</v>
      </c>
      <c r="U174" t="s">
        <v>264</v>
      </c>
    </row>
    <row r="175" spans="1:21" x14ac:dyDescent="0.2">
      <c r="A175" s="4" t="s">
        <v>185</v>
      </c>
      <c r="B175" s="5">
        <v>24214</v>
      </c>
      <c r="C175">
        <f t="shared" ca="1" si="10"/>
        <v>59</v>
      </c>
      <c r="D175" t="str">
        <f t="shared" ca="1" si="8"/>
        <v>55–64</v>
      </c>
      <c r="E175" t="s">
        <v>225</v>
      </c>
      <c r="F175" t="s">
        <v>231</v>
      </c>
      <c r="G175" t="s">
        <v>241</v>
      </c>
      <c r="H175" t="str">
        <f t="shared" si="9"/>
        <v>BAME</v>
      </c>
      <c r="I175" t="s">
        <v>247</v>
      </c>
      <c r="J175" t="s">
        <v>252</v>
      </c>
      <c r="K175" s="5">
        <v>45635</v>
      </c>
      <c r="L175" s="7" t="str">
        <f t="shared" si="11"/>
        <v>December 2024</v>
      </c>
      <c r="M175" s="5">
        <v>45649</v>
      </c>
      <c r="N175" s="5">
        <f>IF(ISNUMBER(Table32[[#This Row],[Date Assessed]]),Table32[[#This Row],[Date Assessed]], DATE(1900,1,1))</f>
        <v>45649</v>
      </c>
      <c r="O175" s="13">
        <f>IF(OR(Table32[[#This Row],[Date Assessed]]="N/A",  Table32[[#This Row],[Date Referred]] = "N/A"), "N/A",  Table32[[#This Row],[Date Assessed]]-Table32[[#This Row],[Date Referred]])</f>
        <v>14</v>
      </c>
      <c r="P175" s="18">
        <v>45677</v>
      </c>
      <c r="Q175" s="5">
        <f>IF(ISNUMBER(Table32[[#This Row],[Date Allocated]]),Table32[[#This Row],[Date Allocated]],DATE(1900,1,1))</f>
        <v>45677</v>
      </c>
      <c r="R175" s="14">
        <f>IF(OR(Table32[[#This Row],[Date Assessed]]="N/A",Table32[[#This Row],[Date Allocated]]="N/A"),"N/A",Table32[[#This Row],[Date Allocated]]-Table32[[#This Row],[Date Assessed]])</f>
        <v>28</v>
      </c>
      <c r="S175" s="5">
        <v>45798</v>
      </c>
      <c r="T175" t="s">
        <v>255</v>
      </c>
      <c r="U175" t="s">
        <v>272</v>
      </c>
    </row>
    <row r="176" spans="1:21" x14ac:dyDescent="0.2">
      <c r="A176" s="4" t="s">
        <v>186</v>
      </c>
      <c r="B176" s="5">
        <v>35761</v>
      </c>
      <c r="C176">
        <f t="shared" ca="1" si="10"/>
        <v>27</v>
      </c>
      <c r="D176" t="str">
        <f t="shared" ca="1" si="8"/>
        <v>25–34</v>
      </c>
      <c r="E176" t="s">
        <v>225</v>
      </c>
      <c r="F176" t="s">
        <v>228</v>
      </c>
      <c r="G176" t="s">
        <v>243</v>
      </c>
      <c r="H176" t="str">
        <f t="shared" si="9"/>
        <v>BAME</v>
      </c>
      <c r="I176" t="s">
        <v>247</v>
      </c>
      <c r="J176" t="s">
        <v>253</v>
      </c>
      <c r="K176" s="5">
        <v>45444</v>
      </c>
      <c r="L176" s="7" t="str">
        <f t="shared" si="11"/>
        <v>June 2024</v>
      </c>
      <c r="M176" s="5">
        <v>45457</v>
      </c>
      <c r="N176" s="5">
        <f>IF(ISNUMBER(Table32[[#This Row],[Date Assessed]]),Table32[[#This Row],[Date Assessed]], DATE(1900,1,1))</f>
        <v>45457</v>
      </c>
      <c r="O176" s="13">
        <f>IF(OR(Table32[[#This Row],[Date Assessed]]="N/A",  Table32[[#This Row],[Date Referred]] = "N/A"), "N/A",  Table32[[#This Row],[Date Assessed]]-Table32[[#This Row],[Date Referred]])</f>
        <v>13</v>
      </c>
      <c r="P176" s="18">
        <v>45476</v>
      </c>
      <c r="Q176" s="5">
        <f>IF(ISNUMBER(Table32[[#This Row],[Date Allocated]]),Table32[[#This Row],[Date Allocated]],DATE(1900,1,1))</f>
        <v>45476</v>
      </c>
      <c r="R176" s="14">
        <f>IF(OR(Table32[[#This Row],[Date Assessed]]="N/A",Table32[[#This Row],[Date Allocated]]="N/A"),"N/A",Table32[[#This Row],[Date Allocated]]-Table32[[#This Row],[Date Assessed]])</f>
        <v>19</v>
      </c>
      <c r="S176" s="5">
        <v>45647</v>
      </c>
      <c r="T176" t="s">
        <v>255</v>
      </c>
      <c r="U176" t="s">
        <v>261</v>
      </c>
    </row>
    <row r="177" spans="1:21" x14ac:dyDescent="0.2">
      <c r="A177" s="4" t="s">
        <v>187</v>
      </c>
      <c r="B177" s="5">
        <v>24757</v>
      </c>
      <c r="C177">
        <f t="shared" ca="1" si="10"/>
        <v>57</v>
      </c>
      <c r="D177" t="str">
        <f t="shared" ca="1" si="8"/>
        <v>55–64</v>
      </c>
      <c r="E177" t="s">
        <v>224</v>
      </c>
      <c r="F177" t="s">
        <v>228</v>
      </c>
      <c r="G177" t="s">
        <v>243</v>
      </c>
      <c r="H177" t="str">
        <f t="shared" si="9"/>
        <v>BAME</v>
      </c>
      <c r="I177" t="s">
        <v>246</v>
      </c>
      <c r="J177" t="s">
        <v>250</v>
      </c>
      <c r="K177" s="5">
        <v>45359</v>
      </c>
      <c r="L177" s="7" t="str">
        <f t="shared" si="11"/>
        <v>March 2024</v>
      </c>
      <c r="M177" s="5">
        <v>45375</v>
      </c>
      <c r="N177" s="5">
        <f>IF(ISNUMBER(Table32[[#This Row],[Date Assessed]]),Table32[[#This Row],[Date Assessed]], DATE(1900,1,1))</f>
        <v>45375</v>
      </c>
      <c r="O177" s="13">
        <f>IF(OR(Table32[[#This Row],[Date Assessed]]="N/A",  Table32[[#This Row],[Date Referred]] = "N/A"), "N/A",  Table32[[#This Row],[Date Assessed]]-Table32[[#This Row],[Date Referred]])</f>
        <v>16</v>
      </c>
      <c r="P177" s="18">
        <v>45396</v>
      </c>
      <c r="Q177" s="5">
        <f>IF(ISNUMBER(Table32[[#This Row],[Date Allocated]]),Table32[[#This Row],[Date Allocated]],DATE(1900,1,1))</f>
        <v>45396</v>
      </c>
      <c r="R177" s="14">
        <f>IF(OR(Table32[[#This Row],[Date Assessed]]="N/A",Table32[[#This Row],[Date Allocated]]="N/A"),"N/A",Table32[[#This Row],[Date Allocated]]-Table32[[#This Row],[Date Assessed]])</f>
        <v>21</v>
      </c>
      <c r="S177" s="5">
        <v>45545</v>
      </c>
      <c r="T177" t="s">
        <v>255</v>
      </c>
      <c r="U177" t="s">
        <v>264</v>
      </c>
    </row>
    <row r="178" spans="1:21" x14ac:dyDescent="0.2">
      <c r="A178" s="4" t="s">
        <v>188</v>
      </c>
      <c r="B178" s="5">
        <v>27876</v>
      </c>
      <c r="C178">
        <f t="shared" ca="1" si="10"/>
        <v>49</v>
      </c>
      <c r="D178" t="str">
        <f t="shared" ca="1" si="8"/>
        <v>45–54</v>
      </c>
      <c r="E178" t="s">
        <v>224</v>
      </c>
      <c r="F178" t="s">
        <v>240</v>
      </c>
      <c r="G178" t="s">
        <v>241</v>
      </c>
      <c r="H178" t="str">
        <f t="shared" si="9"/>
        <v>BAME</v>
      </c>
      <c r="I178" t="s">
        <v>247</v>
      </c>
      <c r="J178" t="s">
        <v>253</v>
      </c>
      <c r="K178" s="5">
        <v>45532</v>
      </c>
      <c r="L178" s="7" t="str">
        <f t="shared" si="11"/>
        <v>August 2024</v>
      </c>
      <c r="M178" s="5">
        <v>45555</v>
      </c>
      <c r="N178" s="5">
        <f>IF(ISNUMBER(Table32[[#This Row],[Date Assessed]]),Table32[[#This Row],[Date Assessed]], DATE(1900,1,1))</f>
        <v>45555</v>
      </c>
      <c r="O178" s="13">
        <f>IF(OR(Table32[[#This Row],[Date Assessed]]="N/A",  Table32[[#This Row],[Date Referred]] = "N/A"), "N/A",  Table32[[#This Row],[Date Assessed]]-Table32[[#This Row],[Date Referred]])</f>
        <v>23</v>
      </c>
      <c r="P178" s="18">
        <v>45573</v>
      </c>
      <c r="Q178" s="5">
        <f>IF(ISNUMBER(Table32[[#This Row],[Date Allocated]]),Table32[[#This Row],[Date Allocated]],DATE(1900,1,1))</f>
        <v>45573</v>
      </c>
      <c r="R178" s="14">
        <f>IF(OR(Table32[[#This Row],[Date Assessed]]="N/A",Table32[[#This Row],[Date Allocated]]="N/A"),"N/A",Table32[[#This Row],[Date Allocated]]-Table32[[#This Row],[Date Assessed]])</f>
        <v>18</v>
      </c>
      <c r="S178" s="5">
        <v>45705</v>
      </c>
      <c r="T178" t="s">
        <v>255</v>
      </c>
      <c r="U178" t="s">
        <v>262</v>
      </c>
    </row>
    <row r="179" spans="1:21" x14ac:dyDescent="0.2">
      <c r="A179" s="4" t="s">
        <v>189</v>
      </c>
      <c r="B179" s="5">
        <v>26334</v>
      </c>
      <c r="C179">
        <f t="shared" ca="1" si="10"/>
        <v>53</v>
      </c>
      <c r="D179" t="str">
        <f t="shared" ca="1" si="8"/>
        <v>45–54</v>
      </c>
      <c r="E179" t="s">
        <v>225</v>
      </c>
      <c r="F179" t="s">
        <v>240</v>
      </c>
      <c r="G179" t="s">
        <v>241</v>
      </c>
      <c r="H179" t="str">
        <f t="shared" si="9"/>
        <v>BAME</v>
      </c>
      <c r="I179" t="s">
        <v>247</v>
      </c>
      <c r="J179" t="s">
        <v>250</v>
      </c>
      <c r="K179" s="5">
        <v>45368</v>
      </c>
      <c r="L179" s="7" t="str">
        <f t="shared" si="11"/>
        <v>March 2024</v>
      </c>
      <c r="M179" s="5">
        <v>45406</v>
      </c>
      <c r="N179" s="5">
        <f>IF(ISNUMBER(Table32[[#This Row],[Date Assessed]]),Table32[[#This Row],[Date Assessed]], DATE(1900,1,1))</f>
        <v>45406</v>
      </c>
      <c r="O179" s="13">
        <f>IF(OR(Table32[[#This Row],[Date Assessed]]="N/A",  Table32[[#This Row],[Date Referred]] = "N/A"), "N/A",  Table32[[#This Row],[Date Assessed]]-Table32[[#This Row],[Date Referred]])</f>
        <v>38</v>
      </c>
      <c r="P179" s="18">
        <v>45410</v>
      </c>
      <c r="Q179" s="5">
        <f>IF(ISNUMBER(Table32[[#This Row],[Date Allocated]]),Table32[[#This Row],[Date Allocated]],DATE(1900,1,1))</f>
        <v>45410</v>
      </c>
      <c r="R179" s="14">
        <f>IF(OR(Table32[[#This Row],[Date Assessed]]="N/A",Table32[[#This Row],[Date Allocated]]="N/A"),"N/A",Table32[[#This Row],[Date Allocated]]-Table32[[#This Row],[Date Assessed]])</f>
        <v>4</v>
      </c>
      <c r="S179" s="5">
        <v>45567</v>
      </c>
      <c r="T179" t="s">
        <v>255</v>
      </c>
      <c r="U179" t="s">
        <v>263</v>
      </c>
    </row>
    <row r="180" spans="1:21" x14ac:dyDescent="0.2">
      <c r="A180" s="4" t="s">
        <v>190</v>
      </c>
      <c r="B180" s="5">
        <v>38551</v>
      </c>
      <c r="C180">
        <f t="shared" ca="1" si="10"/>
        <v>20</v>
      </c>
      <c r="D180" t="str">
        <f t="shared" ca="1" si="8"/>
        <v>18–24</v>
      </c>
      <c r="E180" t="s">
        <v>225</v>
      </c>
      <c r="F180" t="s">
        <v>230</v>
      </c>
      <c r="G180" t="s">
        <v>243</v>
      </c>
      <c r="H180" t="str">
        <f t="shared" si="9"/>
        <v>BAME</v>
      </c>
      <c r="I180" t="s">
        <v>246</v>
      </c>
      <c r="J180" t="s">
        <v>250</v>
      </c>
      <c r="K180" s="5">
        <v>45445</v>
      </c>
      <c r="L180" s="7" t="str">
        <f t="shared" si="11"/>
        <v>June 2024</v>
      </c>
      <c r="M180" s="5">
        <v>45459</v>
      </c>
      <c r="N180" s="5">
        <f>IF(ISNUMBER(Table32[[#This Row],[Date Assessed]]),Table32[[#This Row],[Date Assessed]], DATE(1900,1,1))</f>
        <v>45459</v>
      </c>
      <c r="O180" s="13">
        <f>IF(OR(Table32[[#This Row],[Date Assessed]]="N/A",  Table32[[#This Row],[Date Referred]] = "N/A"), "N/A",  Table32[[#This Row],[Date Assessed]]-Table32[[#This Row],[Date Referred]])</f>
        <v>14</v>
      </c>
      <c r="P180" s="18">
        <v>45511</v>
      </c>
      <c r="Q180" s="5">
        <f>IF(ISNUMBER(Table32[[#This Row],[Date Allocated]]),Table32[[#This Row],[Date Allocated]],DATE(1900,1,1))</f>
        <v>45511</v>
      </c>
      <c r="R180" s="14">
        <f>IF(OR(Table32[[#This Row],[Date Assessed]]="N/A",Table32[[#This Row],[Date Allocated]]="N/A"),"N/A",Table32[[#This Row],[Date Allocated]]-Table32[[#This Row],[Date Assessed]])</f>
        <v>52</v>
      </c>
      <c r="S180" s="5">
        <v>45648</v>
      </c>
      <c r="T180" t="s">
        <v>255</v>
      </c>
      <c r="U180" t="s">
        <v>261</v>
      </c>
    </row>
    <row r="181" spans="1:21" x14ac:dyDescent="0.2">
      <c r="A181" s="4" t="s">
        <v>191</v>
      </c>
      <c r="B181" s="5">
        <v>29362</v>
      </c>
      <c r="C181">
        <f t="shared" ca="1" si="10"/>
        <v>45</v>
      </c>
      <c r="D181" t="str">
        <f t="shared" ca="1" si="8"/>
        <v>45–54</v>
      </c>
      <c r="E181" t="s">
        <v>225</v>
      </c>
      <c r="F181" t="s">
        <v>230</v>
      </c>
      <c r="G181" t="s">
        <v>243</v>
      </c>
      <c r="H181" t="str">
        <f t="shared" si="9"/>
        <v>BAME</v>
      </c>
      <c r="I181" t="s">
        <v>247</v>
      </c>
      <c r="J181" t="s">
        <v>252</v>
      </c>
      <c r="K181" s="5">
        <v>45395</v>
      </c>
      <c r="L181" s="7" t="str">
        <f t="shared" si="11"/>
        <v>April 2024</v>
      </c>
      <c r="M181" s="5">
        <v>45421</v>
      </c>
      <c r="N181" s="5">
        <f>IF(ISNUMBER(Table32[[#This Row],[Date Assessed]]),Table32[[#This Row],[Date Assessed]], DATE(1900,1,1))</f>
        <v>45421</v>
      </c>
      <c r="O181" s="13">
        <f>IF(OR(Table32[[#This Row],[Date Assessed]]="N/A",  Table32[[#This Row],[Date Referred]] = "N/A"), "N/A",  Table32[[#This Row],[Date Assessed]]-Table32[[#This Row],[Date Referred]])</f>
        <v>26</v>
      </c>
      <c r="P181" s="18">
        <v>45459</v>
      </c>
      <c r="Q181" s="5">
        <f>IF(ISNUMBER(Table32[[#This Row],[Date Allocated]]),Table32[[#This Row],[Date Allocated]],DATE(1900,1,1))</f>
        <v>45459</v>
      </c>
      <c r="R181" s="14">
        <f>IF(OR(Table32[[#This Row],[Date Assessed]]="N/A",Table32[[#This Row],[Date Allocated]]="N/A"),"N/A",Table32[[#This Row],[Date Allocated]]-Table32[[#This Row],[Date Assessed]])</f>
        <v>38</v>
      </c>
      <c r="S181" s="5">
        <v>45607</v>
      </c>
      <c r="T181" t="s">
        <v>255</v>
      </c>
      <c r="U181" t="s">
        <v>262</v>
      </c>
    </row>
    <row r="182" spans="1:21" x14ac:dyDescent="0.2">
      <c r="A182" s="4" t="s">
        <v>192</v>
      </c>
      <c r="B182" s="5">
        <v>22730</v>
      </c>
      <c r="C182">
        <f t="shared" ca="1" si="10"/>
        <v>63</v>
      </c>
      <c r="D182" t="str">
        <f t="shared" ca="1" si="8"/>
        <v>55–64</v>
      </c>
      <c r="E182" t="s">
        <v>224</v>
      </c>
      <c r="F182" t="s">
        <v>228</v>
      </c>
      <c r="G182" t="s">
        <v>242</v>
      </c>
      <c r="H182" t="str">
        <f t="shared" si="9"/>
        <v>White</v>
      </c>
      <c r="I182" t="s">
        <v>247</v>
      </c>
      <c r="J182" t="s">
        <v>250</v>
      </c>
      <c r="K182" s="5">
        <v>45424</v>
      </c>
      <c r="L182" s="7" t="str">
        <f t="shared" si="11"/>
        <v>May 2024</v>
      </c>
      <c r="M182" s="5">
        <v>45471</v>
      </c>
      <c r="N182" s="5">
        <f>IF(ISNUMBER(Table32[[#This Row],[Date Assessed]]),Table32[[#This Row],[Date Assessed]], DATE(1900,1,1))</f>
        <v>45471</v>
      </c>
      <c r="O182" s="13">
        <f>IF(OR(Table32[[#This Row],[Date Assessed]]="N/A",  Table32[[#This Row],[Date Referred]] = "N/A"), "N/A",  Table32[[#This Row],[Date Assessed]]-Table32[[#This Row],[Date Referred]])</f>
        <v>47</v>
      </c>
      <c r="P182" s="18">
        <v>45530</v>
      </c>
      <c r="Q182" s="5">
        <f>IF(ISNUMBER(Table32[[#This Row],[Date Allocated]]),Table32[[#This Row],[Date Allocated]],DATE(1900,1,1))</f>
        <v>45530</v>
      </c>
      <c r="R182" s="14">
        <f>IF(OR(Table32[[#This Row],[Date Assessed]]="N/A",Table32[[#This Row],[Date Allocated]]="N/A"),"N/A",Table32[[#This Row],[Date Allocated]]-Table32[[#This Row],[Date Assessed]])</f>
        <v>59</v>
      </c>
      <c r="S182" s="5">
        <v>45664</v>
      </c>
      <c r="T182" t="s">
        <v>255</v>
      </c>
      <c r="U182" t="s">
        <v>263</v>
      </c>
    </row>
    <row r="183" spans="1:21" x14ac:dyDescent="0.2">
      <c r="A183" s="4" t="s">
        <v>193</v>
      </c>
      <c r="B183" s="5">
        <v>30974</v>
      </c>
      <c r="C183">
        <f t="shared" ca="1" si="10"/>
        <v>40</v>
      </c>
      <c r="D183" t="str">
        <f t="shared" ca="1" si="8"/>
        <v>35–44</v>
      </c>
      <c r="E183" t="s">
        <v>225</v>
      </c>
      <c r="F183" t="s">
        <v>228</v>
      </c>
      <c r="G183" t="s">
        <v>243</v>
      </c>
      <c r="H183" t="str">
        <f t="shared" si="9"/>
        <v>BAME</v>
      </c>
      <c r="I183" t="s">
        <v>247</v>
      </c>
      <c r="J183" t="s">
        <v>250</v>
      </c>
      <c r="K183" s="5">
        <v>45567</v>
      </c>
      <c r="L183" s="7" t="str">
        <f t="shared" si="11"/>
        <v>October 2024</v>
      </c>
      <c r="M183" s="5">
        <v>45593</v>
      </c>
      <c r="N183" s="5">
        <f>IF(ISNUMBER(Table32[[#This Row],[Date Assessed]]),Table32[[#This Row],[Date Assessed]], DATE(1900,1,1))</f>
        <v>45593</v>
      </c>
      <c r="O183" s="13">
        <f>IF(OR(Table32[[#This Row],[Date Assessed]]="N/A",  Table32[[#This Row],[Date Referred]] = "N/A"), "N/A",  Table32[[#This Row],[Date Assessed]]-Table32[[#This Row],[Date Referred]])</f>
        <v>26</v>
      </c>
      <c r="P183" s="18">
        <v>45631</v>
      </c>
      <c r="Q183" s="5">
        <f>IF(ISNUMBER(Table32[[#This Row],[Date Allocated]]),Table32[[#This Row],[Date Allocated]],DATE(1900,1,1))</f>
        <v>45631</v>
      </c>
      <c r="R183" s="14">
        <f>IF(OR(Table32[[#This Row],[Date Assessed]]="N/A",Table32[[#This Row],[Date Allocated]]="N/A"),"N/A",Table32[[#This Row],[Date Allocated]]-Table32[[#This Row],[Date Assessed]])</f>
        <v>38</v>
      </c>
      <c r="S183" s="5">
        <v>45799</v>
      </c>
      <c r="T183" t="s">
        <v>255</v>
      </c>
      <c r="U183" t="s">
        <v>263</v>
      </c>
    </row>
    <row r="184" spans="1:21" x14ac:dyDescent="0.2">
      <c r="A184" s="4" t="s">
        <v>194</v>
      </c>
      <c r="B184" s="5">
        <v>33316</v>
      </c>
      <c r="C184">
        <f t="shared" ca="1" si="10"/>
        <v>34</v>
      </c>
      <c r="D184" t="str">
        <f t="shared" ca="1" si="8"/>
        <v>25–34</v>
      </c>
      <c r="E184" t="s">
        <v>225</v>
      </c>
      <c r="F184" t="s">
        <v>228</v>
      </c>
      <c r="G184" t="s">
        <v>242</v>
      </c>
      <c r="H184" t="str">
        <f t="shared" si="9"/>
        <v>White</v>
      </c>
      <c r="I184" t="s">
        <v>247</v>
      </c>
      <c r="J184" t="s">
        <v>250</v>
      </c>
      <c r="K184" s="5">
        <v>45360</v>
      </c>
      <c r="L184" s="7" t="str">
        <f t="shared" si="11"/>
        <v>March 2024</v>
      </c>
      <c r="M184" s="5">
        <v>45407</v>
      </c>
      <c r="N184" s="5">
        <f>IF(ISNUMBER(Table32[[#This Row],[Date Assessed]]),Table32[[#This Row],[Date Assessed]], DATE(1900,1,1))</f>
        <v>45407</v>
      </c>
      <c r="O184" s="13">
        <f>IF(OR(Table32[[#This Row],[Date Assessed]]="N/A",  Table32[[#This Row],[Date Referred]] = "N/A"), "N/A",  Table32[[#This Row],[Date Assessed]]-Table32[[#This Row],[Date Referred]])</f>
        <v>47</v>
      </c>
      <c r="P184" s="18">
        <v>45458</v>
      </c>
      <c r="Q184" s="5">
        <f>IF(ISNUMBER(Table32[[#This Row],[Date Allocated]]),Table32[[#This Row],[Date Allocated]],DATE(1900,1,1))</f>
        <v>45458</v>
      </c>
      <c r="R184" s="14">
        <f>IF(OR(Table32[[#This Row],[Date Assessed]]="N/A",Table32[[#This Row],[Date Allocated]]="N/A"),"N/A",Table32[[#This Row],[Date Allocated]]-Table32[[#This Row],[Date Assessed]])</f>
        <v>51</v>
      </c>
      <c r="S184" s="5">
        <v>45616</v>
      </c>
      <c r="T184" t="s">
        <v>255</v>
      </c>
      <c r="U184" t="s">
        <v>272</v>
      </c>
    </row>
    <row r="185" spans="1:21" x14ac:dyDescent="0.2">
      <c r="A185" s="4" t="s">
        <v>195</v>
      </c>
      <c r="B185" s="5">
        <v>26127</v>
      </c>
      <c r="C185">
        <f t="shared" ca="1" si="10"/>
        <v>54</v>
      </c>
      <c r="D185" t="str">
        <f t="shared" ca="1" si="8"/>
        <v>45–54</v>
      </c>
      <c r="E185" t="s">
        <v>225</v>
      </c>
      <c r="F185" t="s">
        <v>230</v>
      </c>
      <c r="G185" t="s">
        <v>243</v>
      </c>
      <c r="H185" t="str">
        <f t="shared" si="9"/>
        <v>BAME</v>
      </c>
      <c r="I185" t="s">
        <v>246</v>
      </c>
      <c r="J185" t="s">
        <v>251</v>
      </c>
      <c r="K185" s="5">
        <v>45619</v>
      </c>
      <c r="L185" s="7" t="str">
        <f t="shared" si="11"/>
        <v>November 2024</v>
      </c>
      <c r="M185" s="5">
        <v>45644</v>
      </c>
      <c r="N185" s="5">
        <f>IF(ISNUMBER(Table32[[#This Row],[Date Assessed]]),Table32[[#This Row],[Date Assessed]], DATE(1900,1,1))</f>
        <v>45644</v>
      </c>
      <c r="O185" s="13">
        <f>IF(OR(Table32[[#This Row],[Date Assessed]]="N/A",  Table32[[#This Row],[Date Referred]] = "N/A"), "N/A",  Table32[[#This Row],[Date Assessed]]-Table32[[#This Row],[Date Referred]])</f>
        <v>25</v>
      </c>
      <c r="P185" s="18">
        <v>45667</v>
      </c>
      <c r="Q185" s="5">
        <f>IF(ISNUMBER(Table32[[#This Row],[Date Allocated]]),Table32[[#This Row],[Date Allocated]],DATE(1900,1,1))</f>
        <v>45667</v>
      </c>
      <c r="R185" s="14">
        <f>IF(OR(Table32[[#This Row],[Date Assessed]]="N/A",Table32[[#This Row],[Date Allocated]]="N/A"),"N/A",Table32[[#This Row],[Date Allocated]]-Table32[[#This Row],[Date Assessed]])</f>
        <v>23</v>
      </c>
      <c r="S185" s="5">
        <v>45794</v>
      </c>
      <c r="T185" t="s">
        <v>255</v>
      </c>
      <c r="U185" t="s">
        <v>262</v>
      </c>
    </row>
    <row r="186" spans="1:21" x14ac:dyDescent="0.2">
      <c r="A186" s="4" t="s">
        <v>196</v>
      </c>
      <c r="B186" s="5">
        <v>35864</v>
      </c>
      <c r="C186">
        <f t="shared" ca="1" si="10"/>
        <v>27</v>
      </c>
      <c r="D186" t="str">
        <f t="shared" ca="1" si="8"/>
        <v>25–34</v>
      </c>
      <c r="E186" t="s">
        <v>225</v>
      </c>
      <c r="F186" t="s">
        <v>231</v>
      </c>
      <c r="G186" t="s">
        <v>241</v>
      </c>
      <c r="H186" t="str">
        <f t="shared" si="9"/>
        <v>BAME</v>
      </c>
      <c r="I186" t="s">
        <v>247</v>
      </c>
      <c r="J186" t="s">
        <v>252</v>
      </c>
      <c r="K186" s="5">
        <v>45636</v>
      </c>
      <c r="L186" s="7" t="str">
        <f t="shared" si="11"/>
        <v>December 2024</v>
      </c>
      <c r="M186" s="5">
        <v>45671</v>
      </c>
      <c r="N186" s="5">
        <f>IF(ISNUMBER(Table32[[#This Row],[Date Assessed]]),Table32[[#This Row],[Date Assessed]], DATE(1900,1,1))</f>
        <v>45671</v>
      </c>
      <c r="O186" s="13">
        <f>IF(OR(Table32[[#This Row],[Date Assessed]]="N/A",  Table32[[#This Row],[Date Referred]] = "N/A"), "N/A",  Table32[[#This Row],[Date Assessed]]-Table32[[#This Row],[Date Referred]])</f>
        <v>35</v>
      </c>
      <c r="P186" s="18">
        <v>45722</v>
      </c>
      <c r="Q186" s="5">
        <f>IF(ISNUMBER(Table32[[#This Row],[Date Allocated]]),Table32[[#This Row],[Date Allocated]],DATE(1900,1,1))</f>
        <v>45722</v>
      </c>
      <c r="R186" s="14">
        <f>IF(OR(Table32[[#This Row],[Date Assessed]]="N/A",Table32[[#This Row],[Date Allocated]]="N/A"),"N/A",Table32[[#This Row],[Date Allocated]]-Table32[[#This Row],[Date Assessed]])</f>
        <v>51</v>
      </c>
      <c r="S186" s="5">
        <v>45900</v>
      </c>
      <c r="T186" t="s">
        <v>255</v>
      </c>
      <c r="U186" t="s">
        <v>262</v>
      </c>
    </row>
    <row r="187" spans="1:21" x14ac:dyDescent="0.2">
      <c r="A187" s="4" t="s">
        <v>197</v>
      </c>
      <c r="B187" s="5">
        <v>31354</v>
      </c>
      <c r="C187">
        <f t="shared" ca="1" si="10"/>
        <v>39</v>
      </c>
      <c r="D187" t="str">
        <f t="shared" ca="1" si="8"/>
        <v>35–44</v>
      </c>
      <c r="E187" t="s">
        <v>224</v>
      </c>
      <c r="F187" t="s">
        <v>231</v>
      </c>
      <c r="G187" t="s">
        <v>241</v>
      </c>
      <c r="H187" t="str">
        <f t="shared" si="9"/>
        <v>BAME</v>
      </c>
      <c r="I187" t="s">
        <v>246</v>
      </c>
      <c r="J187" t="s">
        <v>254</v>
      </c>
      <c r="K187" s="5">
        <v>45636</v>
      </c>
      <c r="L187" s="7" t="str">
        <f t="shared" si="11"/>
        <v>December 2024</v>
      </c>
      <c r="M187" s="5">
        <v>45642</v>
      </c>
      <c r="N187" s="5">
        <f>IF(ISNUMBER(Table32[[#This Row],[Date Assessed]]),Table32[[#This Row],[Date Assessed]], DATE(1900,1,1))</f>
        <v>45642</v>
      </c>
      <c r="O187" s="13">
        <f>IF(OR(Table32[[#This Row],[Date Assessed]]="N/A",  Table32[[#This Row],[Date Referred]] = "N/A"), "N/A",  Table32[[#This Row],[Date Assessed]]-Table32[[#This Row],[Date Referred]])</f>
        <v>6</v>
      </c>
      <c r="P187" s="18">
        <v>45650</v>
      </c>
      <c r="Q187" s="5">
        <f>IF(ISNUMBER(Table32[[#This Row],[Date Allocated]]),Table32[[#This Row],[Date Allocated]],DATE(1900,1,1))</f>
        <v>45650</v>
      </c>
      <c r="R187" s="14">
        <f>IF(OR(Table32[[#This Row],[Date Assessed]]="N/A",Table32[[#This Row],[Date Allocated]]="N/A"),"N/A",Table32[[#This Row],[Date Allocated]]-Table32[[#This Row],[Date Assessed]])</f>
        <v>8</v>
      </c>
      <c r="S187" s="5">
        <v>45794</v>
      </c>
      <c r="T187" t="s">
        <v>255</v>
      </c>
      <c r="U187" t="s">
        <v>264</v>
      </c>
    </row>
    <row r="188" spans="1:21" x14ac:dyDescent="0.2">
      <c r="A188" s="4" t="s">
        <v>198</v>
      </c>
      <c r="B188" s="5">
        <v>25833</v>
      </c>
      <c r="C188">
        <f t="shared" ca="1" si="10"/>
        <v>55</v>
      </c>
      <c r="D188" t="str">
        <f t="shared" ca="1" si="8"/>
        <v>55–64</v>
      </c>
      <c r="E188" t="s">
        <v>225</v>
      </c>
      <c r="F188" t="s">
        <v>229</v>
      </c>
      <c r="G188" t="s">
        <v>243</v>
      </c>
      <c r="H188" t="str">
        <f t="shared" si="9"/>
        <v>BAME</v>
      </c>
      <c r="I188" t="s">
        <v>247</v>
      </c>
      <c r="J188" t="s">
        <v>253</v>
      </c>
      <c r="K188" s="5">
        <v>45513</v>
      </c>
      <c r="L188" s="7" t="str">
        <f t="shared" si="11"/>
        <v>August 2024</v>
      </c>
      <c r="M188" s="5">
        <v>45554</v>
      </c>
      <c r="N188" s="5">
        <f>IF(ISNUMBER(Table32[[#This Row],[Date Assessed]]),Table32[[#This Row],[Date Assessed]], DATE(1900,1,1))</f>
        <v>45554</v>
      </c>
      <c r="O188" s="13">
        <f>IF(OR(Table32[[#This Row],[Date Assessed]]="N/A",  Table32[[#This Row],[Date Referred]] = "N/A"), "N/A",  Table32[[#This Row],[Date Assessed]]-Table32[[#This Row],[Date Referred]])</f>
        <v>41</v>
      </c>
      <c r="P188" s="18">
        <v>45603</v>
      </c>
      <c r="Q188" s="5">
        <f>IF(ISNUMBER(Table32[[#This Row],[Date Allocated]]),Table32[[#This Row],[Date Allocated]],DATE(1900,1,1))</f>
        <v>45603</v>
      </c>
      <c r="R188" s="14">
        <f>IF(OR(Table32[[#This Row],[Date Assessed]]="N/A",Table32[[#This Row],[Date Allocated]]="N/A"),"N/A",Table32[[#This Row],[Date Allocated]]-Table32[[#This Row],[Date Assessed]])</f>
        <v>49</v>
      </c>
      <c r="S188" s="5">
        <v>45764</v>
      </c>
      <c r="T188" t="s">
        <v>255</v>
      </c>
      <c r="U188" t="s">
        <v>264</v>
      </c>
    </row>
    <row r="189" spans="1:21" x14ac:dyDescent="0.2">
      <c r="A189" s="4" t="s">
        <v>199</v>
      </c>
      <c r="B189" s="5">
        <v>35970</v>
      </c>
      <c r="C189">
        <f t="shared" ca="1" si="10"/>
        <v>27</v>
      </c>
      <c r="D189" t="str">
        <f t="shared" ca="1" si="8"/>
        <v>25–34</v>
      </c>
      <c r="E189" t="s">
        <v>225</v>
      </c>
      <c r="F189" t="s">
        <v>229</v>
      </c>
      <c r="G189" t="s">
        <v>243</v>
      </c>
      <c r="H189" t="str">
        <f t="shared" si="9"/>
        <v>BAME</v>
      </c>
      <c r="I189" t="s">
        <v>247</v>
      </c>
      <c r="J189" t="s">
        <v>252</v>
      </c>
      <c r="K189" s="5">
        <v>45526</v>
      </c>
      <c r="L189" s="7" t="str">
        <f t="shared" si="11"/>
        <v>August 2024</v>
      </c>
      <c r="M189" s="5">
        <v>45566</v>
      </c>
      <c r="N189" s="5">
        <f>IF(ISNUMBER(Table32[[#This Row],[Date Assessed]]),Table32[[#This Row],[Date Assessed]], DATE(1900,1,1))</f>
        <v>45566</v>
      </c>
      <c r="O189" s="13">
        <f>IF(OR(Table32[[#This Row],[Date Assessed]]="N/A",  Table32[[#This Row],[Date Referred]] = "N/A"), "N/A",  Table32[[#This Row],[Date Assessed]]-Table32[[#This Row],[Date Referred]])</f>
        <v>40</v>
      </c>
      <c r="P189" s="18">
        <v>45619</v>
      </c>
      <c r="Q189" s="5">
        <f>IF(ISNUMBER(Table32[[#This Row],[Date Allocated]]),Table32[[#This Row],[Date Allocated]],DATE(1900,1,1))</f>
        <v>45619</v>
      </c>
      <c r="R189" s="14">
        <f>IF(OR(Table32[[#This Row],[Date Assessed]]="N/A",Table32[[#This Row],[Date Allocated]]="N/A"),"N/A",Table32[[#This Row],[Date Allocated]]-Table32[[#This Row],[Date Assessed]])</f>
        <v>53</v>
      </c>
      <c r="S189" s="5">
        <v>45757</v>
      </c>
      <c r="T189" t="s">
        <v>255</v>
      </c>
      <c r="U189" t="s">
        <v>262</v>
      </c>
    </row>
    <row r="190" spans="1:21" x14ac:dyDescent="0.2">
      <c r="A190" s="4" t="s">
        <v>200</v>
      </c>
      <c r="B190" s="5">
        <v>28968</v>
      </c>
      <c r="C190">
        <f t="shared" ca="1" si="10"/>
        <v>46</v>
      </c>
      <c r="D190" t="str">
        <f t="shared" ca="1" si="8"/>
        <v>45–54</v>
      </c>
      <c r="E190" t="s">
        <v>225</v>
      </c>
      <c r="F190" t="s">
        <v>229</v>
      </c>
      <c r="G190" t="s">
        <v>243</v>
      </c>
      <c r="H190" t="str">
        <f t="shared" si="9"/>
        <v>BAME</v>
      </c>
      <c r="I190" t="s">
        <v>246</v>
      </c>
      <c r="J190" t="s">
        <v>252</v>
      </c>
      <c r="K190" s="5">
        <v>45300</v>
      </c>
      <c r="L190" s="7" t="str">
        <f t="shared" si="11"/>
        <v>January 2024</v>
      </c>
      <c r="M190" s="5">
        <v>45304</v>
      </c>
      <c r="N190" s="5">
        <f>IF(ISNUMBER(Table32[[#This Row],[Date Assessed]]),Table32[[#This Row],[Date Assessed]], DATE(1900,1,1))</f>
        <v>45304</v>
      </c>
      <c r="O190" s="13">
        <f>IF(OR(Table32[[#This Row],[Date Assessed]]="N/A",  Table32[[#This Row],[Date Referred]] = "N/A"), "N/A",  Table32[[#This Row],[Date Assessed]]-Table32[[#This Row],[Date Referred]])</f>
        <v>4</v>
      </c>
      <c r="P190" s="18">
        <v>45339</v>
      </c>
      <c r="Q190" s="5">
        <f>IF(ISNUMBER(Table32[[#This Row],[Date Allocated]]),Table32[[#This Row],[Date Allocated]],DATE(1900,1,1))</f>
        <v>45339</v>
      </c>
      <c r="R190" s="14">
        <f>IF(OR(Table32[[#This Row],[Date Assessed]]="N/A",Table32[[#This Row],[Date Allocated]]="N/A"),"N/A",Table32[[#This Row],[Date Allocated]]-Table32[[#This Row],[Date Assessed]])</f>
        <v>35</v>
      </c>
      <c r="S190" s="5">
        <v>45519</v>
      </c>
      <c r="T190" t="s">
        <v>255</v>
      </c>
      <c r="U190" t="s">
        <v>262</v>
      </c>
    </row>
    <row r="191" spans="1:21" x14ac:dyDescent="0.2">
      <c r="A191" s="4" t="s">
        <v>201</v>
      </c>
      <c r="B191" s="5">
        <v>25826</v>
      </c>
      <c r="C191">
        <f t="shared" ca="1" si="10"/>
        <v>55</v>
      </c>
      <c r="D191" t="str">
        <f t="shared" ca="1" si="8"/>
        <v>55–64</v>
      </c>
      <c r="E191" t="s">
        <v>224</v>
      </c>
      <c r="F191" t="s">
        <v>229</v>
      </c>
      <c r="G191" t="s">
        <v>243</v>
      </c>
      <c r="H191" t="str">
        <f t="shared" si="9"/>
        <v>BAME</v>
      </c>
      <c r="I191" t="s">
        <v>247</v>
      </c>
      <c r="J191" t="s">
        <v>252</v>
      </c>
      <c r="K191" s="5">
        <v>45333</v>
      </c>
      <c r="L191" s="7" t="str">
        <f t="shared" si="11"/>
        <v>February 2024</v>
      </c>
      <c r="M191" s="5">
        <v>45373</v>
      </c>
      <c r="N191" s="5">
        <f>IF(ISNUMBER(Table32[[#This Row],[Date Assessed]]),Table32[[#This Row],[Date Assessed]], DATE(1900,1,1))</f>
        <v>45373</v>
      </c>
      <c r="O191" s="13">
        <f>IF(OR(Table32[[#This Row],[Date Assessed]]="N/A",  Table32[[#This Row],[Date Referred]] = "N/A"), "N/A",  Table32[[#This Row],[Date Assessed]]-Table32[[#This Row],[Date Referred]])</f>
        <v>40</v>
      </c>
      <c r="P191" s="18">
        <v>45390</v>
      </c>
      <c r="Q191" s="5">
        <f>IF(ISNUMBER(Table32[[#This Row],[Date Allocated]]),Table32[[#This Row],[Date Allocated]],DATE(1900,1,1))</f>
        <v>45390</v>
      </c>
      <c r="R191" s="14">
        <f>IF(OR(Table32[[#This Row],[Date Assessed]]="N/A",Table32[[#This Row],[Date Allocated]]="N/A"),"N/A",Table32[[#This Row],[Date Allocated]]-Table32[[#This Row],[Date Assessed]])</f>
        <v>17</v>
      </c>
      <c r="S191" s="5">
        <v>45521</v>
      </c>
      <c r="T191" t="s">
        <v>255</v>
      </c>
      <c r="U191" t="s">
        <v>263</v>
      </c>
    </row>
    <row r="192" spans="1:21" x14ac:dyDescent="0.2">
      <c r="A192" s="4" t="s">
        <v>202</v>
      </c>
      <c r="B192" s="5">
        <v>23821</v>
      </c>
      <c r="C192">
        <f t="shared" ca="1" si="10"/>
        <v>60</v>
      </c>
      <c r="D192" t="str">
        <f t="shared" ca="1" si="8"/>
        <v>55–64</v>
      </c>
      <c r="E192" t="s">
        <v>225</v>
      </c>
      <c r="F192" t="s">
        <v>228</v>
      </c>
      <c r="G192" t="s">
        <v>242</v>
      </c>
      <c r="H192" t="str">
        <f t="shared" si="9"/>
        <v>White</v>
      </c>
      <c r="I192" t="s">
        <v>247</v>
      </c>
      <c r="J192" t="s">
        <v>250</v>
      </c>
      <c r="K192" s="5">
        <v>45484</v>
      </c>
      <c r="L192" s="7" t="str">
        <f t="shared" si="11"/>
        <v>July 2024</v>
      </c>
      <c r="M192" s="5">
        <v>45524</v>
      </c>
      <c r="N192" s="5">
        <f>IF(ISNUMBER(Table32[[#This Row],[Date Assessed]]),Table32[[#This Row],[Date Assessed]], DATE(1900,1,1))</f>
        <v>45524</v>
      </c>
      <c r="O192" s="13">
        <f>IF(OR(Table32[[#This Row],[Date Assessed]]="N/A",  Table32[[#This Row],[Date Referred]] = "N/A"), "N/A",  Table32[[#This Row],[Date Assessed]]-Table32[[#This Row],[Date Referred]])</f>
        <v>40</v>
      </c>
      <c r="P192" s="18">
        <v>45536</v>
      </c>
      <c r="Q192" s="5">
        <f>IF(ISNUMBER(Table32[[#This Row],[Date Allocated]]),Table32[[#This Row],[Date Allocated]],DATE(1900,1,1))</f>
        <v>45536</v>
      </c>
      <c r="R192" s="14">
        <f>IF(OR(Table32[[#This Row],[Date Assessed]]="N/A",Table32[[#This Row],[Date Allocated]]="N/A"),"N/A",Table32[[#This Row],[Date Allocated]]-Table32[[#This Row],[Date Assessed]])</f>
        <v>12</v>
      </c>
      <c r="S192" s="5">
        <v>45659</v>
      </c>
      <c r="T192" t="s">
        <v>255</v>
      </c>
      <c r="U192" t="s">
        <v>272</v>
      </c>
    </row>
    <row r="193" spans="1:21" x14ac:dyDescent="0.2">
      <c r="A193" s="4" t="s">
        <v>203</v>
      </c>
      <c r="B193" s="5">
        <v>34002</v>
      </c>
      <c r="C193">
        <f t="shared" ca="1" si="10"/>
        <v>32</v>
      </c>
      <c r="D193" t="str">
        <f t="shared" ca="1" si="8"/>
        <v>25–34</v>
      </c>
      <c r="E193" t="s">
        <v>225</v>
      </c>
      <c r="F193" t="s">
        <v>230</v>
      </c>
      <c r="G193" t="s">
        <v>243</v>
      </c>
      <c r="H193" t="str">
        <f t="shared" si="9"/>
        <v>BAME</v>
      </c>
      <c r="I193" t="s">
        <v>248</v>
      </c>
      <c r="J193" t="s">
        <v>252</v>
      </c>
      <c r="K193" s="5">
        <v>45365</v>
      </c>
      <c r="L193" s="7" t="str">
        <f t="shared" si="11"/>
        <v>March 2024</v>
      </c>
      <c r="M193" s="5">
        <v>45407</v>
      </c>
      <c r="N193" s="5">
        <f>IF(ISNUMBER(Table32[[#This Row],[Date Assessed]]),Table32[[#This Row],[Date Assessed]], DATE(1900,1,1))</f>
        <v>45407</v>
      </c>
      <c r="O193" s="13">
        <f>IF(OR(Table32[[#This Row],[Date Assessed]]="N/A",  Table32[[#This Row],[Date Referred]] = "N/A"), "N/A",  Table32[[#This Row],[Date Assessed]]-Table32[[#This Row],[Date Referred]])</f>
        <v>42</v>
      </c>
      <c r="P193" s="18">
        <v>45433</v>
      </c>
      <c r="Q193" s="5">
        <f>IF(ISNUMBER(Table32[[#This Row],[Date Allocated]]),Table32[[#This Row],[Date Allocated]],DATE(1900,1,1))</f>
        <v>45433</v>
      </c>
      <c r="R193" s="14">
        <f>IF(OR(Table32[[#This Row],[Date Assessed]]="N/A",Table32[[#This Row],[Date Allocated]]="N/A"),"N/A",Table32[[#This Row],[Date Allocated]]-Table32[[#This Row],[Date Assessed]])</f>
        <v>26</v>
      </c>
      <c r="S193" s="5">
        <v>45612</v>
      </c>
      <c r="T193" t="s">
        <v>255</v>
      </c>
      <c r="U193" t="s">
        <v>272</v>
      </c>
    </row>
    <row r="194" spans="1:21" x14ac:dyDescent="0.2">
      <c r="A194" s="4" t="s">
        <v>204</v>
      </c>
      <c r="B194" s="5">
        <v>31309</v>
      </c>
      <c r="C194">
        <f t="shared" ca="1" si="10"/>
        <v>40</v>
      </c>
      <c r="D194" t="str">
        <f t="shared" ca="1" si="8"/>
        <v>35–44</v>
      </c>
      <c r="E194" t="s">
        <v>225</v>
      </c>
      <c r="F194" t="s">
        <v>228</v>
      </c>
      <c r="G194" t="s">
        <v>243</v>
      </c>
      <c r="H194" t="str">
        <f t="shared" si="9"/>
        <v>BAME</v>
      </c>
      <c r="I194" t="s">
        <v>247</v>
      </c>
      <c r="J194" t="s">
        <v>253</v>
      </c>
      <c r="K194" s="5">
        <v>45486</v>
      </c>
      <c r="L194" s="7" t="str">
        <f t="shared" si="11"/>
        <v>July 2024</v>
      </c>
      <c r="M194" s="5">
        <v>45501</v>
      </c>
      <c r="N194" s="5">
        <f>IF(ISNUMBER(Table32[[#This Row],[Date Assessed]]),Table32[[#This Row],[Date Assessed]], DATE(1900,1,1))</f>
        <v>45501</v>
      </c>
      <c r="O194" s="13">
        <f>IF(OR(Table32[[#This Row],[Date Assessed]]="N/A",  Table32[[#This Row],[Date Referred]] = "N/A"), "N/A",  Table32[[#This Row],[Date Assessed]]-Table32[[#This Row],[Date Referred]])</f>
        <v>15</v>
      </c>
      <c r="P194" s="18">
        <v>45522</v>
      </c>
      <c r="Q194" s="5">
        <f>IF(ISNUMBER(Table32[[#This Row],[Date Allocated]]),Table32[[#This Row],[Date Allocated]],DATE(1900,1,1))</f>
        <v>45522</v>
      </c>
      <c r="R194" s="14">
        <f>IF(OR(Table32[[#This Row],[Date Assessed]]="N/A",Table32[[#This Row],[Date Allocated]]="N/A"),"N/A",Table32[[#This Row],[Date Allocated]]-Table32[[#This Row],[Date Assessed]])</f>
        <v>21</v>
      </c>
      <c r="S194" s="5">
        <v>45677</v>
      </c>
      <c r="T194" t="s">
        <v>255</v>
      </c>
      <c r="U194" t="s">
        <v>263</v>
      </c>
    </row>
    <row r="195" spans="1:21" x14ac:dyDescent="0.2">
      <c r="A195" s="4" t="s">
        <v>205</v>
      </c>
      <c r="B195" s="5">
        <v>35737</v>
      </c>
      <c r="C195">
        <f t="shared" ca="1" si="10"/>
        <v>27</v>
      </c>
      <c r="D195" t="str">
        <f t="shared" ca="1" si="8"/>
        <v>25–34</v>
      </c>
      <c r="E195" t="s">
        <v>225</v>
      </c>
      <c r="F195" t="s">
        <v>230</v>
      </c>
      <c r="G195" t="s">
        <v>243</v>
      </c>
      <c r="H195" t="str">
        <f t="shared" si="9"/>
        <v>BAME</v>
      </c>
      <c r="I195" t="s">
        <v>247</v>
      </c>
      <c r="J195" t="s">
        <v>252</v>
      </c>
      <c r="K195" s="5">
        <v>45303</v>
      </c>
      <c r="L195" s="7" t="str">
        <f t="shared" si="11"/>
        <v>January 2024</v>
      </c>
      <c r="M195" s="5">
        <v>45350</v>
      </c>
      <c r="N195" s="5">
        <f>IF(ISNUMBER(Table32[[#This Row],[Date Assessed]]),Table32[[#This Row],[Date Assessed]], DATE(1900,1,1))</f>
        <v>45350</v>
      </c>
      <c r="O195" s="13">
        <f>IF(OR(Table32[[#This Row],[Date Assessed]]="N/A",  Table32[[#This Row],[Date Referred]] = "N/A"), "N/A",  Table32[[#This Row],[Date Assessed]]-Table32[[#This Row],[Date Referred]])</f>
        <v>47</v>
      </c>
      <c r="P195" s="18">
        <v>45402</v>
      </c>
      <c r="Q195" s="5">
        <f>IF(ISNUMBER(Table32[[#This Row],[Date Allocated]]),Table32[[#This Row],[Date Allocated]],DATE(1900,1,1))</f>
        <v>45402</v>
      </c>
      <c r="R195" s="14">
        <f>IF(OR(Table32[[#This Row],[Date Assessed]]="N/A",Table32[[#This Row],[Date Allocated]]="N/A"),"N/A",Table32[[#This Row],[Date Allocated]]-Table32[[#This Row],[Date Assessed]])</f>
        <v>52</v>
      </c>
      <c r="S195" s="5">
        <v>45578</v>
      </c>
      <c r="T195" t="s">
        <v>255</v>
      </c>
      <c r="U195" t="s">
        <v>264</v>
      </c>
    </row>
    <row r="196" spans="1:21" x14ac:dyDescent="0.2">
      <c r="A196" s="4" t="s">
        <v>206</v>
      </c>
      <c r="B196" s="5">
        <v>25859</v>
      </c>
      <c r="C196">
        <f t="shared" ca="1" si="10"/>
        <v>54</v>
      </c>
      <c r="D196" t="str">
        <f t="shared" ref="D196:D213" ca="1" si="12">IF(OR(ISBLANK(C196), C196 ="N/A"), "N/A",
  IF(VALUE(C196) &lt; 18, "0–17",
    IF(VALUE(C196) &lt; 25, "18–24",
      IF(VALUE(C196) &lt; 35, "25–34",
        IF(VALUE(C196) &lt; 45, "35–44",
          IF(VALUE(C196) &lt; 55, "45–54",
            IF(VALUE(C196) &lt; 65, "55–64", "65+")
          )
        )
      )
    )
  )
)</f>
        <v>45–54</v>
      </c>
      <c r="E196" t="s">
        <v>224</v>
      </c>
      <c r="F196" t="s">
        <v>228</v>
      </c>
      <c r="G196" t="s">
        <v>242</v>
      </c>
      <c r="H196" t="str">
        <f t="shared" ref="H196:H213" si="13">IF(OR(G196="Other",G196="Black / African / Caribbean", G196="Asian"), "BAME", "White")</f>
        <v>White</v>
      </c>
      <c r="I196" t="s">
        <v>246</v>
      </c>
      <c r="J196" t="s">
        <v>250</v>
      </c>
      <c r="K196" s="5">
        <v>45372</v>
      </c>
      <c r="L196" s="7" t="str">
        <f t="shared" si="11"/>
        <v>March 2024</v>
      </c>
      <c r="M196" s="5">
        <v>45416</v>
      </c>
      <c r="N196" s="5">
        <f>IF(ISNUMBER(Table32[[#This Row],[Date Assessed]]),Table32[[#This Row],[Date Assessed]], DATE(1900,1,1))</f>
        <v>45416</v>
      </c>
      <c r="O196" s="13">
        <f>IF(OR(Table32[[#This Row],[Date Assessed]]="N/A",  Table32[[#This Row],[Date Referred]] = "N/A"), "N/A",  Table32[[#This Row],[Date Assessed]]-Table32[[#This Row],[Date Referred]])</f>
        <v>44</v>
      </c>
      <c r="P196" s="18">
        <v>45436</v>
      </c>
      <c r="Q196" s="5">
        <f>IF(ISNUMBER(Table32[[#This Row],[Date Allocated]]),Table32[[#This Row],[Date Allocated]],DATE(1900,1,1))</f>
        <v>45436</v>
      </c>
      <c r="R196" s="14">
        <f>IF(OR(Table32[[#This Row],[Date Assessed]]="N/A",Table32[[#This Row],[Date Allocated]]="N/A"),"N/A",Table32[[#This Row],[Date Allocated]]-Table32[[#This Row],[Date Assessed]])</f>
        <v>20</v>
      </c>
      <c r="S196" s="5">
        <v>45595</v>
      </c>
      <c r="T196" t="s">
        <v>255</v>
      </c>
      <c r="U196" t="s">
        <v>272</v>
      </c>
    </row>
    <row r="197" spans="1:21" x14ac:dyDescent="0.2">
      <c r="A197" s="4" t="s">
        <v>207</v>
      </c>
      <c r="B197" s="5">
        <v>25356</v>
      </c>
      <c r="C197">
        <f t="shared" ref="C197:C213" ca="1" si="14">INT((TODAY()-B197)/365.25)</f>
        <v>56</v>
      </c>
      <c r="D197" t="str">
        <f t="shared" ca="1" si="12"/>
        <v>55–64</v>
      </c>
      <c r="E197" t="s">
        <v>224</v>
      </c>
      <c r="F197" t="s">
        <v>230</v>
      </c>
      <c r="G197" t="s">
        <v>243</v>
      </c>
      <c r="H197" t="str">
        <f t="shared" si="13"/>
        <v>BAME</v>
      </c>
      <c r="I197" t="s">
        <v>246</v>
      </c>
      <c r="J197" t="s">
        <v>250</v>
      </c>
      <c r="K197" s="5">
        <v>45490</v>
      </c>
      <c r="L197" s="7" t="str">
        <f t="shared" ref="L197:L213" si="15">TEXT(K197,"mmmm yyyyy")</f>
        <v>July 2024</v>
      </c>
      <c r="M197" s="5">
        <v>45532</v>
      </c>
      <c r="N197" s="5">
        <f>IF(ISNUMBER(Table32[[#This Row],[Date Assessed]]),Table32[[#This Row],[Date Assessed]], DATE(1900,1,1))</f>
        <v>45532</v>
      </c>
      <c r="O197" s="13">
        <f>IF(OR(Table32[[#This Row],[Date Assessed]]="N/A",  Table32[[#This Row],[Date Referred]] = "N/A"), "N/A",  Table32[[#This Row],[Date Assessed]]-Table32[[#This Row],[Date Referred]])</f>
        <v>42</v>
      </c>
      <c r="P197" s="18">
        <v>45581</v>
      </c>
      <c r="Q197" s="5">
        <f>IF(ISNUMBER(Table32[[#This Row],[Date Allocated]]),Table32[[#This Row],[Date Allocated]],DATE(1900,1,1))</f>
        <v>45581</v>
      </c>
      <c r="R197" s="14">
        <f>IF(OR(Table32[[#This Row],[Date Assessed]]="N/A",Table32[[#This Row],[Date Allocated]]="N/A"),"N/A",Table32[[#This Row],[Date Allocated]]-Table32[[#This Row],[Date Assessed]])</f>
        <v>49</v>
      </c>
      <c r="S197" s="5">
        <v>45729</v>
      </c>
      <c r="T197" t="s">
        <v>255</v>
      </c>
      <c r="U197" t="s">
        <v>272</v>
      </c>
    </row>
    <row r="198" spans="1:21" x14ac:dyDescent="0.2">
      <c r="A198" s="4" t="s">
        <v>208</v>
      </c>
      <c r="B198" s="5">
        <v>22537</v>
      </c>
      <c r="C198">
        <f t="shared" ca="1" si="14"/>
        <v>64</v>
      </c>
      <c r="D198" t="str">
        <f t="shared" ca="1" si="12"/>
        <v>55–64</v>
      </c>
      <c r="E198" t="s">
        <v>224</v>
      </c>
      <c r="F198" t="s">
        <v>230</v>
      </c>
      <c r="G198" t="s">
        <v>243</v>
      </c>
      <c r="H198" t="str">
        <f t="shared" si="13"/>
        <v>BAME</v>
      </c>
      <c r="I198" t="s">
        <v>246</v>
      </c>
      <c r="J198" t="s">
        <v>250</v>
      </c>
      <c r="K198" s="5">
        <v>45605</v>
      </c>
      <c r="L198" s="7" t="str">
        <f t="shared" si="15"/>
        <v>November 2024</v>
      </c>
      <c r="M198" s="5">
        <v>45623</v>
      </c>
      <c r="N198" s="5">
        <f>IF(ISNUMBER(Table32[[#This Row],[Date Assessed]]),Table32[[#This Row],[Date Assessed]], DATE(1900,1,1))</f>
        <v>45623</v>
      </c>
      <c r="O198" s="13">
        <f>IF(OR(Table32[[#This Row],[Date Assessed]]="N/A",  Table32[[#This Row],[Date Referred]] = "N/A"), "N/A",  Table32[[#This Row],[Date Assessed]]-Table32[[#This Row],[Date Referred]])</f>
        <v>18</v>
      </c>
      <c r="P198" s="18">
        <v>45639</v>
      </c>
      <c r="Q198" s="5">
        <f>IF(ISNUMBER(Table32[[#This Row],[Date Allocated]]),Table32[[#This Row],[Date Allocated]],DATE(1900,1,1))</f>
        <v>45639</v>
      </c>
      <c r="R198" s="14">
        <f>IF(OR(Table32[[#This Row],[Date Assessed]]="N/A",Table32[[#This Row],[Date Allocated]]="N/A"),"N/A",Table32[[#This Row],[Date Allocated]]-Table32[[#This Row],[Date Assessed]])</f>
        <v>16</v>
      </c>
      <c r="S198" s="5">
        <v>45786</v>
      </c>
      <c r="T198" t="s">
        <v>255</v>
      </c>
      <c r="U198" t="s">
        <v>263</v>
      </c>
    </row>
    <row r="199" spans="1:21" x14ac:dyDescent="0.2">
      <c r="A199" s="4" t="s">
        <v>209</v>
      </c>
      <c r="B199" s="5">
        <v>25530</v>
      </c>
      <c r="C199">
        <f t="shared" ca="1" si="14"/>
        <v>55</v>
      </c>
      <c r="D199" t="str">
        <f t="shared" ca="1" si="12"/>
        <v>55–64</v>
      </c>
      <c r="E199" t="s">
        <v>225</v>
      </c>
      <c r="F199" t="s">
        <v>228</v>
      </c>
      <c r="G199" t="s">
        <v>242</v>
      </c>
      <c r="H199" t="str">
        <f t="shared" si="13"/>
        <v>White</v>
      </c>
      <c r="I199" t="s">
        <v>248</v>
      </c>
      <c r="J199" t="s">
        <v>252</v>
      </c>
      <c r="K199" s="5">
        <v>45582</v>
      </c>
      <c r="L199" s="7" t="str">
        <f t="shared" si="15"/>
        <v>October 2024</v>
      </c>
      <c r="M199" s="5">
        <v>45628</v>
      </c>
      <c r="N199" s="5">
        <f>IF(ISNUMBER(Table32[[#This Row],[Date Assessed]]),Table32[[#This Row],[Date Assessed]], DATE(1900,1,1))</f>
        <v>45628</v>
      </c>
      <c r="O199" s="13">
        <f>IF(OR(Table32[[#This Row],[Date Assessed]]="N/A",  Table32[[#This Row],[Date Referred]] = "N/A"), "N/A",  Table32[[#This Row],[Date Assessed]]-Table32[[#This Row],[Date Referred]])</f>
        <v>46</v>
      </c>
      <c r="P199" s="18">
        <v>45675</v>
      </c>
      <c r="Q199" s="5">
        <f>IF(ISNUMBER(Table32[[#This Row],[Date Allocated]]),Table32[[#This Row],[Date Allocated]],DATE(1900,1,1))</f>
        <v>45675</v>
      </c>
      <c r="R199" s="14">
        <f>IF(OR(Table32[[#This Row],[Date Assessed]]="N/A",Table32[[#This Row],[Date Allocated]]="N/A"),"N/A",Table32[[#This Row],[Date Allocated]]-Table32[[#This Row],[Date Assessed]])</f>
        <v>47</v>
      </c>
      <c r="S199" s="5">
        <v>45799</v>
      </c>
      <c r="T199" t="s">
        <v>255</v>
      </c>
      <c r="U199" t="s">
        <v>261</v>
      </c>
    </row>
    <row r="200" spans="1:21" x14ac:dyDescent="0.2">
      <c r="A200" s="4" t="s">
        <v>210</v>
      </c>
      <c r="B200" s="5">
        <v>23485</v>
      </c>
      <c r="C200">
        <f t="shared" ca="1" si="14"/>
        <v>61</v>
      </c>
      <c r="D200" t="str">
        <f t="shared" ca="1" si="12"/>
        <v>55–64</v>
      </c>
      <c r="E200" t="s">
        <v>224</v>
      </c>
      <c r="F200" t="s">
        <v>229</v>
      </c>
      <c r="G200" t="s">
        <v>243</v>
      </c>
      <c r="H200" t="str">
        <f t="shared" si="13"/>
        <v>BAME</v>
      </c>
      <c r="I200" t="s">
        <v>246</v>
      </c>
      <c r="J200" t="s">
        <v>250</v>
      </c>
      <c r="K200" s="5">
        <v>45337</v>
      </c>
      <c r="L200" s="7" t="str">
        <f t="shared" si="15"/>
        <v>February 2024</v>
      </c>
      <c r="M200" s="5">
        <v>45356</v>
      </c>
      <c r="N200" s="5">
        <f>IF(ISNUMBER(Table32[[#This Row],[Date Assessed]]),Table32[[#This Row],[Date Assessed]], DATE(1900,1,1))</f>
        <v>45356</v>
      </c>
      <c r="O200" s="13">
        <f>IF(OR(Table32[[#This Row],[Date Assessed]]="N/A",  Table32[[#This Row],[Date Referred]] = "N/A"), "N/A",  Table32[[#This Row],[Date Assessed]]-Table32[[#This Row],[Date Referred]])</f>
        <v>19</v>
      </c>
      <c r="P200" s="18">
        <v>45401</v>
      </c>
      <c r="Q200" s="5">
        <f>IF(ISNUMBER(Table32[[#This Row],[Date Allocated]]),Table32[[#This Row],[Date Allocated]],DATE(1900,1,1))</f>
        <v>45401</v>
      </c>
      <c r="R200" s="14">
        <f>IF(OR(Table32[[#This Row],[Date Assessed]]="N/A",Table32[[#This Row],[Date Allocated]]="N/A"),"N/A",Table32[[#This Row],[Date Allocated]]-Table32[[#This Row],[Date Assessed]])</f>
        <v>45</v>
      </c>
      <c r="S200" s="5">
        <v>45545</v>
      </c>
      <c r="T200" t="s">
        <v>255</v>
      </c>
      <c r="U200" t="s">
        <v>263</v>
      </c>
    </row>
    <row r="201" spans="1:21" x14ac:dyDescent="0.2">
      <c r="A201" s="4" t="s">
        <v>211</v>
      </c>
      <c r="B201" s="5">
        <v>32851</v>
      </c>
      <c r="C201">
        <f t="shared" ca="1" si="14"/>
        <v>35</v>
      </c>
      <c r="D201" t="str">
        <f t="shared" ca="1" si="12"/>
        <v>35–44</v>
      </c>
      <c r="E201" t="s">
        <v>225</v>
      </c>
      <c r="F201" t="s">
        <v>230</v>
      </c>
      <c r="G201" t="s">
        <v>243</v>
      </c>
      <c r="H201" t="str">
        <f t="shared" si="13"/>
        <v>BAME</v>
      </c>
      <c r="I201" t="s">
        <v>247</v>
      </c>
      <c r="J201" t="s">
        <v>252</v>
      </c>
      <c r="K201" s="5">
        <v>45436</v>
      </c>
      <c r="L201" s="7" t="str">
        <f t="shared" si="15"/>
        <v>May 2024</v>
      </c>
      <c r="M201" s="5">
        <v>45446</v>
      </c>
      <c r="N201" s="5">
        <f>IF(ISNUMBER(Table32[[#This Row],[Date Assessed]]),Table32[[#This Row],[Date Assessed]], DATE(1900,1,1))</f>
        <v>45446</v>
      </c>
      <c r="O201" s="13">
        <f>IF(OR(Table32[[#This Row],[Date Assessed]]="N/A",  Table32[[#This Row],[Date Referred]] = "N/A"), "N/A",  Table32[[#This Row],[Date Assessed]]-Table32[[#This Row],[Date Referred]])</f>
        <v>10</v>
      </c>
      <c r="P201" s="18">
        <v>45476</v>
      </c>
      <c r="Q201" s="5">
        <f>IF(ISNUMBER(Table32[[#This Row],[Date Allocated]]),Table32[[#This Row],[Date Allocated]],DATE(1900,1,1))</f>
        <v>45476</v>
      </c>
      <c r="R201" s="14">
        <f>IF(OR(Table32[[#This Row],[Date Assessed]]="N/A",Table32[[#This Row],[Date Allocated]]="N/A"),"N/A",Table32[[#This Row],[Date Allocated]]-Table32[[#This Row],[Date Assessed]])</f>
        <v>30</v>
      </c>
      <c r="S201" s="5">
        <v>45628</v>
      </c>
      <c r="T201" t="s">
        <v>255</v>
      </c>
      <c r="U201" t="s">
        <v>263</v>
      </c>
    </row>
    <row r="202" spans="1:21" x14ac:dyDescent="0.2">
      <c r="A202" s="4" t="s">
        <v>212</v>
      </c>
      <c r="B202" s="5">
        <v>27795</v>
      </c>
      <c r="C202">
        <f t="shared" ca="1" si="14"/>
        <v>49</v>
      </c>
      <c r="D202" t="str">
        <f t="shared" ca="1" si="12"/>
        <v>45–54</v>
      </c>
      <c r="E202" t="s">
        <v>225</v>
      </c>
      <c r="F202" t="s">
        <v>228</v>
      </c>
      <c r="G202" t="s">
        <v>242</v>
      </c>
      <c r="H202" t="str">
        <f t="shared" si="13"/>
        <v>White</v>
      </c>
      <c r="I202" t="s">
        <v>247</v>
      </c>
      <c r="J202" t="s">
        <v>252</v>
      </c>
      <c r="K202" s="5">
        <v>45385</v>
      </c>
      <c r="L202" s="7" t="str">
        <f t="shared" si="15"/>
        <v>April 2024</v>
      </c>
      <c r="M202" s="5">
        <v>45406</v>
      </c>
      <c r="N202" s="5">
        <f>IF(ISNUMBER(Table32[[#This Row],[Date Assessed]]),Table32[[#This Row],[Date Assessed]], DATE(1900,1,1))</f>
        <v>45406</v>
      </c>
      <c r="O202" s="13">
        <f>IF(OR(Table32[[#This Row],[Date Assessed]]="N/A",  Table32[[#This Row],[Date Referred]] = "N/A"), "N/A",  Table32[[#This Row],[Date Assessed]]-Table32[[#This Row],[Date Referred]])</f>
        <v>21</v>
      </c>
      <c r="P202" s="18">
        <v>45464</v>
      </c>
      <c r="Q202" s="5">
        <f>IF(ISNUMBER(Table32[[#This Row],[Date Allocated]]),Table32[[#This Row],[Date Allocated]],DATE(1900,1,1))</f>
        <v>45464</v>
      </c>
      <c r="R202" s="14">
        <f>IF(OR(Table32[[#This Row],[Date Assessed]]="N/A",Table32[[#This Row],[Date Allocated]]="N/A"),"N/A",Table32[[#This Row],[Date Allocated]]-Table32[[#This Row],[Date Assessed]])</f>
        <v>58</v>
      </c>
      <c r="S202" s="5">
        <v>45608</v>
      </c>
      <c r="T202" t="s">
        <v>255</v>
      </c>
      <c r="U202" t="s">
        <v>263</v>
      </c>
    </row>
    <row r="203" spans="1:21" x14ac:dyDescent="0.2">
      <c r="A203" s="4" t="s">
        <v>213</v>
      </c>
      <c r="B203" s="5">
        <v>29684</v>
      </c>
      <c r="C203">
        <f t="shared" ca="1" si="14"/>
        <v>44</v>
      </c>
      <c r="D203" t="str">
        <f t="shared" ca="1" si="12"/>
        <v>35–44</v>
      </c>
      <c r="E203" t="s">
        <v>224</v>
      </c>
      <c r="F203" t="s">
        <v>229</v>
      </c>
      <c r="G203" t="s">
        <v>243</v>
      </c>
      <c r="H203" t="str">
        <f t="shared" si="13"/>
        <v>BAME</v>
      </c>
      <c r="I203" t="s">
        <v>247</v>
      </c>
      <c r="J203" t="s">
        <v>251</v>
      </c>
      <c r="K203" s="5">
        <v>45609</v>
      </c>
      <c r="L203" s="7" t="str">
        <f t="shared" si="15"/>
        <v>November 2024</v>
      </c>
      <c r="M203" s="5">
        <v>45657</v>
      </c>
      <c r="N203" s="5">
        <f>IF(ISNUMBER(Table32[[#This Row],[Date Assessed]]),Table32[[#This Row],[Date Assessed]], DATE(1900,1,1))</f>
        <v>45657</v>
      </c>
      <c r="O203" s="13">
        <f>IF(OR(Table32[[#This Row],[Date Assessed]]="N/A",  Table32[[#This Row],[Date Referred]] = "N/A"), "N/A",  Table32[[#This Row],[Date Assessed]]-Table32[[#This Row],[Date Referred]])</f>
        <v>48</v>
      </c>
      <c r="P203" s="18">
        <v>45662</v>
      </c>
      <c r="Q203" s="5">
        <f>IF(ISNUMBER(Table32[[#This Row],[Date Allocated]]),Table32[[#This Row],[Date Allocated]],DATE(1900,1,1))</f>
        <v>45662</v>
      </c>
      <c r="R203" s="14">
        <f>IF(OR(Table32[[#This Row],[Date Assessed]]="N/A",Table32[[#This Row],[Date Allocated]]="N/A"),"N/A",Table32[[#This Row],[Date Allocated]]-Table32[[#This Row],[Date Assessed]])</f>
        <v>5</v>
      </c>
      <c r="S203" s="5">
        <v>45817</v>
      </c>
      <c r="T203" t="s">
        <v>255</v>
      </c>
      <c r="U203" t="s">
        <v>262</v>
      </c>
    </row>
    <row r="204" spans="1:21" x14ac:dyDescent="0.2">
      <c r="A204" s="4" t="s">
        <v>214</v>
      </c>
      <c r="B204" s="5">
        <v>28525</v>
      </c>
      <c r="C204">
        <f t="shared" ca="1" si="14"/>
        <v>47</v>
      </c>
      <c r="D204" t="str">
        <f t="shared" ca="1" si="12"/>
        <v>45–54</v>
      </c>
      <c r="E204" t="s">
        <v>225</v>
      </c>
      <c r="F204" t="s">
        <v>228</v>
      </c>
      <c r="G204" t="s">
        <v>243</v>
      </c>
      <c r="H204" t="str">
        <f t="shared" si="13"/>
        <v>BAME</v>
      </c>
      <c r="I204" t="s">
        <v>247</v>
      </c>
      <c r="J204" t="s">
        <v>253</v>
      </c>
      <c r="K204" s="5">
        <v>45301</v>
      </c>
      <c r="L204" s="7" t="str">
        <f t="shared" si="15"/>
        <v>January 2024</v>
      </c>
      <c r="M204" s="5">
        <v>45311</v>
      </c>
      <c r="N204" s="5">
        <f>IF(ISNUMBER(Table32[[#This Row],[Date Assessed]]),Table32[[#This Row],[Date Assessed]], DATE(1900,1,1))</f>
        <v>45311</v>
      </c>
      <c r="O204" s="13">
        <f>IF(OR(Table32[[#This Row],[Date Assessed]]="N/A",  Table32[[#This Row],[Date Referred]] = "N/A"), "N/A",  Table32[[#This Row],[Date Assessed]]-Table32[[#This Row],[Date Referred]])</f>
        <v>10</v>
      </c>
      <c r="P204" s="18">
        <v>45317</v>
      </c>
      <c r="Q204" s="5">
        <f>IF(ISNUMBER(Table32[[#This Row],[Date Allocated]]),Table32[[#This Row],[Date Allocated]],DATE(1900,1,1))</f>
        <v>45317</v>
      </c>
      <c r="R204" s="14">
        <f>IF(OR(Table32[[#This Row],[Date Assessed]]="N/A",Table32[[#This Row],[Date Allocated]]="N/A"),"N/A",Table32[[#This Row],[Date Allocated]]-Table32[[#This Row],[Date Assessed]])</f>
        <v>6</v>
      </c>
      <c r="S204" s="5">
        <v>45493</v>
      </c>
      <c r="T204" t="s">
        <v>255</v>
      </c>
      <c r="U204" t="s">
        <v>262</v>
      </c>
    </row>
    <row r="205" spans="1:21" x14ac:dyDescent="0.2">
      <c r="A205" s="4" t="s">
        <v>215</v>
      </c>
      <c r="B205" s="5">
        <v>38415</v>
      </c>
      <c r="C205">
        <f t="shared" ca="1" si="14"/>
        <v>20</v>
      </c>
      <c r="D205" t="str">
        <f t="shared" ca="1" si="12"/>
        <v>18–24</v>
      </c>
      <c r="E205" t="s">
        <v>224</v>
      </c>
      <c r="F205" t="s">
        <v>230</v>
      </c>
      <c r="G205" t="s">
        <v>243</v>
      </c>
      <c r="H205" t="str">
        <f t="shared" si="13"/>
        <v>BAME</v>
      </c>
      <c r="I205" t="s">
        <v>246</v>
      </c>
      <c r="J205" t="s">
        <v>252</v>
      </c>
      <c r="K205" s="5">
        <v>45628</v>
      </c>
      <c r="L205" s="7" t="str">
        <f t="shared" si="15"/>
        <v>December 2024</v>
      </c>
      <c r="M205" s="5">
        <v>45635</v>
      </c>
      <c r="N205" s="5">
        <f>IF(ISNUMBER(Table32[[#This Row],[Date Assessed]]),Table32[[#This Row],[Date Assessed]], DATE(1900,1,1))</f>
        <v>45635</v>
      </c>
      <c r="O205" s="13">
        <f>IF(OR(Table32[[#This Row],[Date Assessed]]="N/A",  Table32[[#This Row],[Date Referred]] = "N/A"), "N/A",  Table32[[#This Row],[Date Assessed]]-Table32[[#This Row],[Date Referred]])</f>
        <v>7</v>
      </c>
      <c r="P205" s="18">
        <v>45664</v>
      </c>
      <c r="Q205" s="5">
        <f>IF(ISNUMBER(Table32[[#This Row],[Date Allocated]]),Table32[[#This Row],[Date Allocated]],DATE(1900,1,1))</f>
        <v>45664</v>
      </c>
      <c r="R205" s="14">
        <f>IF(OR(Table32[[#This Row],[Date Assessed]]="N/A",Table32[[#This Row],[Date Allocated]]="N/A"),"N/A",Table32[[#This Row],[Date Allocated]]-Table32[[#This Row],[Date Assessed]])</f>
        <v>29</v>
      </c>
      <c r="S205" s="5">
        <v>45829</v>
      </c>
      <c r="T205" t="s">
        <v>255</v>
      </c>
      <c r="U205" t="s">
        <v>272</v>
      </c>
    </row>
    <row r="206" spans="1:21" x14ac:dyDescent="0.2">
      <c r="A206" s="4" t="s">
        <v>216</v>
      </c>
      <c r="B206" s="5">
        <v>28142</v>
      </c>
      <c r="C206">
        <f t="shared" ca="1" si="14"/>
        <v>48</v>
      </c>
      <c r="D206" t="str">
        <f t="shared" ca="1" si="12"/>
        <v>45–54</v>
      </c>
      <c r="E206" t="s">
        <v>225</v>
      </c>
      <c r="F206" t="s">
        <v>237</v>
      </c>
      <c r="G206" t="s">
        <v>243</v>
      </c>
      <c r="H206" t="str">
        <f t="shared" si="13"/>
        <v>BAME</v>
      </c>
      <c r="I206" t="s">
        <v>247</v>
      </c>
      <c r="J206" t="s">
        <v>250</v>
      </c>
      <c r="K206" s="5">
        <v>45356</v>
      </c>
      <c r="L206" s="7" t="str">
        <f t="shared" si="15"/>
        <v>March 2024</v>
      </c>
      <c r="M206" s="5">
        <v>45383</v>
      </c>
      <c r="N206" s="5">
        <f>IF(ISNUMBER(Table32[[#This Row],[Date Assessed]]),Table32[[#This Row],[Date Assessed]], DATE(1900,1,1))</f>
        <v>45383</v>
      </c>
      <c r="O206" s="13">
        <f>IF(OR(Table32[[#This Row],[Date Assessed]]="N/A",  Table32[[#This Row],[Date Referred]] = "N/A"), "N/A",  Table32[[#This Row],[Date Assessed]]-Table32[[#This Row],[Date Referred]])</f>
        <v>27</v>
      </c>
      <c r="P206" s="18">
        <v>45437</v>
      </c>
      <c r="Q206" s="5">
        <f>IF(ISNUMBER(Table32[[#This Row],[Date Allocated]]),Table32[[#This Row],[Date Allocated]],DATE(1900,1,1))</f>
        <v>45437</v>
      </c>
      <c r="R206" s="14">
        <f>IF(OR(Table32[[#This Row],[Date Assessed]]="N/A",Table32[[#This Row],[Date Allocated]]="N/A"),"N/A",Table32[[#This Row],[Date Allocated]]-Table32[[#This Row],[Date Assessed]])</f>
        <v>54</v>
      </c>
      <c r="S206" s="5">
        <v>45574</v>
      </c>
      <c r="T206" t="s">
        <v>255</v>
      </c>
      <c r="U206" t="s">
        <v>264</v>
      </c>
    </row>
    <row r="207" spans="1:21" x14ac:dyDescent="0.2">
      <c r="A207" s="4" t="s">
        <v>217</v>
      </c>
      <c r="B207" s="5">
        <v>21419</v>
      </c>
      <c r="C207">
        <f t="shared" ca="1" si="14"/>
        <v>67</v>
      </c>
      <c r="D207" t="str">
        <f t="shared" ca="1" si="12"/>
        <v>65+</v>
      </c>
      <c r="E207" t="s">
        <v>224</v>
      </c>
      <c r="F207" t="s">
        <v>238</v>
      </c>
      <c r="G207" t="s">
        <v>227</v>
      </c>
      <c r="H207" t="str">
        <f t="shared" si="13"/>
        <v>BAME</v>
      </c>
      <c r="I207" t="s">
        <v>247</v>
      </c>
      <c r="J207" t="s">
        <v>252</v>
      </c>
      <c r="K207" s="5">
        <v>45319</v>
      </c>
      <c r="L207" s="7" t="str">
        <f t="shared" si="15"/>
        <v>January 2024</v>
      </c>
      <c r="M207" s="5">
        <v>45320</v>
      </c>
      <c r="N207" s="5">
        <f>IF(ISNUMBER(Table32[[#This Row],[Date Assessed]]),Table32[[#This Row],[Date Assessed]], DATE(1900,1,1))</f>
        <v>45320</v>
      </c>
      <c r="O207" s="13">
        <f>IF(OR(Table32[[#This Row],[Date Assessed]]="N/A",  Table32[[#This Row],[Date Referred]] = "N/A"), "N/A",  Table32[[#This Row],[Date Assessed]]-Table32[[#This Row],[Date Referred]])</f>
        <v>1</v>
      </c>
      <c r="P207" s="18">
        <v>45326</v>
      </c>
      <c r="Q207" s="5">
        <f>IF(ISNUMBER(Table32[[#This Row],[Date Allocated]]),Table32[[#This Row],[Date Allocated]],DATE(1900,1,1))</f>
        <v>45326</v>
      </c>
      <c r="R207" s="14">
        <f>IF(OR(Table32[[#This Row],[Date Assessed]]="N/A",Table32[[#This Row],[Date Allocated]]="N/A"),"N/A",Table32[[#This Row],[Date Allocated]]-Table32[[#This Row],[Date Assessed]])</f>
        <v>6</v>
      </c>
      <c r="S207" s="5">
        <v>45452</v>
      </c>
      <c r="T207" t="s">
        <v>255</v>
      </c>
      <c r="U207" t="s">
        <v>261</v>
      </c>
    </row>
    <row r="208" spans="1:21" x14ac:dyDescent="0.2">
      <c r="A208" s="4" t="s">
        <v>218</v>
      </c>
      <c r="B208" s="5">
        <v>33005</v>
      </c>
      <c r="C208">
        <f t="shared" ca="1" si="14"/>
        <v>35</v>
      </c>
      <c r="D208" t="str">
        <f t="shared" ca="1" si="12"/>
        <v>35–44</v>
      </c>
      <c r="E208" t="s">
        <v>224</v>
      </c>
      <c r="F208" t="s">
        <v>239</v>
      </c>
      <c r="G208" t="s">
        <v>227</v>
      </c>
      <c r="H208" t="str">
        <f t="shared" si="13"/>
        <v>BAME</v>
      </c>
      <c r="I208" t="s">
        <v>246</v>
      </c>
      <c r="J208" t="s">
        <v>250</v>
      </c>
      <c r="K208" s="5">
        <v>45314</v>
      </c>
      <c r="L208" s="7" t="str">
        <f t="shared" si="15"/>
        <v>January 2024</v>
      </c>
      <c r="M208" s="5">
        <v>45330</v>
      </c>
      <c r="N208" s="5">
        <f>IF(ISNUMBER(Table32[[#This Row],[Date Assessed]]),Table32[[#This Row],[Date Assessed]], DATE(1900,1,1))</f>
        <v>45330</v>
      </c>
      <c r="O208" s="13">
        <f>IF(OR(Table32[[#This Row],[Date Assessed]]="N/A",  Table32[[#This Row],[Date Referred]] = "N/A"), "N/A",  Table32[[#This Row],[Date Assessed]]-Table32[[#This Row],[Date Referred]])</f>
        <v>16</v>
      </c>
      <c r="P208" s="18">
        <v>45337</v>
      </c>
      <c r="Q208" s="5">
        <f>IF(ISNUMBER(Table32[[#This Row],[Date Allocated]]),Table32[[#This Row],[Date Allocated]],DATE(1900,1,1))</f>
        <v>45337</v>
      </c>
      <c r="R208" s="14">
        <f>IF(OR(Table32[[#This Row],[Date Assessed]]="N/A",Table32[[#This Row],[Date Allocated]]="N/A"),"N/A",Table32[[#This Row],[Date Allocated]]-Table32[[#This Row],[Date Assessed]])</f>
        <v>7</v>
      </c>
      <c r="S208" s="5">
        <v>45507</v>
      </c>
      <c r="T208" t="s">
        <v>255</v>
      </c>
      <c r="U208" t="s">
        <v>262</v>
      </c>
    </row>
    <row r="209" spans="1:21" x14ac:dyDescent="0.2">
      <c r="A209" s="4" t="s">
        <v>219</v>
      </c>
      <c r="B209" s="5">
        <v>25023</v>
      </c>
      <c r="C209">
        <f t="shared" ca="1" si="14"/>
        <v>57</v>
      </c>
      <c r="D209" t="str">
        <f t="shared" ca="1" si="12"/>
        <v>55–64</v>
      </c>
      <c r="E209" t="s">
        <v>225</v>
      </c>
      <c r="F209" t="s">
        <v>230</v>
      </c>
      <c r="G209" t="s">
        <v>243</v>
      </c>
      <c r="H209" t="str">
        <f t="shared" si="13"/>
        <v>BAME</v>
      </c>
      <c r="I209" t="s">
        <v>247</v>
      </c>
      <c r="J209" t="s">
        <v>252</v>
      </c>
      <c r="K209" s="5">
        <v>45543</v>
      </c>
      <c r="L209" s="7" t="str">
        <f t="shared" si="15"/>
        <v>September 2024</v>
      </c>
      <c r="M209" s="5">
        <v>45569</v>
      </c>
      <c r="N209" s="5">
        <f>IF(ISNUMBER(Table32[[#This Row],[Date Assessed]]),Table32[[#This Row],[Date Assessed]], DATE(1900,1,1))</f>
        <v>45569</v>
      </c>
      <c r="O209" s="13">
        <f>IF(OR(Table32[[#This Row],[Date Assessed]]="N/A",  Table32[[#This Row],[Date Referred]] = "N/A"), "N/A",  Table32[[#This Row],[Date Assessed]]-Table32[[#This Row],[Date Referred]])</f>
        <v>26</v>
      </c>
      <c r="P209" s="18">
        <v>45617</v>
      </c>
      <c r="Q209" s="5">
        <f>IF(ISNUMBER(Table32[[#This Row],[Date Allocated]]),Table32[[#This Row],[Date Allocated]],DATE(1900,1,1))</f>
        <v>45617</v>
      </c>
      <c r="R209" s="14">
        <f>IF(OR(Table32[[#This Row],[Date Assessed]]="N/A",Table32[[#This Row],[Date Allocated]]="N/A"),"N/A",Table32[[#This Row],[Date Allocated]]-Table32[[#This Row],[Date Assessed]])</f>
        <v>48</v>
      </c>
      <c r="S209" s="5">
        <v>45782</v>
      </c>
      <c r="T209" t="s">
        <v>255</v>
      </c>
      <c r="U209" t="s">
        <v>263</v>
      </c>
    </row>
    <row r="210" spans="1:21" x14ac:dyDescent="0.2">
      <c r="A210" s="4" t="s">
        <v>220</v>
      </c>
      <c r="B210" s="5">
        <v>22831</v>
      </c>
      <c r="C210">
        <f t="shared" ca="1" si="14"/>
        <v>63</v>
      </c>
      <c r="D210" t="str">
        <f t="shared" ca="1" si="12"/>
        <v>55–64</v>
      </c>
      <c r="E210" t="s">
        <v>225</v>
      </c>
      <c r="F210" t="s">
        <v>231</v>
      </c>
      <c r="G210" t="s">
        <v>241</v>
      </c>
      <c r="H210" t="str">
        <f t="shared" si="13"/>
        <v>BAME</v>
      </c>
      <c r="I210" t="s">
        <v>247</v>
      </c>
      <c r="J210" t="s">
        <v>252</v>
      </c>
      <c r="K210" s="5">
        <v>45649</v>
      </c>
      <c r="L210" s="7" t="str">
        <f t="shared" si="15"/>
        <v>December 2024</v>
      </c>
      <c r="M210" s="5">
        <v>45673</v>
      </c>
      <c r="N210" s="5">
        <f>IF(ISNUMBER(Table32[[#This Row],[Date Assessed]]),Table32[[#This Row],[Date Assessed]], DATE(1900,1,1))</f>
        <v>45673</v>
      </c>
      <c r="O210" s="13">
        <f>IF(OR(Table32[[#This Row],[Date Assessed]]="N/A",  Table32[[#This Row],[Date Referred]] = "N/A"), "N/A",  Table32[[#This Row],[Date Assessed]]-Table32[[#This Row],[Date Referred]])</f>
        <v>24</v>
      </c>
      <c r="P210" s="18">
        <v>45720</v>
      </c>
      <c r="Q210" s="5">
        <f>IF(ISNUMBER(Table32[[#This Row],[Date Allocated]]),Table32[[#This Row],[Date Allocated]],DATE(1900,1,1))</f>
        <v>45720</v>
      </c>
      <c r="R210" s="14">
        <f>IF(OR(Table32[[#This Row],[Date Assessed]]="N/A",Table32[[#This Row],[Date Allocated]]="N/A"),"N/A",Table32[[#This Row],[Date Allocated]]-Table32[[#This Row],[Date Assessed]])</f>
        <v>47</v>
      </c>
      <c r="S210" s="5">
        <v>45855</v>
      </c>
      <c r="T210" t="s">
        <v>255</v>
      </c>
      <c r="U210" t="s">
        <v>264</v>
      </c>
    </row>
    <row r="211" spans="1:21" x14ac:dyDescent="0.2">
      <c r="A211" s="4" t="s">
        <v>221</v>
      </c>
      <c r="B211" s="5">
        <v>37238</v>
      </c>
      <c r="C211">
        <f t="shared" ca="1" si="14"/>
        <v>23</v>
      </c>
      <c r="D211" t="str">
        <f t="shared" ca="1" si="12"/>
        <v>18–24</v>
      </c>
      <c r="E211" t="s">
        <v>225</v>
      </c>
      <c r="F211" t="s">
        <v>229</v>
      </c>
      <c r="G211" t="s">
        <v>243</v>
      </c>
      <c r="H211" t="str">
        <f t="shared" si="13"/>
        <v>BAME</v>
      </c>
      <c r="I211" t="s">
        <v>246</v>
      </c>
      <c r="J211" t="s">
        <v>250</v>
      </c>
      <c r="K211" s="5">
        <v>45611</v>
      </c>
      <c r="L211" s="7" t="str">
        <f t="shared" si="15"/>
        <v>November 2024</v>
      </c>
      <c r="M211" s="5">
        <v>45634</v>
      </c>
      <c r="N211" s="5">
        <f>IF(ISNUMBER(Table32[[#This Row],[Date Assessed]]),Table32[[#This Row],[Date Assessed]], DATE(1900,1,1))</f>
        <v>45634</v>
      </c>
      <c r="O211" s="13">
        <f>IF(OR(Table32[[#This Row],[Date Assessed]]="N/A",  Table32[[#This Row],[Date Referred]] = "N/A"), "N/A",  Table32[[#This Row],[Date Assessed]]-Table32[[#This Row],[Date Referred]])</f>
        <v>23</v>
      </c>
      <c r="P211" s="18">
        <v>45649</v>
      </c>
      <c r="Q211" s="5">
        <f>IF(ISNUMBER(Table32[[#This Row],[Date Allocated]]),Table32[[#This Row],[Date Allocated]],DATE(1900,1,1))</f>
        <v>45649</v>
      </c>
      <c r="R211" s="14">
        <f>IF(OR(Table32[[#This Row],[Date Assessed]]="N/A",Table32[[#This Row],[Date Allocated]]="N/A"),"N/A",Table32[[#This Row],[Date Allocated]]-Table32[[#This Row],[Date Assessed]])</f>
        <v>15</v>
      </c>
      <c r="S211" s="5">
        <v>45816</v>
      </c>
      <c r="T211" t="s">
        <v>255</v>
      </c>
      <c r="U211" t="s">
        <v>262</v>
      </c>
    </row>
    <row r="212" spans="1:21" x14ac:dyDescent="0.2">
      <c r="A212" s="4" t="s">
        <v>222</v>
      </c>
      <c r="B212" s="5">
        <v>26822</v>
      </c>
      <c r="C212">
        <f t="shared" ca="1" si="14"/>
        <v>52</v>
      </c>
      <c r="D212" t="str">
        <f t="shared" ca="1" si="12"/>
        <v>45–54</v>
      </c>
      <c r="E212" t="s">
        <v>224</v>
      </c>
      <c r="F212" t="s">
        <v>230</v>
      </c>
      <c r="G212" t="s">
        <v>243</v>
      </c>
      <c r="H212" t="str">
        <f t="shared" si="13"/>
        <v>BAME</v>
      </c>
      <c r="I212" t="s">
        <v>247</v>
      </c>
      <c r="J212" t="s">
        <v>252</v>
      </c>
      <c r="K212" s="5">
        <v>45634</v>
      </c>
      <c r="L212" s="7" t="str">
        <f t="shared" si="15"/>
        <v>December 2024</v>
      </c>
      <c r="M212" s="5">
        <v>45665</v>
      </c>
      <c r="N212" s="5">
        <f>IF(ISNUMBER(Table32[[#This Row],[Date Assessed]]),Table32[[#This Row],[Date Assessed]], DATE(1900,1,1))</f>
        <v>45665</v>
      </c>
      <c r="O212" s="13">
        <f>IF(OR(Table32[[#This Row],[Date Assessed]]="N/A",  Table32[[#This Row],[Date Referred]] = "N/A"), "N/A",  Table32[[#This Row],[Date Assessed]]-Table32[[#This Row],[Date Referred]])</f>
        <v>31</v>
      </c>
      <c r="P212" s="18">
        <v>45706</v>
      </c>
      <c r="Q212" s="5">
        <f>IF(ISNUMBER(Table32[[#This Row],[Date Allocated]]),Table32[[#This Row],[Date Allocated]],DATE(1900,1,1))</f>
        <v>45706</v>
      </c>
      <c r="R212" s="14">
        <f>IF(OR(Table32[[#This Row],[Date Assessed]]="N/A",Table32[[#This Row],[Date Allocated]]="N/A"),"N/A",Table32[[#This Row],[Date Allocated]]-Table32[[#This Row],[Date Assessed]])</f>
        <v>41</v>
      </c>
      <c r="S212" s="5">
        <v>45858</v>
      </c>
      <c r="T212" t="s">
        <v>255</v>
      </c>
      <c r="U212" t="s">
        <v>272</v>
      </c>
    </row>
    <row r="213" spans="1:21" x14ac:dyDescent="0.2">
      <c r="A213" s="4" t="s">
        <v>223</v>
      </c>
      <c r="B213" s="5">
        <v>26638</v>
      </c>
      <c r="C213">
        <f t="shared" ca="1" si="14"/>
        <v>52</v>
      </c>
      <c r="D213" t="str">
        <f t="shared" ca="1" si="12"/>
        <v>45–54</v>
      </c>
      <c r="E213" t="s">
        <v>225</v>
      </c>
      <c r="F213" t="s">
        <v>230</v>
      </c>
      <c r="G213" t="s">
        <v>243</v>
      </c>
      <c r="H213" t="str">
        <f t="shared" si="13"/>
        <v>BAME</v>
      </c>
      <c r="I213" t="s">
        <v>247</v>
      </c>
      <c r="J213" t="s">
        <v>250</v>
      </c>
      <c r="K213" s="5">
        <v>45642</v>
      </c>
      <c r="L213" s="7" t="str">
        <f t="shared" si="15"/>
        <v>December 2024</v>
      </c>
      <c r="M213" s="5">
        <v>45684</v>
      </c>
      <c r="N213" s="5">
        <f>IF(ISNUMBER(Table32[[#This Row],[Date Assessed]]),Table32[[#This Row],[Date Assessed]], DATE(1900,1,1))</f>
        <v>45684</v>
      </c>
      <c r="O213" s="13">
        <f>IF(OR(Table32[[#This Row],[Date Assessed]]="N/A",  Table32[[#This Row],[Date Referred]] = "N/A"), "N/A",  Table32[[#This Row],[Date Assessed]]-Table32[[#This Row],[Date Referred]])</f>
        <v>42</v>
      </c>
      <c r="P213" s="18">
        <v>45739</v>
      </c>
      <c r="Q213" s="5">
        <f>IF(ISNUMBER(Table32[[#This Row],[Date Allocated]]),Table32[[#This Row],[Date Allocated]],DATE(1900,1,1))</f>
        <v>45739</v>
      </c>
      <c r="R213" s="14">
        <f>IF(OR(Table32[[#This Row],[Date Assessed]]="N/A",Table32[[#This Row],[Date Allocated]]="N/A"),"N/A",Table32[[#This Row],[Date Allocated]]-Table32[[#This Row],[Date Assessed]])</f>
        <v>55</v>
      </c>
      <c r="S213" s="5">
        <v>45895</v>
      </c>
      <c r="T213" t="s">
        <v>255</v>
      </c>
      <c r="U213" t="s">
        <v>264</v>
      </c>
    </row>
    <row r="214" spans="1:21" x14ac:dyDescent="0.2">
      <c r="A214" s="4"/>
      <c r="B214" s="5"/>
      <c r="K214" s="5"/>
      <c r="L214" s="7"/>
      <c r="M214" s="5"/>
      <c r="N214" s="5"/>
      <c r="O214" s="5"/>
      <c r="P214" s="5"/>
      <c r="Q214" s="5"/>
      <c r="R214" s="5"/>
      <c r="S214" s="5"/>
    </row>
  </sheetData>
  <dataValidations count="3">
    <dataValidation type="list" allowBlank="1" showInputMessage="1" showErrorMessage="1" sqref="T4:T19" xr:uid="{4893C784-5E01-884A-9703-85230A0FE894}">
      <formula1>"Completed,  Referred (waiting), Assessed (awaiting allocation), Withdrawn, Not Suitable, Allocated (active)"</formula1>
    </dataValidation>
    <dataValidation type="list" allowBlank="1" showInputMessage="1" showErrorMessage="1" sqref="T3 T20:T213" xr:uid="{E814EA28-0592-7143-92BD-441666A8FDD0}">
      <formula1>"Completed,  Referred (waiting), Assessed (awaiting allocation), Withdrawn, Not Suitable"</formula1>
    </dataValidation>
    <dataValidation type="list" allowBlank="1" showInputMessage="1" showErrorMessage="1" sqref="E3:E213" xr:uid="{A52D63C3-2DE5-1046-A621-12CDC291FCEF}">
      <formula1>"Male, Female, N/A"</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75CFC-706E-544D-BDDE-FEC6F6DE1ADE}">
  <dimension ref="A2:AK84"/>
  <sheetViews>
    <sheetView topLeftCell="AA1" zoomScale="133" zoomScaleNormal="130" workbookViewId="0">
      <selection activeCell="AB4" sqref="AB4:AH11"/>
    </sheetView>
  </sheetViews>
  <sheetFormatPr baseColWidth="10" defaultRowHeight="16" x14ac:dyDescent="0.2"/>
  <cols>
    <col min="1" max="1" width="13" bestFit="1" customWidth="1"/>
    <col min="2" max="2" width="11.5" bestFit="1" customWidth="1"/>
    <col min="5" max="5" width="13.33203125" bestFit="1" customWidth="1"/>
    <col min="6" max="6" width="10.5" bestFit="1" customWidth="1"/>
    <col min="7" max="7" width="10.1640625" bestFit="1" customWidth="1"/>
    <col min="8" max="8" width="10.33203125" bestFit="1" customWidth="1"/>
    <col min="9" max="9" width="22.5" bestFit="1" customWidth="1"/>
    <col min="10" max="10" width="7.1640625" bestFit="1" customWidth="1"/>
    <col min="11" max="11" width="23.5" bestFit="1" customWidth="1"/>
    <col min="12" max="12" width="25.83203125" bestFit="1" customWidth="1"/>
    <col min="13" max="13" width="13.33203125" bestFit="1" customWidth="1"/>
    <col min="14" max="16" width="13.1640625" bestFit="1" customWidth="1"/>
    <col min="17" max="17" width="26.33203125" bestFit="1" customWidth="1"/>
    <col min="18" max="18" width="6.1640625" bestFit="1" customWidth="1"/>
    <col min="19" max="19" width="36.1640625" customWidth="1"/>
    <col min="20" max="20" width="23.1640625" bestFit="1" customWidth="1"/>
    <col min="21" max="21" width="16" bestFit="1" customWidth="1"/>
    <col min="22" max="22" width="9" bestFit="1" customWidth="1"/>
    <col min="23" max="23" width="6.33203125" bestFit="1" customWidth="1"/>
    <col min="24" max="24" width="20.83203125" bestFit="1" customWidth="1"/>
    <col min="25" max="25" width="15.6640625" bestFit="1" customWidth="1"/>
    <col min="26" max="26" width="13.83203125" bestFit="1" customWidth="1"/>
    <col min="27" max="27" width="27" bestFit="1" customWidth="1"/>
    <col min="28" max="28" width="21.5" bestFit="1" customWidth="1"/>
    <col min="29" max="29" width="15.6640625" bestFit="1" customWidth="1"/>
    <col min="30" max="30" width="27" bestFit="1" customWidth="1"/>
    <col min="31" max="31" width="10.33203125" bestFit="1" customWidth="1"/>
    <col min="32" max="32" width="11.1640625" bestFit="1" customWidth="1"/>
    <col min="33" max="33" width="16" bestFit="1" customWidth="1"/>
    <col min="34" max="34" width="10" bestFit="1" customWidth="1"/>
    <col min="35" max="35" width="10.5" bestFit="1" customWidth="1"/>
    <col min="36" max="52" width="29" bestFit="1" customWidth="1"/>
    <col min="53" max="53" width="10.6640625" bestFit="1" customWidth="1"/>
    <col min="54" max="170" width="16" bestFit="1" customWidth="1"/>
    <col min="171" max="171" width="10.5" bestFit="1" customWidth="1"/>
  </cols>
  <sheetData>
    <row r="2" spans="1:37" x14ac:dyDescent="0.2">
      <c r="A2" t="s">
        <v>267</v>
      </c>
      <c r="E2" t="s">
        <v>276</v>
      </c>
    </row>
    <row r="3" spans="1:37" x14ac:dyDescent="0.2">
      <c r="A3" t="s">
        <v>265</v>
      </c>
      <c r="E3" s="9" t="s">
        <v>271</v>
      </c>
      <c r="F3" t="s">
        <v>265</v>
      </c>
      <c r="I3" t="s">
        <v>307</v>
      </c>
      <c r="L3" t="s">
        <v>317</v>
      </c>
      <c r="Q3" t="s">
        <v>320</v>
      </c>
      <c r="X3" t="s">
        <v>324</v>
      </c>
    </row>
    <row r="4" spans="1:37" x14ac:dyDescent="0.2">
      <c r="A4" s="17">
        <v>210</v>
      </c>
      <c r="B4">
        <f>GETPIVOTDATA("Client ID",$A$3)</f>
        <v>210</v>
      </c>
      <c r="E4" s="10" t="s">
        <v>225</v>
      </c>
      <c r="F4" s="17">
        <v>143</v>
      </c>
      <c r="G4" s="11">
        <f>IFERROR(GETPIVOTDATA("Client ID",$E$3,"Gender","Female")/GETPIVOTDATA("Client ID",$E$3), 0)</f>
        <v>0.68095238095238098</v>
      </c>
      <c r="I4" s="9" t="s">
        <v>305</v>
      </c>
      <c r="J4" t="s">
        <v>316</v>
      </c>
      <c r="L4" s="9" t="s">
        <v>305</v>
      </c>
      <c r="M4" t="s">
        <v>284</v>
      </c>
      <c r="Q4" s="9" t="s">
        <v>5</v>
      </c>
      <c r="R4" t="s">
        <v>283</v>
      </c>
      <c r="X4" s="9" t="s">
        <v>323</v>
      </c>
      <c r="Y4" t="s">
        <v>265</v>
      </c>
      <c r="AB4" s="9" t="s">
        <v>331</v>
      </c>
      <c r="AC4" s="9" t="s">
        <v>12</v>
      </c>
    </row>
    <row r="5" spans="1:37" x14ac:dyDescent="0.2">
      <c r="E5" s="10" t="s">
        <v>224</v>
      </c>
      <c r="F5" s="17">
        <v>64</v>
      </c>
      <c r="G5" s="11">
        <f>IFERROR(GETPIVOTDATA("Client ID",$E$3,"Gender","Male")/GETPIVOTDATA("Client ID",$E$3), 0)</f>
        <v>0.30476190476190479</v>
      </c>
      <c r="I5" s="10" t="s">
        <v>290</v>
      </c>
      <c r="J5" s="17">
        <v>25</v>
      </c>
      <c r="L5" s="10" t="s">
        <v>290</v>
      </c>
      <c r="M5" s="14">
        <v>45</v>
      </c>
      <c r="Q5" s="10" t="s">
        <v>228</v>
      </c>
      <c r="R5" s="14">
        <v>72</v>
      </c>
      <c r="S5" t="str">
        <f>Q5</f>
        <v>British</v>
      </c>
      <c r="T5">
        <f>GETPIVOTDATA("Client ID",$Q$4,"Nationality","British")</f>
        <v>72</v>
      </c>
      <c r="X5" s="10" t="s">
        <v>272</v>
      </c>
      <c r="Y5" s="17">
        <v>42</v>
      </c>
      <c r="AB5" s="9" t="s">
        <v>13</v>
      </c>
      <c r="AC5" t="s">
        <v>260</v>
      </c>
      <c r="AD5" t="s">
        <v>257</v>
      </c>
      <c r="AE5" t="s">
        <v>255</v>
      </c>
      <c r="AF5" t="s">
        <v>259</v>
      </c>
      <c r="AG5" t="s">
        <v>256</v>
      </c>
      <c r="AH5" t="s">
        <v>258</v>
      </c>
    </row>
    <row r="6" spans="1:37" x14ac:dyDescent="0.2">
      <c r="E6" s="10" t="s">
        <v>226</v>
      </c>
      <c r="F6" s="17">
        <v>3</v>
      </c>
      <c r="G6">
        <f>IFERROR(GETPIVOTDATA("Client ID",$E$3,"Gender","Female"),0)</f>
        <v>143</v>
      </c>
      <c r="I6" s="10" t="s">
        <v>291</v>
      </c>
      <c r="J6" s="17">
        <v>20</v>
      </c>
      <c r="L6" s="10" t="s">
        <v>291</v>
      </c>
      <c r="M6" s="14">
        <v>42.6</v>
      </c>
      <c r="Q6" s="10" t="s">
        <v>230</v>
      </c>
      <c r="R6" s="14">
        <v>65</v>
      </c>
      <c r="S6" t="str">
        <f>Q6</f>
        <v>Nigerian</v>
      </c>
      <c r="T6">
        <f>GETPIVOTDATA("Client ID",$Q$4,"Nationality","Nigerian")</f>
        <v>65</v>
      </c>
      <c r="X6" s="10" t="s">
        <v>261</v>
      </c>
      <c r="Y6" s="17">
        <v>37</v>
      </c>
      <c r="AB6" t="s">
        <v>272</v>
      </c>
      <c r="AC6" s="17">
        <v>2</v>
      </c>
      <c r="AD6" s="17"/>
      <c r="AE6" s="17">
        <v>38</v>
      </c>
      <c r="AF6" s="17"/>
      <c r="AG6" s="17"/>
      <c r="AH6" s="17">
        <v>2</v>
      </c>
      <c r="AJ6" s="19">
        <f>IFERROR(GETPIVOTDATA("Client ID",$AB$4,"Status","Completed","Counsellor ","Mr Johnson")/(GETPIVOTDATA("Client ID",$AB$4,"Status","Completed","Counsellor ","Mr Johnson")+GETPIVOTDATA("Client ID",$AB$4,"Status","Withdrawn","Counsellor ","Mr Johnson")),0)</f>
        <v>0.95</v>
      </c>
    </row>
    <row r="7" spans="1:37" x14ac:dyDescent="0.2">
      <c r="E7" s="10" t="s">
        <v>266</v>
      </c>
      <c r="F7" s="17">
        <v>210</v>
      </c>
      <c r="G7">
        <f>IFERROR(GETPIVOTDATA("Client ID",$E$3,"Gender","Male"),0)</f>
        <v>64</v>
      </c>
      <c r="I7" s="10" t="s">
        <v>292</v>
      </c>
      <c r="J7" s="17">
        <v>16</v>
      </c>
      <c r="L7" s="10" t="s">
        <v>292</v>
      </c>
      <c r="M7" s="14">
        <v>41.75</v>
      </c>
      <c r="Q7" s="10" t="s">
        <v>229</v>
      </c>
      <c r="R7" s="14">
        <v>32</v>
      </c>
      <c r="S7" t="str">
        <f>Q7</f>
        <v>Ghanaian</v>
      </c>
      <c r="T7">
        <f>GETPIVOTDATA("Client ID",$Q$4,"Nationality","Ghanaian")</f>
        <v>32</v>
      </c>
      <c r="X7" s="10" t="s">
        <v>263</v>
      </c>
      <c r="Y7" s="17">
        <v>46</v>
      </c>
      <c r="AB7" t="s">
        <v>261</v>
      </c>
      <c r="AC7" s="17"/>
      <c r="AD7" s="17"/>
      <c r="AE7" s="17">
        <v>35</v>
      </c>
      <c r="AF7" s="17"/>
      <c r="AG7" s="17">
        <v>2</v>
      </c>
      <c r="AH7" s="17"/>
      <c r="AJ7" s="19">
        <f>IFERROR(GETPIVOTDATA("Client ID",$AB$4,"Status","Completed","Counsellor ","Mr Smith")/(GETPIVOTDATA("Client ID",$AB$4,"Status","Completed","Counsellor ","Mr Smith")+GETPIVOTDATA("Client ID",$AB$4,"Status","Withdrawn","Counsellor ","Mr Smith")),0)</f>
        <v>1</v>
      </c>
    </row>
    <row r="8" spans="1:37" x14ac:dyDescent="0.2">
      <c r="I8" s="10" t="s">
        <v>293</v>
      </c>
      <c r="J8" s="17">
        <v>19</v>
      </c>
      <c r="L8" s="10" t="s">
        <v>293</v>
      </c>
      <c r="M8" s="14">
        <v>41.631578947368418</v>
      </c>
      <c r="Q8" s="10" t="s">
        <v>231</v>
      </c>
      <c r="R8" s="14">
        <v>17</v>
      </c>
      <c r="S8" t="str">
        <f>Q8</f>
        <v>Indian</v>
      </c>
      <c r="T8">
        <f>GETPIVOTDATA("Client ID",$Q$4,"Nationality","Indian")</f>
        <v>17</v>
      </c>
      <c r="X8" s="10" t="s">
        <v>264</v>
      </c>
      <c r="Y8" s="17">
        <v>35</v>
      </c>
      <c r="AB8" t="s">
        <v>263</v>
      </c>
      <c r="AC8" s="17"/>
      <c r="AD8" s="17"/>
      <c r="AE8" s="17">
        <v>45</v>
      </c>
      <c r="AF8" s="17"/>
      <c r="AG8" s="17">
        <v>1</v>
      </c>
      <c r="AH8" s="17"/>
      <c r="AJ8" s="19">
        <f>IFERROR(GETPIVOTDATA("Client ID",$AB$4,"Status","Completed","Counsellor ","Ms Brown")/(GETPIVOTDATA("Client ID",$AB$4,"Status","Completed","Counsellor ","Ms Brown")+GETPIVOTDATA("Client ID",$AB$4,"Status","Withdrawn","Counsellor ","Ms Brown")),0)</f>
        <v>1</v>
      </c>
      <c r="AK8" s="19">
        <f>IFERROR(AVERAGE(AJ6:AJ10),0)</f>
        <v>0.99</v>
      </c>
    </row>
    <row r="9" spans="1:37" x14ac:dyDescent="0.2">
      <c r="A9" t="s">
        <v>273</v>
      </c>
      <c r="E9" s="10" t="s">
        <v>286</v>
      </c>
      <c r="I9" s="10" t="s">
        <v>294</v>
      </c>
      <c r="J9" s="17">
        <v>18</v>
      </c>
      <c r="L9" s="10" t="s">
        <v>294</v>
      </c>
      <c r="M9" s="14">
        <v>48.222222222222221</v>
      </c>
      <c r="Q9" s="10" t="s">
        <v>227</v>
      </c>
      <c r="R9" s="14">
        <v>8</v>
      </c>
      <c r="X9" s="10" t="s">
        <v>262</v>
      </c>
      <c r="Y9" s="17">
        <v>34</v>
      </c>
      <c r="AB9" t="s">
        <v>264</v>
      </c>
      <c r="AC9" s="17">
        <v>1</v>
      </c>
      <c r="AD9" s="17"/>
      <c r="AE9" s="17">
        <v>34</v>
      </c>
      <c r="AF9" s="17"/>
      <c r="AG9" s="17"/>
      <c r="AH9" s="17"/>
      <c r="AJ9" s="19">
        <f>IFERROR(GETPIVOTDATA("Client ID",$AB$4,"Status","Completed","Counsellor ","Ms Hughes")/(GETPIVOTDATA("Client ID",$AB$4,"Status","Completed","Counsellor ","Ms Hughes")+GETPIVOTDATA("Client ID",$AB$4,"Status","Withdrawn","Counsellor ","Ms Hughes")),0)</f>
        <v>1</v>
      </c>
    </row>
    <row r="10" spans="1:37" x14ac:dyDescent="0.2">
      <c r="A10" s="9" t="s">
        <v>271</v>
      </c>
      <c r="E10" s="9" t="s">
        <v>269</v>
      </c>
      <c r="F10" t="s">
        <v>283</v>
      </c>
      <c r="I10" s="10" t="s">
        <v>295</v>
      </c>
      <c r="J10" s="17">
        <v>16</v>
      </c>
      <c r="L10" s="10" t="s">
        <v>295</v>
      </c>
      <c r="M10" s="14">
        <v>44</v>
      </c>
      <c r="Q10" s="10" t="s">
        <v>232</v>
      </c>
      <c r="R10" s="14">
        <v>5</v>
      </c>
      <c r="X10" s="10" t="s">
        <v>325</v>
      </c>
      <c r="Y10" s="17">
        <v>16</v>
      </c>
      <c r="AB10" t="s">
        <v>262</v>
      </c>
      <c r="AC10" s="17">
        <v>1</v>
      </c>
      <c r="AD10" s="17"/>
      <c r="AE10" s="17">
        <v>32</v>
      </c>
      <c r="AF10" s="17"/>
      <c r="AG10" s="17">
        <v>1</v>
      </c>
      <c r="AH10" s="17"/>
      <c r="AJ10" s="19">
        <f>IFERROR(GETPIVOTDATA("Client ID",$AB$4,"Status","Completed","Counsellor ","Ms Patel")/(GETPIVOTDATA("Client ID",$AB$4,"Status","Completed","Counsellor ","Ms Patel")+GETPIVOTDATA("Client ID",$AB$4,"Status","Withdrawn","Counsellor ","Ms Patel")),0)</f>
        <v>1</v>
      </c>
    </row>
    <row r="11" spans="1:37" x14ac:dyDescent="0.2">
      <c r="A11" s="10" t="s">
        <v>261</v>
      </c>
      <c r="E11" s="10" t="s">
        <v>277</v>
      </c>
      <c r="F11" s="17">
        <v>21</v>
      </c>
      <c r="I11" s="10" t="s">
        <v>296</v>
      </c>
      <c r="J11" s="17">
        <v>16</v>
      </c>
      <c r="L11" s="10" t="s">
        <v>296</v>
      </c>
      <c r="M11" s="14">
        <v>43.4375</v>
      </c>
      <c r="Q11" s="10" t="s">
        <v>240</v>
      </c>
      <c r="R11" s="14">
        <v>2</v>
      </c>
      <c r="X11" s="10" t="s">
        <v>266</v>
      </c>
      <c r="Y11" s="17">
        <v>210</v>
      </c>
      <c r="AB11" t="s">
        <v>325</v>
      </c>
      <c r="AC11" s="17"/>
      <c r="AD11" s="17">
        <v>5</v>
      </c>
      <c r="AE11" s="17"/>
      <c r="AF11" s="17">
        <v>4</v>
      </c>
      <c r="AG11" s="17">
        <v>3</v>
      </c>
      <c r="AH11" s="17">
        <v>4</v>
      </c>
      <c r="AJ11" s="19"/>
    </row>
    <row r="12" spans="1:37" x14ac:dyDescent="0.2">
      <c r="A12" s="10" t="s">
        <v>263</v>
      </c>
      <c r="E12" s="10" t="s">
        <v>278</v>
      </c>
      <c r="F12" s="17">
        <v>47</v>
      </c>
      <c r="I12" s="10" t="s">
        <v>297</v>
      </c>
      <c r="J12" s="17">
        <v>16</v>
      </c>
      <c r="L12" s="10" t="s">
        <v>297</v>
      </c>
      <c r="M12" s="14">
        <v>37.4375</v>
      </c>
      <c r="Q12" s="10" t="s">
        <v>234</v>
      </c>
      <c r="R12" s="14">
        <v>2</v>
      </c>
    </row>
    <row r="13" spans="1:37" x14ac:dyDescent="0.2">
      <c r="A13" s="10" t="s">
        <v>264</v>
      </c>
      <c r="E13" s="10" t="s">
        <v>279</v>
      </c>
      <c r="F13" s="17">
        <v>47</v>
      </c>
      <c r="I13" s="10" t="s">
        <v>298</v>
      </c>
      <c r="J13" s="17">
        <v>10</v>
      </c>
      <c r="L13" s="10" t="s">
        <v>298</v>
      </c>
      <c r="M13" s="14">
        <v>46.7</v>
      </c>
      <c r="Q13" s="10" t="s">
        <v>236</v>
      </c>
      <c r="R13" s="14">
        <v>2</v>
      </c>
    </row>
    <row r="14" spans="1:37" x14ac:dyDescent="0.2">
      <c r="A14" s="10" t="s">
        <v>262</v>
      </c>
      <c r="E14" s="10" t="s">
        <v>280</v>
      </c>
      <c r="F14" s="17">
        <v>45</v>
      </c>
      <c r="I14" s="10" t="s">
        <v>299</v>
      </c>
      <c r="J14" s="17">
        <v>20</v>
      </c>
      <c r="L14" s="10" t="s">
        <v>299</v>
      </c>
      <c r="M14" s="14">
        <v>40.049999999999997</v>
      </c>
      <c r="Q14" s="10" t="s">
        <v>237</v>
      </c>
      <c r="R14" s="14">
        <v>1</v>
      </c>
    </row>
    <row r="15" spans="1:37" x14ac:dyDescent="0.2">
      <c r="A15" s="10" t="s">
        <v>272</v>
      </c>
      <c r="E15" s="10" t="s">
        <v>281</v>
      </c>
      <c r="F15" s="17">
        <v>38</v>
      </c>
      <c r="I15" s="10" t="s">
        <v>300</v>
      </c>
      <c r="J15" s="17">
        <v>15</v>
      </c>
      <c r="L15" s="10" t="s">
        <v>300</v>
      </c>
      <c r="M15" s="14">
        <v>39.93333333333333</v>
      </c>
      <c r="Q15" s="10" t="s">
        <v>238</v>
      </c>
      <c r="R15" s="14">
        <v>1</v>
      </c>
    </row>
    <row r="16" spans="1:37" x14ac:dyDescent="0.2">
      <c r="A16" s="10" t="s">
        <v>325</v>
      </c>
      <c r="E16" s="10" t="s">
        <v>282</v>
      </c>
      <c r="F16" s="17">
        <v>12</v>
      </c>
      <c r="I16" s="10" t="s">
        <v>301</v>
      </c>
      <c r="J16" s="17">
        <v>19</v>
      </c>
      <c r="L16" s="10" t="s">
        <v>301</v>
      </c>
      <c r="M16" s="14">
        <v>42.473684210526315</v>
      </c>
      <c r="Q16" s="10" t="s">
        <v>233</v>
      </c>
      <c r="R16" s="14">
        <v>1</v>
      </c>
    </row>
    <row r="17" spans="1:25" x14ac:dyDescent="0.2">
      <c r="A17" s="10" t="s">
        <v>266</v>
      </c>
      <c r="B17">
        <f xml:space="preserve"> COUNTA(_xlfn.UNIQUE(A11:A16)) - 1</f>
        <v>5</v>
      </c>
      <c r="E17" s="10" t="s">
        <v>266</v>
      </c>
      <c r="F17" s="17">
        <v>210</v>
      </c>
      <c r="I17" s="10" t="s">
        <v>266</v>
      </c>
      <c r="J17" s="17">
        <v>210</v>
      </c>
      <c r="L17" s="10" t="s">
        <v>266</v>
      </c>
      <c r="M17" s="14">
        <v>42.74285714285714</v>
      </c>
      <c r="Q17" s="10" t="s">
        <v>239</v>
      </c>
      <c r="R17" s="14">
        <v>1</v>
      </c>
    </row>
    <row r="18" spans="1:25" x14ac:dyDescent="0.2">
      <c r="Q18" s="10" t="s">
        <v>235</v>
      </c>
      <c r="R18" s="14">
        <v>1</v>
      </c>
    </row>
    <row r="19" spans="1:25" x14ac:dyDescent="0.2">
      <c r="I19" s="10" t="s">
        <v>308</v>
      </c>
      <c r="Q19" s="10" t="s">
        <v>266</v>
      </c>
      <c r="R19" s="14">
        <v>210</v>
      </c>
    </row>
    <row r="20" spans="1:25" x14ac:dyDescent="0.2">
      <c r="I20" s="9" t="s">
        <v>249</v>
      </c>
      <c r="J20" t="s">
        <v>306</v>
      </c>
      <c r="L20" s="10" t="s">
        <v>318</v>
      </c>
      <c r="X20" s="9" t="s">
        <v>330</v>
      </c>
      <c r="Y20" t="s">
        <v>265</v>
      </c>
    </row>
    <row r="21" spans="1:25" x14ac:dyDescent="0.2">
      <c r="I21" s="10" t="s">
        <v>251</v>
      </c>
      <c r="J21" s="17">
        <v>24</v>
      </c>
      <c r="L21" s="9" t="s">
        <v>12</v>
      </c>
      <c r="M21" t="s">
        <v>284</v>
      </c>
      <c r="X21" s="10" t="s">
        <v>328</v>
      </c>
      <c r="Y21" s="17">
        <v>162</v>
      </c>
    </row>
    <row r="22" spans="1:25" x14ac:dyDescent="0.2">
      <c r="I22" s="10" t="s">
        <v>254</v>
      </c>
      <c r="J22" s="17">
        <v>7</v>
      </c>
      <c r="L22" s="10" t="s">
        <v>260</v>
      </c>
      <c r="M22" s="14">
        <v>48</v>
      </c>
      <c r="X22" s="16" t="s">
        <v>290</v>
      </c>
      <c r="Y22" s="17">
        <v>2</v>
      </c>
    </row>
    <row r="23" spans="1:25" x14ac:dyDescent="0.2">
      <c r="A23" t="s">
        <v>275</v>
      </c>
      <c r="E23" t="s">
        <v>285</v>
      </c>
      <c r="I23" s="10" t="s">
        <v>250</v>
      </c>
      <c r="J23" s="17">
        <v>67</v>
      </c>
      <c r="L23" s="10" t="s">
        <v>257</v>
      </c>
      <c r="M23" s="14">
        <v>46.6</v>
      </c>
      <c r="X23" s="16" t="s">
        <v>291</v>
      </c>
      <c r="Y23" s="17">
        <v>6</v>
      </c>
    </row>
    <row r="24" spans="1:25" x14ac:dyDescent="0.2">
      <c r="A24" s="9" t="s">
        <v>12</v>
      </c>
      <c r="B24" t="s">
        <v>274</v>
      </c>
      <c r="E24" t="s">
        <v>284</v>
      </c>
      <c r="F24" t="s">
        <v>265</v>
      </c>
      <c r="I24" s="10" t="s">
        <v>227</v>
      </c>
      <c r="J24" s="17">
        <v>1</v>
      </c>
      <c r="L24" s="10" t="s">
        <v>255</v>
      </c>
      <c r="M24" s="14">
        <v>42.630434782608695</v>
      </c>
      <c r="Q24" t="s">
        <v>321</v>
      </c>
      <c r="X24" s="16" t="s">
        <v>292</v>
      </c>
      <c r="Y24" s="17">
        <v>19</v>
      </c>
    </row>
    <row r="25" spans="1:25" x14ac:dyDescent="0.2">
      <c r="A25" s="10" t="s">
        <v>260</v>
      </c>
      <c r="B25" s="17">
        <v>4</v>
      </c>
      <c r="C25">
        <f>IFERROR(GETPIVOTDATA("Client ID",$A$24,"Status","Allocated (active)"),0)</f>
        <v>4</v>
      </c>
      <c r="D25" s="11"/>
      <c r="E25" s="12">
        <v>42.74285714285714</v>
      </c>
      <c r="F25" s="17">
        <v>210</v>
      </c>
      <c r="I25" s="10" t="s">
        <v>253</v>
      </c>
      <c r="J25" s="17">
        <v>49</v>
      </c>
      <c r="L25" s="10" t="s">
        <v>259</v>
      </c>
      <c r="M25" s="14">
        <v>39.25</v>
      </c>
      <c r="Q25" s="9" t="s">
        <v>6</v>
      </c>
      <c r="R25" t="s">
        <v>283</v>
      </c>
      <c r="X25" s="16" t="s">
        <v>293</v>
      </c>
      <c r="Y25" s="17">
        <v>11</v>
      </c>
    </row>
    <row r="26" spans="1:25" x14ac:dyDescent="0.2">
      <c r="A26" s="10" t="s">
        <v>257</v>
      </c>
      <c r="B26" s="17">
        <v>5</v>
      </c>
      <c r="C26">
        <f>IFERROR(GETPIVOTDATA("Client ID",$A$24,"Status","Assessed (awaiting allocation)"),0)</f>
        <v>5</v>
      </c>
      <c r="D26" s="11"/>
      <c r="I26" s="10" t="s">
        <v>252</v>
      </c>
      <c r="J26" s="17">
        <v>62</v>
      </c>
      <c r="L26" s="10" t="s">
        <v>256</v>
      </c>
      <c r="M26" s="14">
        <v>38.428571428571431</v>
      </c>
      <c r="Q26" s="10" t="s">
        <v>243</v>
      </c>
      <c r="R26" s="14">
        <v>119</v>
      </c>
      <c r="S26" t="str">
        <f>Q26</f>
        <v>Black / African / Caribbean</v>
      </c>
      <c r="T26">
        <f>GETPIVOTDATA("Client ID",$Q$25,"Ethnicity","Black / African / Caribbean")</f>
        <v>119</v>
      </c>
      <c r="X26" s="16" t="s">
        <v>294</v>
      </c>
      <c r="Y26" s="17">
        <v>17</v>
      </c>
    </row>
    <row r="27" spans="1:25" x14ac:dyDescent="0.2">
      <c r="A27" s="10" t="s">
        <v>255</v>
      </c>
      <c r="B27" s="17">
        <v>184</v>
      </c>
      <c r="C27">
        <f>IFERROR(GETPIVOTDATA("Client ID",$A$24,"Status","Completed"),0)</f>
        <v>184</v>
      </c>
      <c r="D27" s="11"/>
      <c r="E27" t="s">
        <v>304</v>
      </c>
      <c r="I27" s="10" t="s">
        <v>266</v>
      </c>
      <c r="J27" s="17">
        <v>210</v>
      </c>
      <c r="L27" s="10" t="s">
        <v>258</v>
      </c>
      <c r="M27" s="14">
        <v>46.833333333333336</v>
      </c>
      <c r="Q27" s="10" t="s">
        <v>242</v>
      </c>
      <c r="R27" s="14">
        <v>51</v>
      </c>
      <c r="S27" t="str">
        <f>Q27</f>
        <v>White</v>
      </c>
      <c r="T27">
        <f>GETPIVOTDATA("Client ID",$Q$25,"Ethnicity","White")</f>
        <v>51</v>
      </c>
      <c r="X27" s="16" t="s">
        <v>295</v>
      </c>
      <c r="Y27" s="17">
        <v>19</v>
      </c>
    </row>
    <row r="28" spans="1:25" x14ac:dyDescent="0.2">
      <c r="A28" s="10" t="s">
        <v>259</v>
      </c>
      <c r="B28" s="17">
        <v>4</v>
      </c>
      <c r="C28">
        <f>IFERROR(GETPIVOTDATA("Client ID",$A$24,"Status","Not Suitable"),0)</f>
        <v>4</v>
      </c>
      <c r="D28" s="11"/>
      <c r="E28" t="s">
        <v>302</v>
      </c>
      <c r="F28" t="s">
        <v>303</v>
      </c>
      <c r="L28" s="10" t="s">
        <v>266</v>
      </c>
      <c r="M28" s="14">
        <v>42.74285714285714</v>
      </c>
      <c r="Q28" s="10" t="s">
        <v>241</v>
      </c>
      <c r="R28" s="14">
        <v>26</v>
      </c>
      <c r="S28" t="str">
        <f>Q28</f>
        <v>Asian</v>
      </c>
      <c r="T28">
        <f>GETPIVOTDATA("Client ID",$Q$25,"Ethnicity","Asian")</f>
        <v>26</v>
      </c>
      <c r="X28" s="16" t="s">
        <v>296</v>
      </c>
      <c r="Y28" s="17">
        <v>22</v>
      </c>
    </row>
    <row r="29" spans="1:25" x14ac:dyDescent="0.2">
      <c r="A29" s="10" t="s">
        <v>256</v>
      </c>
      <c r="B29" s="17">
        <v>7</v>
      </c>
      <c r="C29">
        <f>IFERROR(GETPIVOTDATA("Client ID",$A$24,"Status","Referred (waiting)"),0)</f>
        <v>7</v>
      </c>
      <c r="D29" s="11"/>
      <c r="E29" s="14">
        <v>30.502617801047119</v>
      </c>
      <c r="F29" s="14">
        <v>25.084577114427862</v>
      </c>
      <c r="Q29" s="10" t="s">
        <v>227</v>
      </c>
      <c r="R29" s="14">
        <v>14</v>
      </c>
      <c r="S29" t="str">
        <f>Q29</f>
        <v>Other</v>
      </c>
      <c r="T29">
        <f>GETPIVOTDATA("Client ID",$Q$25,"Ethnicity","Other")</f>
        <v>14</v>
      </c>
      <c r="X29" s="16" t="s">
        <v>297</v>
      </c>
      <c r="Y29" s="17">
        <v>13</v>
      </c>
    </row>
    <row r="30" spans="1:25" x14ac:dyDescent="0.2">
      <c r="A30" s="10" t="s">
        <v>258</v>
      </c>
      <c r="B30" s="17">
        <v>6</v>
      </c>
      <c r="C30">
        <f>IFERROR(GETPIVOTDATA("Client ID",$A$24,"Status","Withdrawn"),0)</f>
        <v>6</v>
      </c>
      <c r="D30" s="11"/>
      <c r="Q30" s="10" t="s">
        <v>266</v>
      </c>
      <c r="R30" s="14">
        <v>210</v>
      </c>
      <c r="X30" s="16" t="s">
        <v>298</v>
      </c>
      <c r="Y30" s="17">
        <v>12</v>
      </c>
    </row>
    <row r="31" spans="1:25" x14ac:dyDescent="0.2">
      <c r="A31" s="10" t="s">
        <v>266</v>
      </c>
      <c r="B31" s="17">
        <v>210</v>
      </c>
      <c r="X31" s="16" t="s">
        <v>299</v>
      </c>
      <c r="Y31" s="17">
        <v>11</v>
      </c>
    </row>
    <row r="32" spans="1:25" x14ac:dyDescent="0.2">
      <c r="X32" s="16" t="s">
        <v>300</v>
      </c>
      <c r="Y32" s="17">
        <v>14</v>
      </c>
    </row>
    <row r="33" spans="1:25" x14ac:dyDescent="0.2">
      <c r="E33" t="s">
        <v>311</v>
      </c>
      <c r="X33" s="16" t="s">
        <v>301</v>
      </c>
      <c r="Y33" s="17">
        <v>16</v>
      </c>
    </row>
    <row r="34" spans="1:25" x14ac:dyDescent="0.2">
      <c r="A34" s="10" t="s">
        <v>275</v>
      </c>
      <c r="B34" s="11" t="s">
        <v>310</v>
      </c>
      <c r="C34" t="s">
        <v>287</v>
      </c>
      <c r="E34" s="9" t="s">
        <v>271</v>
      </c>
      <c r="F34" t="s">
        <v>284</v>
      </c>
      <c r="X34" s="10" t="s">
        <v>329</v>
      </c>
      <c r="Y34" s="17">
        <v>29</v>
      </c>
    </row>
    <row r="35" spans="1:25" x14ac:dyDescent="0.2">
      <c r="A35" s="10" t="s">
        <v>309</v>
      </c>
      <c r="B35" s="11">
        <f>GETPIVOTDATA("Client ID",$A$24,"Status","Allocated (active)")/GETPIVOTDATA("Client ID",$A$24)</f>
        <v>1.9047619047619049E-2</v>
      </c>
      <c r="C35">
        <f>IFERROR(GETPIVOTDATA("Client ID",$A$24,"Status","Allocated (active)"),0)</f>
        <v>4</v>
      </c>
      <c r="E35" s="10" t="s">
        <v>225</v>
      </c>
      <c r="F35" s="14">
        <v>42.804195804195807</v>
      </c>
      <c r="G35" s="15">
        <f>IFERROR(GETPIVOTDATA("Age",$E$34,"Gender","Female"),0)</f>
        <v>42.804195804195807</v>
      </c>
      <c r="X35" s="16" t="s">
        <v>290</v>
      </c>
      <c r="Y35" s="17">
        <v>15</v>
      </c>
    </row>
    <row r="36" spans="1:25" x14ac:dyDescent="0.2">
      <c r="A36" s="10" t="s">
        <v>257</v>
      </c>
      <c r="B36" s="11">
        <f>GETPIVOTDATA("Client ID",$A$24,"Status","Assessed (awaiting allocation)")/GETPIVOTDATA("Client ID",$A$24)</f>
        <v>2.3809523809523808E-2</v>
      </c>
      <c r="C36">
        <f>IFERROR(GETPIVOTDATA("Client ID",$A$24,"Status","Assessed (awaiting allocation)"),0)</f>
        <v>5</v>
      </c>
      <c r="E36" s="10" t="s">
        <v>224</v>
      </c>
      <c r="F36" s="14">
        <v>42.625</v>
      </c>
      <c r="G36" s="15">
        <f>IFERROR(GETPIVOTDATA("Age",$E$34,"Gender","Male"),0)</f>
        <v>42.625</v>
      </c>
      <c r="X36" s="16" t="s">
        <v>291</v>
      </c>
      <c r="Y36" s="17">
        <v>9</v>
      </c>
    </row>
    <row r="37" spans="1:25" x14ac:dyDescent="0.2">
      <c r="A37" s="10" t="s">
        <v>255</v>
      </c>
      <c r="B37" s="11">
        <f>GETPIVOTDATA("Client ID",$A$24,"Status","Completed")/GETPIVOTDATA("Client ID",$A$24)</f>
        <v>0.87619047619047619</v>
      </c>
      <c r="C37">
        <f>IFERROR(GETPIVOTDATA("Client ID",$A$24,"Status","Completed"),0)</f>
        <v>184</v>
      </c>
      <c r="E37" s="10" t="s">
        <v>226</v>
      </c>
      <c r="F37" s="14">
        <v>42.333333333333336</v>
      </c>
      <c r="Q37" t="s">
        <v>322</v>
      </c>
      <c r="X37" s="16" t="s">
        <v>292</v>
      </c>
      <c r="Y37" s="17">
        <v>5</v>
      </c>
    </row>
    <row r="38" spans="1:25" x14ac:dyDescent="0.2">
      <c r="A38" s="10" t="s">
        <v>259</v>
      </c>
      <c r="B38" s="11">
        <f>GETPIVOTDATA("Client ID",$A$24,"Status","Not Suitable")/GETPIVOTDATA("Client ID",$A$24)</f>
        <v>1.9047619047619049E-2</v>
      </c>
      <c r="C38">
        <f>IFERROR(GETPIVOTDATA("Client ID",$A$24,"Status","Not Suitable"),0)</f>
        <v>4</v>
      </c>
      <c r="E38" s="10" t="s">
        <v>266</v>
      </c>
      <c r="F38" s="17">
        <v>42.74285714285714</v>
      </c>
      <c r="Q38" s="9" t="s">
        <v>6</v>
      </c>
      <c r="R38" t="s">
        <v>283</v>
      </c>
      <c r="X38" s="10" t="s">
        <v>266</v>
      </c>
      <c r="Y38" s="17">
        <v>191</v>
      </c>
    </row>
    <row r="39" spans="1:25" x14ac:dyDescent="0.2">
      <c r="A39" s="10" t="s">
        <v>256</v>
      </c>
      <c r="B39" s="11">
        <f>GETPIVOTDATA("Client ID",$A$24,"Status","Referred (waiting)")/GETPIVOTDATA("Client ID",$A$24)</f>
        <v>3.3333333333333333E-2</v>
      </c>
      <c r="C39">
        <f>IFERROR(GETPIVOTDATA("Client ID",$A$24,"Status","Referred (waiting)"),0)</f>
        <v>7</v>
      </c>
      <c r="Q39" s="10" t="s">
        <v>319</v>
      </c>
      <c r="R39" s="14">
        <v>159</v>
      </c>
      <c r="S39">
        <f>GETPIVOTDATA("Client ID",$Q$38,"Ethnicity Group","BAME")</f>
        <v>159</v>
      </c>
    </row>
    <row r="40" spans="1:25" x14ac:dyDescent="0.2">
      <c r="A40" s="10" t="s">
        <v>258</v>
      </c>
      <c r="B40" s="11">
        <f>GETPIVOTDATA("Client ID",$A$24,"Status","Withdrawn")/GETPIVOTDATA("Client ID",$A$24)</f>
        <v>2.8571428571428571E-2</v>
      </c>
      <c r="C40">
        <f>IFERROR(GETPIVOTDATA("Client ID",$A$24,"Status","Withdrawn"),0)</f>
        <v>6</v>
      </c>
      <c r="Q40" s="16" t="s">
        <v>241</v>
      </c>
      <c r="R40" s="14">
        <v>26</v>
      </c>
    </row>
    <row r="41" spans="1:25" x14ac:dyDescent="0.2">
      <c r="Q41" s="16" t="s">
        <v>243</v>
      </c>
      <c r="R41" s="14">
        <v>119</v>
      </c>
    </row>
    <row r="42" spans="1:25" x14ac:dyDescent="0.2">
      <c r="E42" t="s">
        <v>312</v>
      </c>
      <c r="Q42" s="16" t="s">
        <v>227</v>
      </c>
      <c r="R42" s="14">
        <v>14</v>
      </c>
    </row>
    <row r="43" spans="1:25" x14ac:dyDescent="0.2">
      <c r="E43" t="s">
        <v>284</v>
      </c>
      <c r="F43" t="s">
        <v>313</v>
      </c>
      <c r="G43" t="s">
        <v>314</v>
      </c>
      <c r="H43" t="s">
        <v>315</v>
      </c>
      <c r="Q43" s="10" t="s">
        <v>242</v>
      </c>
      <c r="R43" s="14">
        <v>51</v>
      </c>
      <c r="S43">
        <f>GETPIVOTDATA("Client ID",$Q$38,"Ethnicity Group","White")</f>
        <v>51</v>
      </c>
      <c r="X43" s="9" t="s">
        <v>330</v>
      </c>
      <c r="Y43" t="s">
        <v>265</v>
      </c>
    </row>
    <row r="44" spans="1:25" x14ac:dyDescent="0.2">
      <c r="E44" s="12">
        <v>42.74285714285714</v>
      </c>
      <c r="F44" s="17">
        <v>67</v>
      </c>
      <c r="G44" s="17">
        <v>20</v>
      </c>
      <c r="H44" s="14">
        <f ca="1">MEDIAN(Table32[Age])</f>
        <v>41.5</v>
      </c>
      <c r="Q44" s="16" t="s">
        <v>242</v>
      </c>
      <c r="R44" s="14">
        <v>51</v>
      </c>
      <c r="X44" s="10" t="s">
        <v>328</v>
      </c>
      <c r="Y44" s="17">
        <v>162</v>
      </c>
    </row>
    <row r="45" spans="1:25" x14ac:dyDescent="0.2">
      <c r="Q45" s="10" t="s">
        <v>266</v>
      </c>
      <c r="R45" s="14">
        <v>210</v>
      </c>
      <c r="X45" s="16" t="s">
        <v>290</v>
      </c>
      <c r="Y45" s="17">
        <v>2</v>
      </c>
    </row>
    <row r="46" spans="1:25" x14ac:dyDescent="0.2">
      <c r="X46" s="20" t="s">
        <v>255</v>
      </c>
      <c r="Y46" s="17">
        <v>2</v>
      </c>
    </row>
    <row r="47" spans="1:25" x14ac:dyDescent="0.2">
      <c r="X47" s="16" t="s">
        <v>291</v>
      </c>
      <c r="Y47" s="17">
        <v>6</v>
      </c>
    </row>
    <row r="48" spans="1:25" x14ac:dyDescent="0.2">
      <c r="X48" s="20" t="s">
        <v>255</v>
      </c>
      <c r="Y48" s="17">
        <v>6</v>
      </c>
    </row>
    <row r="49" spans="24:25" x14ac:dyDescent="0.2">
      <c r="X49" s="16" t="s">
        <v>292</v>
      </c>
      <c r="Y49" s="17">
        <v>19</v>
      </c>
    </row>
    <row r="50" spans="24:25" x14ac:dyDescent="0.2">
      <c r="X50" s="20" t="s">
        <v>255</v>
      </c>
      <c r="Y50" s="17">
        <v>18</v>
      </c>
    </row>
    <row r="51" spans="24:25" x14ac:dyDescent="0.2">
      <c r="X51" s="20" t="s">
        <v>259</v>
      </c>
      <c r="Y51" s="17">
        <v>1</v>
      </c>
    </row>
    <row r="52" spans="24:25" x14ac:dyDescent="0.2">
      <c r="X52" s="16" t="s">
        <v>293</v>
      </c>
      <c r="Y52" s="17">
        <v>11</v>
      </c>
    </row>
    <row r="53" spans="24:25" x14ac:dyDescent="0.2">
      <c r="X53" s="20" t="s">
        <v>255</v>
      </c>
      <c r="Y53" s="17">
        <v>11</v>
      </c>
    </row>
    <row r="54" spans="24:25" x14ac:dyDescent="0.2">
      <c r="X54" s="16" t="s">
        <v>294</v>
      </c>
      <c r="Y54" s="17">
        <v>17</v>
      </c>
    </row>
    <row r="55" spans="24:25" x14ac:dyDescent="0.2">
      <c r="X55" s="20" t="s">
        <v>255</v>
      </c>
      <c r="Y55" s="17">
        <v>17</v>
      </c>
    </row>
    <row r="56" spans="24:25" x14ac:dyDescent="0.2">
      <c r="X56" s="16" t="s">
        <v>295</v>
      </c>
      <c r="Y56" s="17">
        <v>19</v>
      </c>
    </row>
    <row r="57" spans="24:25" x14ac:dyDescent="0.2">
      <c r="X57" s="20" t="s">
        <v>255</v>
      </c>
      <c r="Y57" s="17">
        <v>19</v>
      </c>
    </row>
    <row r="58" spans="24:25" x14ac:dyDescent="0.2">
      <c r="X58" s="16" t="s">
        <v>296</v>
      </c>
      <c r="Y58" s="17">
        <v>22</v>
      </c>
    </row>
    <row r="59" spans="24:25" x14ac:dyDescent="0.2">
      <c r="X59" s="20" t="s">
        <v>255</v>
      </c>
      <c r="Y59" s="17">
        <v>22</v>
      </c>
    </row>
    <row r="60" spans="24:25" x14ac:dyDescent="0.2">
      <c r="X60" s="16" t="s">
        <v>297</v>
      </c>
      <c r="Y60" s="17">
        <v>13</v>
      </c>
    </row>
    <row r="61" spans="24:25" x14ac:dyDescent="0.2">
      <c r="X61" s="20" t="s">
        <v>255</v>
      </c>
      <c r="Y61" s="17">
        <v>11</v>
      </c>
    </row>
    <row r="62" spans="24:25" x14ac:dyDescent="0.2">
      <c r="X62" s="20" t="s">
        <v>258</v>
      </c>
      <c r="Y62" s="17">
        <v>2</v>
      </c>
    </row>
    <row r="63" spans="24:25" x14ac:dyDescent="0.2">
      <c r="X63" s="16" t="s">
        <v>298</v>
      </c>
      <c r="Y63" s="17">
        <v>12</v>
      </c>
    </row>
    <row r="64" spans="24:25" x14ac:dyDescent="0.2">
      <c r="X64" s="20" t="s">
        <v>255</v>
      </c>
      <c r="Y64" s="17">
        <v>11</v>
      </c>
    </row>
    <row r="65" spans="24:25" x14ac:dyDescent="0.2">
      <c r="X65" s="20" t="s">
        <v>258</v>
      </c>
      <c r="Y65" s="17">
        <v>1</v>
      </c>
    </row>
    <row r="66" spans="24:25" x14ac:dyDescent="0.2">
      <c r="X66" s="16" t="s">
        <v>299</v>
      </c>
      <c r="Y66" s="17">
        <v>11</v>
      </c>
    </row>
    <row r="67" spans="24:25" x14ac:dyDescent="0.2">
      <c r="X67" s="20" t="s">
        <v>260</v>
      </c>
      <c r="Y67" s="17">
        <v>1</v>
      </c>
    </row>
    <row r="68" spans="24:25" x14ac:dyDescent="0.2">
      <c r="X68" s="20" t="s">
        <v>255</v>
      </c>
      <c r="Y68" s="17">
        <v>10</v>
      </c>
    </row>
    <row r="69" spans="24:25" x14ac:dyDescent="0.2">
      <c r="X69" s="16" t="s">
        <v>300</v>
      </c>
      <c r="Y69" s="17">
        <v>14</v>
      </c>
    </row>
    <row r="70" spans="24:25" x14ac:dyDescent="0.2">
      <c r="X70" s="20" t="s">
        <v>260</v>
      </c>
      <c r="Y70" s="17">
        <v>1</v>
      </c>
    </row>
    <row r="71" spans="24:25" x14ac:dyDescent="0.2">
      <c r="X71" s="20" t="s">
        <v>255</v>
      </c>
      <c r="Y71" s="17">
        <v>13</v>
      </c>
    </row>
    <row r="72" spans="24:25" x14ac:dyDescent="0.2">
      <c r="X72" s="16" t="s">
        <v>301</v>
      </c>
      <c r="Y72" s="17">
        <v>16</v>
      </c>
    </row>
    <row r="73" spans="24:25" x14ac:dyDescent="0.2">
      <c r="X73" s="20" t="s">
        <v>260</v>
      </c>
      <c r="Y73" s="17">
        <v>1</v>
      </c>
    </row>
    <row r="74" spans="24:25" x14ac:dyDescent="0.2">
      <c r="X74" s="20" t="s">
        <v>255</v>
      </c>
      <c r="Y74" s="17">
        <v>15</v>
      </c>
    </row>
    <row r="75" spans="24:25" x14ac:dyDescent="0.2">
      <c r="X75" s="10" t="s">
        <v>329</v>
      </c>
      <c r="Y75" s="17">
        <v>29</v>
      </c>
    </row>
    <row r="76" spans="24:25" x14ac:dyDescent="0.2">
      <c r="X76" s="16" t="s">
        <v>290</v>
      </c>
      <c r="Y76" s="17">
        <v>15</v>
      </c>
    </row>
    <row r="77" spans="24:25" x14ac:dyDescent="0.2">
      <c r="X77" s="20" t="s">
        <v>255</v>
      </c>
      <c r="Y77" s="17">
        <v>14</v>
      </c>
    </row>
    <row r="78" spans="24:25" x14ac:dyDescent="0.2">
      <c r="X78" s="20" t="s">
        <v>258</v>
      </c>
      <c r="Y78" s="17">
        <v>1</v>
      </c>
    </row>
    <row r="79" spans="24:25" x14ac:dyDescent="0.2">
      <c r="X79" s="16" t="s">
        <v>291</v>
      </c>
      <c r="Y79" s="17">
        <v>9</v>
      </c>
    </row>
    <row r="80" spans="24:25" x14ac:dyDescent="0.2">
      <c r="X80" s="20" t="s">
        <v>255</v>
      </c>
      <c r="Y80" s="17">
        <v>9</v>
      </c>
    </row>
    <row r="81" spans="24:26" x14ac:dyDescent="0.2">
      <c r="X81" s="16" t="s">
        <v>292</v>
      </c>
      <c r="Y81" s="17">
        <v>5</v>
      </c>
    </row>
    <row r="82" spans="24:26" x14ac:dyDescent="0.2">
      <c r="X82" s="20" t="s">
        <v>260</v>
      </c>
      <c r="Y82" s="17">
        <v>1</v>
      </c>
      <c r="Z82">
        <f>IFERROR(GETPIVOTDATA("Client ID",$X$43,"Status","Allocated (active)","Months (Date Allocated Clean)",3,"Years (Date Allocated Clean)",2025),0)</f>
        <v>1</v>
      </c>
    </row>
    <row r="83" spans="24:26" x14ac:dyDescent="0.2">
      <c r="X83" s="20" t="s">
        <v>255</v>
      </c>
      <c r="Y83" s="17">
        <v>4</v>
      </c>
      <c r="Z83">
        <f>IFERROR(GETPIVOTDATA("Client ID",$X$43,"Status","Completed","Months (Date Allocated Clean)",3,"Years (Date Allocated Clean)",2025),0)</f>
        <v>4</v>
      </c>
    </row>
    <row r="84" spans="24:26" x14ac:dyDescent="0.2">
      <c r="X84" s="10" t="s">
        <v>266</v>
      </c>
      <c r="Y84" s="17">
        <v>191</v>
      </c>
    </row>
  </sheetData>
  <pageMargins left="0.7" right="0.7" top="0.75" bottom="0.75" header="0.3" footer="0.3"/>
  <tableParts count="1">
    <tablePart r:id="rId2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FDFA-4E0B-4842-887B-2CC73F25E187}">
  <dimension ref="D3:BI94"/>
  <sheetViews>
    <sheetView zoomScaleNormal="130" workbookViewId="0"/>
  </sheetViews>
  <sheetFormatPr baseColWidth="10" defaultRowHeight="16" x14ac:dyDescent="0.2"/>
  <sheetData>
    <row r="3" spans="4:61" x14ac:dyDescent="0.2">
      <c r="F3" s="8"/>
    </row>
    <row r="4" spans="4:61" x14ac:dyDescent="0.2">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row>
    <row r="5" spans="4:61" x14ac:dyDescent="0.2">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row>
    <row r="6" spans="4:61" x14ac:dyDescent="0.2">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row>
    <row r="7" spans="4:61" x14ac:dyDescent="0.2">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row>
    <row r="8" spans="4:61" x14ac:dyDescent="0.2">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row>
    <row r="9" spans="4:61" x14ac:dyDescent="0.2">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row>
    <row r="10" spans="4:61" x14ac:dyDescent="0.2">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row>
    <row r="11" spans="4:61" x14ac:dyDescent="0.2">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row>
    <row r="12" spans="4:61" x14ac:dyDescent="0.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row>
    <row r="13" spans="4:61" x14ac:dyDescent="0.2">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row>
    <row r="14" spans="4:61" x14ac:dyDescent="0.2">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row>
    <row r="15" spans="4:61" x14ac:dyDescent="0.2">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row>
    <row r="16" spans="4:61" x14ac:dyDescent="0.2">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row>
    <row r="17" spans="4:61" x14ac:dyDescent="0.2">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row>
    <row r="18" spans="4:61" x14ac:dyDescent="0.2">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row>
    <row r="19" spans="4:61" x14ac:dyDescent="0.2">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row>
    <row r="20" spans="4:61" x14ac:dyDescent="0.2">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row>
    <row r="21" spans="4:61" x14ac:dyDescent="0.2">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row>
    <row r="22" spans="4:61" x14ac:dyDescent="0.2">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row>
    <row r="23" spans="4:61" x14ac:dyDescent="0.2">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row>
    <row r="24" spans="4:61" x14ac:dyDescent="0.2">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row>
    <row r="25" spans="4:61" x14ac:dyDescent="0.2">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row>
    <row r="26" spans="4:61" x14ac:dyDescent="0.2">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row>
    <row r="27" spans="4:61" x14ac:dyDescent="0.2">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row>
    <row r="28" spans="4:61" x14ac:dyDescent="0.2">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row>
    <row r="29" spans="4:61" x14ac:dyDescent="0.2">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row>
    <row r="30" spans="4:61" x14ac:dyDescent="0.2">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row>
    <row r="31" spans="4:61" x14ac:dyDescent="0.2">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row>
    <row r="32" spans="4:61" x14ac:dyDescent="0.2">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row>
    <row r="33" spans="4:61" x14ac:dyDescent="0.2">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row>
    <row r="34" spans="4:61" x14ac:dyDescent="0.2">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row>
    <row r="35" spans="4:61" x14ac:dyDescent="0.2">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row>
    <row r="36" spans="4:61" x14ac:dyDescent="0.2">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row>
    <row r="37" spans="4:61" x14ac:dyDescent="0.2">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row>
    <row r="38" spans="4:61" x14ac:dyDescent="0.2">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row>
    <row r="39" spans="4:61" x14ac:dyDescent="0.2">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row>
    <row r="40" spans="4:61" x14ac:dyDescent="0.2">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row>
    <row r="41" spans="4:61" x14ac:dyDescent="0.2">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row>
    <row r="42" spans="4:61" x14ac:dyDescent="0.2">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row>
    <row r="43" spans="4:61" x14ac:dyDescent="0.2">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row>
    <row r="44" spans="4:61" x14ac:dyDescent="0.2">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row>
    <row r="45" spans="4:61" x14ac:dyDescent="0.2">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row>
    <row r="46" spans="4:61" x14ac:dyDescent="0.2">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row>
    <row r="47" spans="4:61" x14ac:dyDescent="0.2">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row>
    <row r="48" spans="4:61" x14ac:dyDescent="0.2">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row>
    <row r="49" spans="4:61" x14ac:dyDescent="0.2">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row>
    <row r="50" spans="4:61" x14ac:dyDescent="0.2">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row>
    <row r="51" spans="4:61" x14ac:dyDescent="0.2">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row>
    <row r="52" spans="4:61" x14ac:dyDescent="0.2">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row>
    <row r="53" spans="4:61" x14ac:dyDescent="0.2">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row>
    <row r="54" spans="4:61" x14ac:dyDescent="0.2">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row>
    <row r="55" spans="4:61" x14ac:dyDescent="0.2">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row>
    <row r="56" spans="4:61" x14ac:dyDescent="0.2">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row>
    <row r="57" spans="4:61" x14ac:dyDescent="0.2">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row>
    <row r="58" spans="4:61" x14ac:dyDescent="0.2">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row>
    <row r="59" spans="4:61" x14ac:dyDescent="0.2">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row>
    <row r="60" spans="4:61" x14ac:dyDescent="0.2">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row>
    <row r="61" spans="4:61" x14ac:dyDescent="0.2">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row>
    <row r="62" spans="4:61" x14ac:dyDescent="0.2">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row>
    <row r="63" spans="4:61" x14ac:dyDescent="0.2">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row>
    <row r="64" spans="4:61" x14ac:dyDescent="0.2">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row>
    <row r="65" spans="4:61" x14ac:dyDescent="0.2">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row>
    <row r="66" spans="4:61" x14ac:dyDescent="0.2">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row>
    <row r="67" spans="4:61" x14ac:dyDescent="0.2">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row>
    <row r="68" spans="4:61" x14ac:dyDescent="0.2">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row>
    <row r="69" spans="4:61" x14ac:dyDescent="0.2">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row>
    <row r="70" spans="4:61" x14ac:dyDescent="0.2">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row>
    <row r="71" spans="4:61" x14ac:dyDescent="0.2">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row>
    <row r="72" spans="4:61" x14ac:dyDescent="0.2">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row>
    <row r="73" spans="4:61" x14ac:dyDescent="0.2">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row>
    <row r="74" spans="4:61" x14ac:dyDescent="0.2">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row>
    <row r="75" spans="4:61" x14ac:dyDescent="0.2">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row>
    <row r="76" spans="4:61" x14ac:dyDescent="0.2">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row>
    <row r="77" spans="4:61" x14ac:dyDescent="0.2">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row>
    <row r="78" spans="4:61" x14ac:dyDescent="0.2">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row>
    <row r="79" spans="4:61" x14ac:dyDescent="0.2">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row>
    <row r="80" spans="4:61" x14ac:dyDescent="0.2">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row>
    <row r="81" spans="4:61" x14ac:dyDescent="0.2">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row>
    <row r="82" spans="4:61" x14ac:dyDescent="0.2">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row>
    <row r="83" spans="4:61" x14ac:dyDescent="0.2">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row>
    <row r="84" spans="4:61" x14ac:dyDescent="0.2">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row>
    <row r="85" spans="4:61" x14ac:dyDescent="0.2">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row>
    <row r="86" spans="4:61" x14ac:dyDescent="0.2">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row>
    <row r="87" spans="4:61" x14ac:dyDescent="0.2">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row>
    <row r="88" spans="4:61" x14ac:dyDescent="0.2">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row>
    <row r="89" spans="4:61" x14ac:dyDescent="0.2">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row>
    <row r="90" spans="4:61" x14ac:dyDescent="0.2">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row>
    <row r="91" spans="4:61" x14ac:dyDescent="0.2">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row>
    <row r="92" spans="4:61" x14ac:dyDescent="0.2">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row>
    <row r="93" spans="4:61" x14ac:dyDescent="0.2">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row>
    <row r="94" spans="4:61" x14ac:dyDescent="0.2">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523E8-4679-B841-9CF1-A60FADCB9667}">
  <dimension ref="D3:BI94"/>
  <sheetViews>
    <sheetView zoomScaleNormal="130" workbookViewId="0"/>
  </sheetViews>
  <sheetFormatPr baseColWidth="10" defaultRowHeight="16" x14ac:dyDescent="0.2"/>
  <sheetData>
    <row r="3" spans="4:61" x14ac:dyDescent="0.2">
      <c r="F3" s="8"/>
    </row>
    <row r="4" spans="4:61" x14ac:dyDescent="0.2">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row>
    <row r="5" spans="4:61" x14ac:dyDescent="0.2">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row>
    <row r="6" spans="4:61" x14ac:dyDescent="0.2">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row>
    <row r="7" spans="4:61" x14ac:dyDescent="0.2">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row>
    <row r="8" spans="4:61" x14ac:dyDescent="0.2">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row>
    <row r="9" spans="4:61" x14ac:dyDescent="0.2">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row>
    <row r="10" spans="4:61" x14ac:dyDescent="0.2">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row>
    <row r="11" spans="4:61" x14ac:dyDescent="0.2">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row>
    <row r="12" spans="4:61" x14ac:dyDescent="0.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row>
    <row r="13" spans="4:61" x14ac:dyDescent="0.2">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row>
    <row r="14" spans="4:61" x14ac:dyDescent="0.2">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row>
    <row r="15" spans="4:61" x14ac:dyDescent="0.2">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row>
    <row r="16" spans="4:61" x14ac:dyDescent="0.2">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row>
    <row r="17" spans="4:61" x14ac:dyDescent="0.2">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row>
    <row r="18" spans="4:61" x14ac:dyDescent="0.2">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row>
    <row r="19" spans="4:61" x14ac:dyDescent="0.2">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row>
    <row r="20" spans="4:61" x14ac:dyDescent="0.2">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row>
    <row r="21" spans="4:61" x14ac:dyDescent="0.2">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row>
    <row r="22" spans="4:61" x14ac:dyDescent="0.2">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row>
    <row r="23" spans="4:61" x14ac:dyDescent="0.2">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row>
    <row r="24" spans="4:61" x14ac:dyDescent="0.2">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row>
    <row r="25" spans="4:61" x14ac:dyDescent="0.2">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row>
    <row r="26" spans="4:61" x14ac:dyDescent="0.2">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row>
    <row r="27" spans="4:61" x14ac:dyDescent="0.2">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row>
    <row r="28" spans="4:61" x14ac:dyDescent="0.2">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row>
    <row r="29" spans="4:61" x14ac:dyDescent="0.2">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row>
    <row r="30" spans="4:61" x14ac:dyDescent="0.2">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row>
    <row r="31" spans="4:61" x14ac:dyDescent="0.2">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row>
    <row r="32" spans="4:61" x14ac:dyDescent="0.2">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row>
    <row r="33" spans="4:61" x14ac:dyDescent="0.2">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row>
    <row r="34" spans="4:61" x14ac:dyDescent="0.2">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row>
    <row r="35" spans="4:61" x14ac:dyDescent="0.2">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row>
    <row r="36" spans="4:61" x14ac:dyDescent="0.2">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row>
    <row r="37" spans="4:61" x14ac:dyDescent="0.2">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row>
    <row r="38" spans="4:61" x14ac:dyDescent="0.2">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row>
    <row r="39" spans="4:61" x14ac:dyDescent="0.2">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row>
    <row r="40" spans="4:61" x14ac:dyDescent="0.2">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row>
    <row r="41" spans="4:61" x14ac:dyDescent="0.2">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row>
    <row r="42" spans="4:61" x14ac:dyDescent="0.2">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row>
    <row r="43" spans="4:61" x14ac:dyDescent="0.2">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row>
    <row r="44" spans="4:61" x14ac:dyDescent="0.2">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row>
    <row r="45" spans="4:61" x14ac:dyDescent="0.2">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row>
    <row r="46" spans="4:61" x14ac:dyDescent="0.2">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row>
    <row r="47" spans="4:61" x14ac:dyDescent="0.2">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row>
    <row r="48" spans="4:61" x14ac:dyDescent="0.2">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row>
    <row r="49" spans="4:61" x14ac:dyDescent="0.2">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row>
    <row r="50" spans="4:61" x14ac:dyDescent="0.2">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row>
    <row r="51" spans="4:61" x14ac:dyDescent="0.2">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row>
    <row r="52" spans="4:61" x14ac:dyDescent="0.2">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row>
    <row r="53" spans="4:61" x14ac:dyDescent="0.2">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row>
    <row r="54" spans="4:61" x14ac:dyDescent="0.2">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row>
    <row r="55" spans="4:61" x14ac:dyDescent="0.2">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row>
    <row r="56" spans="4:61" x14ac:dyDescent="0.2">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row>
    <row r="57" spans="4:61" x14ac:dyDescent="0.2">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row>
    <row r="58" spans="4:61" x14ac:dyDescent="0.2">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row>
    <row r="59" spans="4:61" x14ac:dyDescent="0.2">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row>
    <row r="60" spans="4:61" x14ac:dyDescent="0.2">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row>
    <row r="61" spans="4:61" x14ac:dyDescent="0.2">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row>
    <row r="62" spans="4:61" x14ac:dyDescent="0.2">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row>
    <row r="63" spans="4:61" x14ac:dyDescent="0.2">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row>
    <row r="64" spans="4:61" x14ac:dyDescent="0.2">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row>
    <row r="65" spans="4:61" x14ac:dyDescent="0.2">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row>
    <row r="66" spans="4:61" x14ac:dyDescent="0.2">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row>
    <row r="67" spans="4:61" x14ac:dyDescent="0.2">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row>
    <row r="68" spans="4:61" x14ac:dyDescent="0.2">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row>
    <row r="69" spans="4:61" x14ac:dyDescent="0.2">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row>
    <row r="70" spans="4:61" x14ac:dyDescent="0.2">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row>
    <row r="71" spans="4:61" x14ac:dyDescent="0.2">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row>
    <row r="72" spans="4:61" x14ac:dyDescent="0.2">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row>
    <row r="73" spans="4:61" x14ac:dyDescent="0.2">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row>
    <row r="74" spans="4:61" x14ac:dyDescent="0.2">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row>
    <row r="75" spans="4:61" x14ac:dyDescent="0.2">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row>
    <row r="76" spans="4:61" x14ac:dyDescent="0.2">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row>
    <row r="77" spans="4:61" x14ac:dyDescent="0.2">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row>
    <row r="78" spans="4:61" x14ac:dyDescent="0.2">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row>
    <row r="79" spans="4:61" x14ac:dyDescent="0.2">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row>
    <row r="80" spans="4:61" x14ac:dyDescent="0.2">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row>
    <row r="81" spans="4:61" x14ac:dyDescent="0.2">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row>
    <row r="82" spans="4:61" x14ac:dyDescent="0.2">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row>
    <row r="83" spans="4:61" x14ac:dyDescent="0.2">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row>
    <row r="84" spans="4:61" x14ac:dyDescent="0.2">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row>
    <row r="85" spans="4:61" x14ac:dyDescent="0.2">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row>
    <row r="86" spans="4:61" x14ac:dyDescent="0.2">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row>
    <row r="87" spans="4:61" x14ac:dyDescent="0.2">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row>
    <row r="88" spans="4:61" x14ac:dyDescent="0.2">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row>
    <row r="89" spans="4:61" x14ac:dyDescent="0.2">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row>
    <row r="90" spans="4:61" x14ac:dyDescent="0.2">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row>
    <row r="91" spans="4:61" x14ac:dyDescent="0.2">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row>
    <row r="92" spans="4:61" x14ac:dyDescent="0.2">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row>
    <row r="93" spans="4:61" x14ac:dyDescent="0.2">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row>
    <row r="94" spans="4:61" x14ac:dyDescent="0.2">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393EC-8F54-D942-87A0-DEC94B7908C3}">
  <dimension ref="D3:BI94"/>
  <sheetViews>
    <sheetView zoomScaleNormal="130" workbookViewId="0"/>
  </sheetViews>
  <sheetFormatPr baseColWidth="10" defaultRowHeight="16" x14ac:dyDescent="0.2"/>
  <sheetData>
    <row r="3" spans="4:61" x14ac:dyDescent="0.2">
      <c r="F3" s="8"/>
    </row>
    <row r="4" spans="4:61" x14ac:dyDescent="0.2">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row>
    <row r="5" spans="4:61" x14ac:dyDescent="0.2">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row>
    <row r="6" spans="4:61" x14ac:dyDescent="0.2">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row>
    <row r="7" spans="4:61" x14ac:dyDescent="0.2">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row>
    <row r="8" spans="4:61" x14ac:dyDescent="0.2">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row>
    <row r="9" spans="4:61" x14ac:dyDescent="0.2">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row>
    <row r="10" spans="4:61" x14ac:dyDescent="0.2">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row>
    <row r="11" spans="4:61" x14ac:dyDescent="0.2">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row>
    <row r="12" spans="4:61" x14ac:dyDescent="0.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row>
    <row r="13" spans="4:61" x14ac:dyDescent="0.2">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row>
    <row r="14" spans="4:61" x14ac:dyDescent="0.2">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row>
    <row r="15" spans="4:61" x14ac:dyDescent="0.2">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row>
    <row r="16" spans="4:61" x14ac:dyDescent="0.2">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row>
    <row r="17" spans="4:61" x14ac:dyDescent="0.2">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row>
    <row r="18" spans="4:61" x14ac:dyDescent="0.2">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row>
    <row r="19" spans="4:61" x14ac:dyDescent="0.2">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row>
    <row r="20" spans="4:61" x14ac:dyDescent="0.2">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row>
    <row r="21" spans="4:61" x14ac:dyDescent="0.2">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row>
    <row r="22" spans="4:61" x14ac:dyDescent="0.2">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row>
    <row r="23" spans="4:61" x14ac:dyDescent="0.2">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row>
    <row r="24" spans="4:61" x14ac:dyDescent="0.2">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row>
    <row r="25" spans="4:61" x14ac:dyDescent="0.2">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row>
    <row r="26" spans="4:61" x14ac:dyDescent="0.2">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row>
    <row r="27" spans="4:61" x14ac:dyDescent="0.2">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row>
    <row r="28" spans="4:61" x14ac:dyDescent="0.2">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row>
    <row r="29" spans="4:61" x14ac:dyDescent="0.2">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row>
    <row r="30" spans="4:61" x14ac:dyDescent="0.2">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row>
    <row r="31" spans="4:61" x14ac:dyDescent="0.2">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row>
    <row r="32" spans="4:61" x14ac:dyDescent="0.2">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row>
    <row r="33" spans="4:61" x14ac:dyDescent="0.2">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row>
    <row r="34" spans="4:61" x14ac:dyDescent="0.2">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row>
    <row r="35" spans="4:61" x14ac:dyDescent="0.2">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row>
    <row r="36" spans="4:61" x14ac:dyDescent="0.2">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row>
    <row r="37" spans="4:61" x14ac:dyDescent="0.2">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row>
    <row r="38" spans="4:61" x14ac:dyDescent="0.2">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row>
    <row r="39" spans="4:61" x14ac:dyDescent="0.2">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row>
    <row r="40" spans="4:61" x14ac:dyDescent="0.2">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row>
    <row r="41" spans="4:61" x14ac:dyDescent="0.2">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row>
    <row r="42" spans="4:61" x14ac:dyDescent="0.2">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row>
    <row r="43" spans="4:61" x14ac:dyDescent="0.2">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row>
    <row r="44" spans="4:61" x14ac:dyDescent="0.2">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row>
    <row r="45" spans="4:61" x14ac:dyDescent="0.2">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row>
    <row r="46" spans="4:61" x14ac:dyDescent="0.2">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row>
    <row r="47" spans="4:61" x14ac:dyDescent="0.2">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row>
    <row r="48" spans="4:61" x14ac:dyDescent="0.2">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row>
    <row r="49" spans="4:61" x14ac:dyDescent="0.2">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row>
    <row r="50" spans="4:61" x14ac:dyDescent="0.2">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row>
    <row r="51" spans="4:61" x14ac:dyDescent="0.2">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row>
    <row r="52" spans="4:61" x14ac:dyDescent="0.2">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row>
    <row r="53" spans="4:61" x14ac:dyDescent="0.2">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row>
    <row r="54" spans="4:61" x14ac:dyDescent="0.2">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row>
    <row r="55" spans="4:61" x14ac:dyDescent="0.2">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row>
    <row r="56" spans="4:61" x14ac:dyDescent="0.2">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row>
    <row r="57" spans="4:61" x14ac:dyDescent="0.2">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row>
    <row r="58" spans="4:61" x14ac:dyDescent="0.2">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row>
    <row r="59" spans="4:61" x14ac:dyDescent="0.2">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row>
    <row r="60" spans="4:61" x14ac:dyDescent="0.2">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row>
    <row r="61" spans="4:61" x14ac:dyDescent="0.2">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row>
    <row r="62" spans="4:61" x14ac:dyDescent="0.2">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row>
    <row r="63" spans="4:61" x14ac:dyDescent="0.2">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row>
    <row r="64" spans="4:61" x14ac:dyDescent="0.2">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row>
    <row r="65" spans="4:61" x14ac:dyDescent="0.2">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row>
    <row r="66" spans="4:61" x14ac:dyDescent="0.2">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row>
    <row r="67" spans="4:61" x14ac:dyDescent="0.2">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row>
    <row r="68" spans="4:61" x14ac:dyDescent="0.2">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row>
    <row r="69" spans="4:61" x14ac:dyDescent="0.2">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row>
    <row r="70" spans="4:61" x14ac:dyDescent="0.2">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row>
    <row r="71" spans="4:61" x14ac:dyDescent="0.2">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row>
    <row r="72" spans="4:61" x14ac:dyDescent="0.2">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row>
    <row r="73" spans="4:61" x14ac:dyDescent="0.2">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row>
    <row r="74" spans="4:61" x14ac:dyDescent="0.2">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row>
    <row r="75" spans="4:61" x14ac:dyDescent="0.2">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row>
    <row r="76" spans="4:61" x14ac:dyDescent="0.2">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row>
    <row r="77" spans="4:61" x14ac:dyDescent="0.2">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row>
    <row r="78" spans="4:61" x14ac:dyDescent="0.2">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row>
    <row r="79" spans="4:61" x14ac:dyDescent="0.2">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row>
    <row r="80" spans="4:61" x14ac:dyDescent="0.2">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row>
    <row r="81" spans="4:61" x14ac:dyDescent="0.2">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row>
    <row r="82" spans="4:61" x14ac:dyDescent="0.2">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row>
    <row r="83" spans="4:61" x14ac:dyDescent="0.2">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row>
    <row r="84" spans="4:61" x14ac:dyDescent="0.2">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row>
    <row r="85" spans="4:61" x14ac:dyDescent="0.2">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row>
    <row r="86" spans="4:61" x14ac:dyDescent="0.2">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row>
    <row r="87" spans="4:61" x14ac:dyDescent="0.2">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row>
    <row r="88" spans="4:61" x14ac:dyDescent="0.2">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row>
    <row r="89" spans="4:61" x14ac:dyDescent="0.2">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row>
    <row r="90" spans="4:61" x14ac:dyDescent="0.2">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row>
    <row r="91" spans="4:61" x14ac:dyDescent="0.2">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row>
    <row r="92" spans="4:61" x14ac:dyDescent="0.2">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row>
    <row r="93" spans="4:61" x14ac:dyDescent="0.2">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row>
    <row r="94" spans="4:61" x14ac:dyDescent="0.2">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B2D08-E357-DB41-967B-27D7781C43AC}">
  <dimension ref="D3:BI94"/>
  <sheetViews>
    <sheetView tabSelected="1" zoomScaleNormal="130" workbookViewId="0">
      <selection activeCell="R19" sqref="R19"/>
    </sheetView>
  </sheetViews>
  <sheetFormatPr baseColWidth="10" defaultRowHeight="16" x14ac:dyDescent="0.2"/>
  <sheetData>
    <row r="3" spans="4:61" x14ac:dyDescent="0.2">
      <c r="F3" s="8"/>
    </row>
    <row r="4" spans="4:61" x14ac:dyDescent="0.2">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row>
    <row r="5" spans="4:61" x14ac:dyDescent="0.2">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row>
    <row r="6" spans="4:61" x14ac:dyDescent="0.2">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row>
    <row r="7" spans="4:61" x14ac:dyDescent="0.2">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row>
    <row r="8" spans="4:61" x14ac:dyDescent="0.2">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row>
    <row r="9" spans="4:61" x14ac:dyDescent="0.2">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row>
    <row r="10" spans="4:61" x14ac:dyDescent="0.2">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row>
    <row r="11" spans="4:61" x14ac:dyDescent="0.2">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row>
    <row r="12" spans="4:61" x14ac:dyDescent="0.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row>
    <row r="13" spans="4:61" x14ac:dyDescent="0.2">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row>
    <row r="14" spans="4:61" x14ac:dyDescent="0.2">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row>
    <row r="15" spans="4:61" x14ac:dyDescent="0.2">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row>
    <row r="16" spans="4:61" x14ac:dyDescent="0.2">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row>
    <row r="17" spans="4:61" x14ac:dyDescent="0.2">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row>
    <row r="18" spans="4:61" x14ac:dyDescent="0.2">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row>
    <row r="19" spans="4:61" x14ac:dyDescent="0.2">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row>
    <row r="20" spans="4:61" x14ac:dyDescent="0.2">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row>
    <row r="21" spans="4:61" x14ac:dyDescent="0.2">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row>
    <row r="22" spans="4:61" x14ac:dyDescent="0.2">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row>
    <row r="23" spans="4:61" x14ac:dyDescent="0.2">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row>
    <row r="24" spans="4:61" x14ac:dyDescent="0.2">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row>
    <row r="25" spans="4:61" x14ac:dyDescent="0.2">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row>
    <row r="26" spans="4:61" x14ac:dyDescent="0.2">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row>
    <row r="27" spans="4:61" x14ac:dyDescent="0.2">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row>
    <row r="28" spans="4:61" x14ac:dyDescent="0.2">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row>
    <row r="29" spans="4:61" x14ac:dyDescent="0.2">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row>
    <row r="30" spans="4:61" x14ac:dyDescent="0.2">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row>
    <row r="31" spans="4:61" x14ac:dyDescent="0.2">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row>
    <row r="32" spans="4:61" x14ac:dyDescent="0.2">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row>
    <row r="33" spans="4:61" x14ac:dyDescent="0.2">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row>
    <row r="34" spans="4:61" x14ac:dyDescent="0.2">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row>
    <row r="35" spans="4:61" x14ac:dyDescent="0.2">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row>
    <row r="36" spans="4:61" x14ac:dyDescent="0.2">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row>
    <row r="37" spans="4:61" x14ac:dyDescent="0.2">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row>
    <row r="38" spans="4:61" x14ac:dyDescent="0.2">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row>
    <row r="39" spans="4:61" x14ac:dyDescent="0.2">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row>
    <row r="40" spans="4:61" x14ac:dyDescent="0.2">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row>
    <row r="41" spans="4:61" x14ac:dyDescent="0.2">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row>
    <row r="42" spans="4:61" x14ac:dyDescent="0.2">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row>
    <row r="43" spans="4:61" x14ac:dyDescent="0.2">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row>
    <row r="44" spans="4:61" x14ac:dyDescent="0.2">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row>
    <row r="45" spans="4:61" x14ac:dyDescent="0.2">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row>
    <row r="46" spans="4:61" x14ac:dyDescent="0.2">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row>
    <row r="47" spans="4:61" x14ac:dyDescent="0.2">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row>
    <row r="48" spans="4:61" x14ac:dyDescent="0.2">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row>
    <row r="49" spans="4:61" x14ac:dyDescent="0.2">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row>
    <row r="50" spans="4:61" x14ac:dyDescent="0.2">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row>
    <row r="51" spans="4:61" x14ac:dyDescent="0.2">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row>
    <row r="52" spans="4:61" x14ac:dyDescent="0.2">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row>
    <row r="53" spans="4:61" x14ac:dyDescent="0.2">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row>
    <row r="54" spans="4:61" x14ac:dyDescent="0.2">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row>
    <row r="55" spans="4:61" x14ac:dyDescent="0.2">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row>
    <row r="56" spans="4:61" x14ac:dyDescent="0.2">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row>
    <row r="57" spans="4:61" x14ac:dyDescent="0.2">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row>
    <row r="58" spans="4:61" x14ac:dyDescent="0.2">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row>
    <row r="59" spans="4:61" x14ac:dyDescent="0.2">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row>
    <row r="60" spans="4:61" x14ac:dyDescent="0.2">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row>
    <row r="61" spans="4:61" x14ac:dyDescent="0.2">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row>
    <row r="62" spans="4:61" x14ac:dyDescent="0.2">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row>
    <row r="63" spans="4:61" x14ac:dyDescent="0.2">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row>
    <row r="64" spans="4:61" x14ac:dyDescent="0.2">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row>
    <row r="65" spans="4:61" x14ac:dyDescent="0.2">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row>
    <row r="66" spans="4:61" x14ac:dyDescent="0.2">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row>
    <row r="67" spans="4:61" x14ac:dyDescent="0.2">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row>
    <row r="68" spans="4:61" x14ac:dyDescent="0.2">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row>
    <row r="69" spans="4:61" x14ac:dyDescent="0.2">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row>
    <row r="70" spans="4:61" x14ac:dyDescent="0.2">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row>
    <row r="71" spans="4:61" x14ac:dyDescent="0.2">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row>
    <row r="72" spans="4:61" x14ac:dyDescent="0.2">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row>
    <row r="73" spans="4:61" x14ac:dyDescent="0.2">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row>
    <row r="74" spans="4:61" x14ac:dyDescent="0.2">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row>
    <row r="75" spans="4:61" x14ac:dyDescent="0.2">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row>
    <row r="76" spans="4:61" x14ac:dyDescent="0.2">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row>
    <row r="77" spans="4:61" x14ac:dyDescent="0.2">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row>
    <row r="78" spans="4:61" x14ac:dyDescent="0.2">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row>
    <row r="79" spans="4:61" x14ac:dyDescent="0.2">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row>
    <row r="80" spans="4:61" x14ac:dyDescent="0.2">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row>
    <row r="81" spans="4:61" x14ac:dyDescent="0.2">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row>
    <row r="82" spans="4:61" x14ac:dyDescent="0.2">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row>
    <row r="83" spans="4:61" x14ac:dyDescent="0.2">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row>
    <row r="84" spans="4:61" x14ac:dyDescent="0.2">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row>
    <row r="85" spans="4:61" x14ac:dyDescent="0.2">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row>
    <row r="86" spans="4:61" x14ac:dyDescent="0.2">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row>
    <row r="87" spans="4:61" x14ac:dyDescent="0.2">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row>
    <row r="88" spans="4:61" x14ac:dyDescent="0.2">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row>
    <row r="89" spans="4:61" x14ac:dyDescent="0.2">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row>
    <row r="90" spans="4:61" x14ac:dyDescent="0.2">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row>
    <row r="91" spans="4:61" x14ac:dyDescent="0.2">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row>
    <row r="92" spans="4:61" x14ac:dyDescent="0.2">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row>
    <row r="93" spans="4:61" x14ac:dyDescent="0.2">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row>
    <row r="94" spans="4:61" x14ac:dyDescent="0.2">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Clean Data</vt:lpstr>
      <vt:lpstr>Pivot Tables</vt:lpstr>
      <vt:lpstr>Main Dashboard</vt:lpstr>
      <vt:lpstr>Age</vt:lpstr>
      <vt:lpstr>Demographic</vt:lpstr>
      <vt:lpstr>Counsellors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Jotham Ajakaiye</dc:creator>
  <cp:lastModifiedBy>Jotham Ajakaiye</cp:lastModifiedBy>
  <dcterms:created xsi:type="dcterms:W3CDTF">2025-08-20T10:49:34Z</dcterms:created>
  <dcterms:modified xsi:type="dcterms:W3CDTF">2025-09-29T14:46:48Z</dcterms:modified>
</cp:coreProperties>
</file>