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KRAKE_DEV\5_Quinto_Modulo\Finanzas\"/>
    </mc:Choice>
  </mc:AlternateContent>
  <xr:revisionPtr revIDLastSave="0" documentId="13_ncr:1_{152F942F-3F22-494E-B943-71AD9C6979BA}" xr6:coauthVersionLast="47" xr6:coauthVersionMax="47" xr10:uidLastSave="{00000000-0000-0000-0000-000000000000}"/>
  <bookViews>
    <workbookView xWindow="4245" yWindow="1395" windowWidth="21600" windowHeight="13740" firstSheet="1" activeTab="4" xr2:uid="{00000000-000D-0000-FFFF-FFFF00000000}"/>
  </bookViews>
  <sheets>
    <sheet name="SUELDOS" sheetId="1" r:id="rId1"/>
    <sheet name="ESTIMACIÓN TIEMPOS 1" sheetId="2" r:id="rId2"/>
    <sheet name="ESTIMACIÓN TIEMPOS 2" sheetId="3" r:id="rId3"/>
    <sheet name="ESTIMACIÓN TIEMPOS 3" sheetId="4" r:id="rId4"/>
    <sheet name="EXAM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3" i="5" l="1"/>
  <c r="T32" i="5"/>
  <c r="AA21" i="5"/>
  <c r="AA19" i="5"/>
  <c r="Q18" i="5"/>
  <c r="D12" i="5"/>
  <c r="D7" i="5"/>
  <c r="V3" i="5"/>
  <c r="U3" i="5"/>
  <c r="H2" i="5"/>
  <c r="D10" i="5" s="1"/>
  <c r="U3" i="4"/>
  <c r="T3" i="4"/>
  <c r="D10" i="4"/>
  <c r="P4" i="4"/>
  <c r="D12" i="4"/>
  <c r="D7" i="4"/>
  <c r="D8" i="4" s="1"/>
  <c r="H2" i="4"/>
  <c r="Q20" i="5" l="1"/>
  <c r="D8" i="5"/>
  <c r="D9" i="5" s="1"/>
  <c r="D11" i="5" s="1"/>
  <c r="Q4" i="5"/>
  <c r="D9" i="4"/>
  <c r="D11" i="4" s="1"/>
  <c r="Q21" i="5" l="1"/>
  <c r="U26" i="5" s="1"/>
  <c r="D14" i="5"/>
  <c r="Q8" i="5"/>
  <c r="R4" i="5" s="1"/>
  <c r="D15" i="5" s="1"/>
  <c r="D14" i="4"/>
  <c r="P8" i="4"/>
  <c r="Q6" i="4" s="1"/>
  <c r="D17" i="4" s="1"/>
  <c r="D12" i="3"/>
  <c r="H2" i="3"/>
  <c r="S4" i="3"/>
  <c r="P7" i="3" s="1"/>
  <c r="H9" i="2"/>
  <c r="W21" i="5" l="1"/>
  <c r="AB19" i="5" s="1"/>
  <c r="W23" i="5"/>
  <c r="W18" i="5"/>
  <c r="AB21" i="5" s="1"/>
  <c r="AB18" i="5"/>
  <c r="W24" i="5"/>
  <c r="AB17" i="5"/>
  <c r="W19" i="5"/>
  <c r="AB22" i="5" s="1"/>
  <c r="W22" i="5"/>
  <c r="W20" i="5"/>
  <c r="AB23" i="5" s="1"/>
  <c r="W17" i="5"/>
  <c r="AB20" i="5" s="1"/>
  <c r="X24" i="5"/>
  <c r="X23" i="5"/>
  <c r="X21" i="5"/>
  <c r="Q28" i="5" s="1"/>
  <c r="X17" i="5"/>
  <c r="X22" i="5"/>
  <c r="X20" i="5"/>
  <c r="Q27" i="5" s="1"/>
  <c r="X19" i="5"/>
  <c r="Q26" i="5" s="1"/>
  <c r="X18" i="5"/>
  <c r="Q25" i="5" s="1"/>
  <c r="R5" i="5"/>
  <c r="D16" i="5" s="1"/>
  <c r="R6" i="5"/>
  <c r="D17" i="5" s="1"/>
  <c r="Q5" i="4"/>
  <c r="D16" i="4" s="1"/>
  <c r="Q4" i="4"/>
  <c r="F6" i="1"/>
  <c r="H6" i="1" s="1"/>
  <c r="I6" i="1" s="1"/>
  <c r="E6" i="1"/>
  <c r="D6" i="1"/>
  <c r="C6" i="1"/>
  <c r="B6" i="1"/>
  <c r="G6" i="1" s="1"/>
  <c r="D7" i="3"/>
  <c r="D8" i="2"/>
  <c r="D9" i="2" s="1"/>
  <c r="D7" i="2"/>
  <c r="F4" i="1"/>
  <c r="F5" i="1"/>
  <c r="AB24" i="5" l="1"/>
  <c r="Q29" i="5" s="1"/>
  <c r="Q24" i="5"/>
  <c r="D18" i="5"/>
  <c r="G16" i="5" s="1"/>
  <c r="G17" i="5" s="1"/>
  <c r="G18" i="5" s="1"/>
  <c r="D12" i="2"/>
  <c r="H12" i="2"/>
  <c r="D8" i="3"/>
  <c r="D9" i="3" s="1"/>
  <c r="D10" i="3" s="1"/>
  <c r="D15" i="4"/>
  <c r="D18" i="4" s="1"/>
  <c r="G16" i="4" s="1"/>
  <c r="G17" i="4" s="1"/>
  <c r="G18" i="4" s="1"/>
  <c r="F3" i="1"/>
  <c r="B5" i="1"/>
  <c r="G5" i="1" s="1"/>
  <c r="C5" i="1"/>
  <c r="H5" i="1" s="1"/>
  <c r="I5" i="1" s="1"/>
  <c r="D5" i="1"/>
  <c r="E5" i="1"/>
  <c r="E4" i="1"/>
  <c r="C4" i="1"/>
  <c r="B4" i="1"/>
  <c r="G4" i="1" s="1"/>
  <c r="D4" i="1"/>
  <c r="E3" i="1"/>
  <c r="D3" i="1"/>
  <c r="Q30" i="5" l="1"/>
  <c r="Q34" i="5" s="1"/>
  <c r="Q35" i="5" s="1"/>
  <c r="P10" i="3"/>
  <c r="D13" i="3"/>
  <c r="I10" i="2"/>
  <c r="D13" i="2"/>
  <c r="D14" i="2"/>
  <c r="I9" i="2"/>
  <c r="H4" i="1"/>
  <c r="I4" i="1" s="1"/>
  <c r="D16" i="2"/>
  <c r="D15" i="3"/>
  <c r="Q8" i="3"/>
  <c r="Q7" i="3"/>
  <c r="D14" i="3" s="1"/>
  <c r="D17" i="3"/>
  <c r="C3" i="1"/>
  <c r="H3" i="1" s="1"/>
  <c r="I3" i="1" s="1"/>
  <c r="B3" i="1"/>
  <c r="G3" i="1" s="1"/>
  <c r="G21" i="3" l="1"/>
  <c r="G22" i="3" s="1"/>
  <c r="G23" i="3" s="1"/>
  <c r="D21" i="3"/>
  <c r="D23" i="3" s="1"/>
</calcChain>
</file>

<file path=xl/sharedStrings.xml><?xml version="1.0" encoding="utf-8"?>
<sst xmlns="http://schemas.openxmlformats.org/spreadsheetml/2006/main" count="190" uniqueCount="92">
  <si>
    <t>Aporte IESS Empleado</t>
  </si>
  <si>
    <t>SUELDO</t>
  </si>
  <si>
    <t>Aporte IESS Empleador</t>
  </si>
  <si>
    <t>13 Sueldo</t>
  </si>
  <si>
    <t>14 Sueldo</t>
  </si>
  <si>
    <t>SUELDO A RECIBIR</t>
  </si>
  <si>
    <t>COSTO</t>
  </si>
  <si>
    <t>Vacaciones</t>
  </si>
  <si>
    <t>HORA</t>
  </si>
  <si>
    <t>ESTIMACIÓN TIEMPOS</t>
  </si>
  <si>
    <t>Funcionalida 1</t>
  </si>
  <si>
    <t>Funcionalida 2</t>
  </si>
  <si>
    <t>Funcionalidad 3</t>
  </si>
  <si>
    <t>Funcionalidad 4</t>
  </si>
  <si>
    <t>Tiempo de desarrollo</t>
  </si>
  <si>
    <t>Tiempo de pruebas</t>
  </si>
  <si>
    <t>Tiempo total</t>
  </si>
  <si>
    <t>Costo por hora</t>
  </si>
  <si>
    <t>Mano de obra</t>
  </si>
  <si>
    <t>Internet</t>
  </si>
  <si>
    <t>Computador</t>
  </si>
  <si>
    <t>Deprecia</t>
  </si>
  <si>
    <t>años</t>
  </si>
  <si>
    <t>meses</t>
  </si>
  <si>
    <t>Depreciación mensual</t>
  </si>
  <si>
    <t>Costos mensuales</t>
  </si>
  <si>
    <t>Tiempo proyecto</t>
  </si>
  <si>
    <t>Equipo</t>
  </si>
  <si>
    <t>Total</t>
  </si>
  <si>
    <t>PROGRAMADOR</t>
  </si>
  <si>
    <t>COSTO/HORA</t>
  </si>
  <si>
    <t>A</t>
  </si>
  <si>
    <t>B</t>
  </si>
  <si>
    <t>CANTIDAD DE PROGRAMADORES</t>
  </si>
  <si>
    <t>Costo por hora total</t>
  </si>
  <si>
    <t>Tiempo subtotal</t>
  </si>
  <si>
    <t>Precio</t>
  </si>
  <si>
    <t>Utilidad</t>
  </si>
  <si>
    <t>Porcentaje de utilidad</t>
  </si>
  <si>
    <t>Utilidad deseada</t>
  </si>
  <si>
    <t>Porcentaje Utilidad</t>
  </si>
  <si>
    <t>Funcionalidad 1</t>
  </si>
  <si>
    <t>Funcionalidad 2</t>
  </si>
  <si>
    <t>D</t>
  </si>
  <si>
    <t>C</t>
  </si>
  <si>
    <t>Oficina</t>
  </si>
  <si>
    <t>Alquiler PC</t>
  </si>
  <si>
    <t>Costo por PC</t>
  </si>
  <si>
    <t>Programadores</t>
  </si>
  <si>
    <t>Back-end</t>
  </si>
  <si>
    <t>Prototipado</t>
  </si>
  <si>
    <t>Desarrollo de la cabecera</t>
  </si>
  <si>
    <t>ESTIMACION TIEMPOS</t>
  </si>
  <si>
    <t>Diseño front-end</t>
  </si>
  <si>
    <t>MESES</t>
  </si>
  <si>
    <t>TIEMPO TOTAL</t>
  </si>
  <si>
    <t>GERENTE DE PROYECTO</t>
  </si>
  <si>
    <t>LIDER TÉCNICO</t>
  </si>
  <si>
    <t>TESTER</t>
  </si>
  <si>
    <t>INFRAESTRUCTURA</t>
  </si>
  <si>
    <t>DESARROLLADOR 1</t>
  </si>
  <si>
    <t>PORCENTAJE</t>
  </si>
  <si>
    <t>Infrestructura</t>
  </si>
  <si>
    <t>SERVICIO</t>
  </si>
  <si>
    <t>COSTO MENSUAL</t>
  </si>
  <si>
    <t>COSTO TOTAL</t>
  </si>
  <si>
    <t>PC Desarrolladores</t>
  </si>
  <si>
    <t>DESARROLLADOR 2</t>
  </si>
  <si>
    <t>DESARROLLADOR 3</t>
  </si>
  <si>
    <t>DESARROLLADOR 4</t>
  </si>
  <si>
    <t>PC Gerente</t>
  </si>
  <si>
    <t>TIEMPO MESES</t>
  </si>
  <si>
    <t>PC Técnico</t>
  </si>
  <si>
    <t>PC Tester</t>
  </si>
  <si>
    <t>PC Infraestructura</t>
  </si>
  <si>
    <t>DURACIÓN PROYECTO</t>
  </si>
  <si>
    <t>ESTIMACIÓN DINERO</t>
  </si>
  <si>
    <t>Gerente de Proyecto</t>
  </si>
  <si>
    <t>TIEMPO EN HORAS</t>
  </si>
  <si>
    <t>Líder técnico</t>
  </si>
  <si>
    <t>Tester</t>
  </si>
  <si>
    <t>Infraestructura</t>
  </si>
  <si>
    <t>Desarrolladores</t>
  </si>
  <si>
    <t>Total servicios adicionales</t>
  </si>
  <si>
    <t>SERVICIOS ADICIONALES</t>
  </si>
  <si>
    <t>Servicios adiconales</t>
  </si>
  <si>
    <t>SUBTOTAL PROYECTO</t>
  </si>
  <si>
    <t>TOTAL PROYECTO</t>
  </si>
  <si>
    <t>UTILIDAD</t>
  </si>
  <si>
    <t>PORCENTAJE UTILIDAD</t>
  </si>
  <si>
    <t>VALORES TOTALES</t>
  </si>
  <si>
    <t>MANO DE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</si>
</sst>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 &quot;$&quot;* #,##0.00_ ;_ &quot;$&quot;* \-#,##0.00_ ;_ &quot;$&quot;* &quot;-&quot;??_ ;_ @_ "/>
    <numFmt numFmtId="165" formatCode="0.0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1F8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3FD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4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0" fillId="4" borderId="0" xfId="0" applyFill="1"/>
    <xf numFmtId="0" fontId="0" fillId="4" borderId="1" xfId="0" applyFill="1" applyBorder="1"/>
    <xf numFmtId="2" fontId="0" fillId="4" borderId="1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1" fillId="0" borderId="0" xfId="0" applyFont="1"/>
    <xf numFmtId="0" fontId="0" fillId="5" borderId="0" xfId="0" applyFill="1"/>
    <xf numFmtId="0" fontId="0" fillId="6" borderId="1" xfId="0" applyFill="1" applyBorder="1"/>
    <xf numFmtId="0" fontId="0" fillId="6" borderId="7" xfId="0" applyFill="1" applyBorder="1"/>
    <xf numFmtId="2" fontId="0" fillId="6" borderId="0" xfId="0" applyNumberFormat="1" applyFill="1"/>
    <xf numFmtId="165" fontId="0" fillId="2" borderId="0" xfId="0" applyNumberFormat="1" applyFill="1"/>
    <xf numFmtId="2" fontId="0" fillId="2" borderId="0" xfId="0" applyNumberFormat="1" applyFill="1"/>
    <xf numFmtId="166" fontId="0" fillId="0" borderId="0" xfId="0" applyNumberFormat="1"/>
    <xf numFmtId="164" fontId="0" fillId="2" borderId="0" xfId="1" applyFont="1" applyFill="1"/>
    <xf numFmtId="0" fontId="0" fillId="7" borderId="0" xfId="0" applyFill="1"/>
    <xf numFmtId="164" fontId="0" fillId="7" borderId="0" xfId="1" applyFont="1" applyFill="1"/>
    <xf numFmtId="164" fontId="0" fillId="0" borderId="0" xfId="1" applyFont="1"/>
    <xf numFmtId="164" fontId="0" fillId="0" borderId="0" xfId="0" applyNumberFormat="1"/>
    <xf numFmtId="0" fontId="0" fillId="8" borderId="0" xfId="0" applyFill="1"/>
    <xf numFmtId="164" fontId="0" fillId="8" borderId="0" xfId="1" applyFont="1" applyFill="1"/>
    <xf numFmtId="9" fontId="0" fillId="8" borderId="0" xfId="2" applyFont="1" applyFill="1"/>
    <xf numFmtId="164" fontId="0" fillId="4" borderId="0" xfId="0" applyNumberFormat="1" applyFill="1"/>
    <xf numFmtId="9" fontId="0" fillId="4" borderId="0" xfId="2" applyFont="1" applyFill="1"/>
    <xf numFmtId="0" fontId="0" fillId="9" borderId="0" xfId="0" applyFill="1"/>
    <xf numFmtId="164" fontId="0" fillId="9" borderId="0" xfId="1" applyFont="1" applyFill="1"/>
    <xf numFmtId="164" fontId="0" fillId="3" borderId="0" xfId="1" applyFont="1" applyFill="1"/>
    <xf numFmtId="164" fontId="0" fillId="10" borderId="0" xfId="1" applyFont="1" applyFill="1"/>
    <xf numFmtId="164" fontId="0" fillId="0" borderId="0" xfId="1" applyFont="1" applyFill="1" applyBorder="1"/>
    <xf numFmtId="9" fontId="0" fillId="0" borderId="0" xfId="2" applyFont="1" applyFill="1" applyBorder="1"/>
    <xf numFmtId="0" fontId="0" fillId="11" borderId="0" xfId="0" applyFill="1"/>
    <xf numFmtId="0" fontId="0" fillId="13" borderId="1" xfId="0" applyFill="1" applyBorder="1"/>
    <xf numFmtId="2" fontId="0" fillId="13" borderId="1" xfId="0" applyNumberFormat="1" applyFill="1" applyBorder="1"/>
    <xf numFmtId="0" fontId="0" fillId="14" borderId="2" xfId="0" applyFill="1" applyBorder="1"/>
    <xf numFmtId="0" fontId="0" fillId="14" borderId="3" xfId="0" applyFill="1" applyBorder="1"/>
    <xf numFmtId="0" fontId="0" fillId="14" borderId="1" xfId="0" applyFill="1" applyBorder="1"/>
    <xf numFmtId="2" fontId="0" fillId="8" borderId="0" xfId="0" applyNumberFormat="1" applyFill="1"/>
    <xf numFmtId="165" fontId="0" fillId="9" borderId="0" xfId="0" applyNumberFormat="1" applyFill="1"/>
    <xf numFmtId="0" fontId="1" fillId="10" borderId="0" xfId="0" applyFont="1" applyFill="1"/>
    <xf numFmtId="0" fontId="0" fillId="12" borderId="2" xfId="0" applyFill="1" applyBorder="1"/>
    <xf numFmtId="0" fontId="0" fillId="12" borderId="4" xfId="0" applyFill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9" fontId="0" fillId="0" borderId="12" xfId="2" applyFont="1" applyFill="1" applyBorder="1"/>
    <xf numFmtId="164" fontId="1" fillId="7" borderId="0" xfId="1" applyFont="1" applyFill="1"/>
    <xf numFmtId="164" fontId="0" fillId="14" borderId="1" xfId="1" applyFont="1" applyFill="1" applyBorder="1"/>
    <xf numFmtId="9" fontId="0" fillId="0" borderId="0" xfId="2" applyFont="1"/>
    <xf numFmtId="0" fontId="1" fillId="12" borderId="2" xfId="0" applyFont="1" applyFill="1" applyBorder="1"/>
    <xf numFmtId="0" fontId="1" fillId="12" borderId="3" xfId="0" applyFont="1" applyFill="1" applyBorder="1"/>
    <xf numFmtId="0" fontId="1" fillId="12" borderId="1" xfId="0" applyFont="1" applyFill="1" applyBorder="1"/>
    <xf numFmtId="0" fontId="0" fillId="0" borderId="15" xfId="0" applyBorder="1"/>
    <xf numFmtId="44" fontId="0" fillId="0" borderId="16" xfId="0" applyNumberFormat="1" applyBorder="1"/>
    <xf numFmtId="164" fontId="0" fillId="0" borderId="16" xfId="0" applyNumberFormat="1" applyBorder="1"/>
    <xf numFmtId="0" fontId="0" fillId="18" borderId="8" xfId="0" applyFill="1" applyBorder="1"/>
    <xf numFmtId="44" fontId="0" fillId="18" borderId="17" xfId="0" applyNumberFormat="1" applyFill="1" applyBorder="1"/>
    <xf numFmtId="0" fontId="0" fillId="11" borderId="15" xfId="0" applyFill="1" applyBorder="1"/>
    <xf numFmtId="0" fontId="0" fillId="11" borderId="16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8" borderId="8" xfId="0" applyFill="1" applyBorder="1"/>
    <xf numFmtId="0" fontId="0" fillId="8" borderId="17" xfId="0" applyFill="1" applyBorder="1"/>
    <xf numFmtId="9" fontId="0" fillId="0" borderId="16" xfId="2" applyFont="1" applyFill="1" applyBorder="1"/>
    <xf numFmtId="0" fontId="1" fillId="11" borderId="1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0" fillId="16" borderId="15" xfId="0" applyFill="1" applyBorder="1"/>
    <xf numFmtId="164" fontId="0" fillId="16" borderId="0" xfId="1" applyFont="1" applyFill="1" applyBorder="1"/>
    <xf numFmtId="164" fontId="1" fillId="16" borderId="0" xfId="1" applyFont="1" applyFill="1" applyBorder="1"/>
    <xf numFmtId="9" fontId="0" fillId="16" borderId="0" xfId="2" applyFont="1" applyFill="1" applyBorder="1"/>
    <xf numFmtId="2" fontId="0" fillId="16" borderId="0" xfId="0" applyNumberFormat="1" applyFill="1"/>
    <xf numFmtId="0" fontId="1" fillId="16" borderId="16" xfId="0" applyFont="1" applyFill="1" applyBorder="1"/>
    <xf numFmtId="0" fontId="0" fillId="16" borderId="8" xfId="0" applyFill="1" applyBorder="1"/>
    <xf numFmtId="164" fontId="0" fillId="16" borderId="13" xfId="1" applyFont="1" applyFill="1" applyBorder="1"/>
    <xf numFmtId="164" fontId="1" fillId="16" borderId="13" xfId="1" applyFont="1" applyFill="1" applyBorder="1"/>
    <xf numFmtId="9" fontId="0" fillId="16" borderId="13" xfId="2" applyFont="1" applyFill="1" applyBorder="1"/>
    <xf numFmtId="2" fontId="0" fillId="16" borderId="13" xfId="0" applyNumberFormat="1" applyFill="1" applyBorder="1"/>
    <xf numFmtId="0" fontId="1" fillId="16" borderId="17" xfId="0" applyFont="1" applyFill="1" applyBorder="1"/>
    <xf numFmtId="0" fontId="0" fillId="8" borderId="6" xfId="0" applyFill="1" applyBorder="1"/>
    <xf numFmtId="164" fontId="0" fillId="8" borderId="13" xfId="1" applyFont="1" applyFill="1" applyBorder="1"/>
    <xf numFmtId="164" fontId="0" fillId="8" borderId="17" xfId="1" applyFont="1" applyFill="1" applyBorder="1"/>
    <xf numFmtId="0" fontId="0" fillId="8" borderId="2" xfId="0" applyFill="1" applyBorder="1"/>
    <xf numFmtId="0" fontId="0" fillId="8" borderId="3" xfId="0" applyFill="1" applyBorder="1"/>
    <xf numFmtId="2" fontId="1" fillId="8" borderId="3" xfId="0" applyNumberFormat="1" applyFont="1" applyFill="1" applyBorder="1"/>
    <xf numFmtId="0" fontId="0" fillId="8" borderId="4" xfId="0" applyFill="1" applyBorder="1"/>
    <xf numFmtId="0" fontId="3" fillId="17" borderId="8" xfId="0" applyFont="1" applyFill="1" applyBorder="1" applyAlignment="1">
      <alignment vertical="center"/>
    </xf>
    <xf numFmtId="44" fontId="3" fillId="17" borderId="17" xfId="0" applyNumberFormat="1" applyFont="1" applyFill="1" applyBorder="1" applyAlignment="1">
      <alignment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14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14" xfId="0" applyFont="1" applyFill="1" applyBorder="1" applyAlignment="1">
      <alignment horizontal="center"/>
    </xf>
    <xf numFmtId="0" fontId="1" fillId="15" borderId="18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3FDFF"/>
      <color rgb="FFE1F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zoomScale="130" zoomScaleNormal="130" workbookViewId="0">
      <selection activeCell="C9" sqref="C9"/>
    </sheetView>
  </sheetViews>
  <sheetFormatPr baseColWidth="10" defaultRowHeight="15" x14ac:dyDescent="0.25"/>
  <cols>
    <col min="2" max="2" width="22.140625" customWidth="1"/>
    <col min="7" max="7" width="16.85546875" bestFit="1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</row>
    <row r="2" spans="1:9" x14ac:dyDescent="0.25">
      <c r="B2" s="1">
        <v>9.4500000000000001E-2</v>
      </c>
      <c r="C2" s="2">
        <v>0.1115</v>
      </c>
      <c r="E2">
        <v>460</v>
      </c>
    </row>
    <row r="3" spans="1:9" x14ac:dyDescent="0.25">
      <c r="A3">
        <v>470</v>
      </c>
      <c r="B3">
        <f>A3*B2</f>
        <v>44.414999999999999</v>
      </c>
      <c r="C3">
        <f>A3*C2</f>
        <v>52.405000000000001</v>
      </c>
      <c r="D3">
        <f>A3/12</f>
        <v>39.166666666666664</v>
      </c>
      <c r="E3">
        <f>E2/12</f>
        <v>38.333333333333336</v>
      </c>
      <c r="F3">
        <f>A3/2/12</f>
        <v>19.583333333333332</v>
      </c>
      <c r="G3">
        <f>A3-B3</f>
        <v>425.58499999999998</v>
      </c>
      <c r="H3">
        <f>A3+C3+D3+E3+F3</f>
        <v>619.48833333333334</v>
      </c>
      <c r="I3">
        <f>H3/168</f>
        <v>3.6874305555555558</v>
      </c>
    </row>
    <row r="4" spans="1:9" x14ac:dyDescent="0.25">
      <c r="A4">
        <v>500</v>
      </c>
      <c r="B4">
        <f>A4*$B$2</f>
        <v>47.25</v>
      </c>
      <c r="C4">
        <f>A4*$C$2</f>
        <v>55.75</v>
      </c>
      <c r="D4">
        <f>A4/12</f>
        <v>41.666666666666664</v>
      </c>
      <c r="E4">
        <f>$E$2/12</f>
        <v>38.333333333333336</v>
      </c>
      <c r="F4">
        <f t="shared" ref="F4:F5" si="0">A4/2/12</f>
        <v>20.833333333333332</v>
      </c>
      <c r="G4">
        <f>A4-B4</f>
        <v>452.75</v>
      </c>
      <c r="H4">
        <f>A4+C4+D4+E4+F4</f>
        <v>656.58333333333337</v>
      </c>
      <c r="I4">
        <f t="shared" ref="I4:I6" si="1">H4/168</f>
        <v>3.9082341269841274</v>
      </c>
    </row>
    <row r="5" spans="1:9" x14ac:dyDescent="0.25">
      <c r="A5">
        <v>600</v>
      </c>
      <c r="B5">
        <f>A5*$B$2</f>
        <v>56.7</v>
      </c>
      <c r="C5">
        <f>A5*$C$2</f>
        <v>66.900000000000006</v>
      </c>
      <c r="D5">
        <f>A5/12</f>
        <v>50</v>
      </c>
      <c r="E5">
        <f>$E$2/12</f>
        <v>38.333333333333336</v>
      </c>
      <c r="F5">
        <f t="shared" si="0"/>
        <v>25</v>
      </c>
      <c r="G5">
        <f>A5-B5</f>
        <v>543.29999999999995</v>
      </c>
      <c r="H5">
        <f>A5+C5+D5+E5+F5</f>
        <v>780.23333333333335</v>
      </c>
      <c r="I5">
        <f t="shared" si="1"/>
        <v>4.6442460317460315</v>
      </c>
    </row>
    <row r="6" spans="1:9" x14ac:dyDescent="0.25">
      <c r="A6">
        <v>650</v>
      </c>
      <c r="B6">
        <f>A6*$B$2</f>
        <v>61.424999999999997</v>
      </c>
      <c r="C6">
        <f>A6*$C$2</f>
        <v>72.474999999999994</v>
      </c>
      <c r="D6">
        <f>A6/12</f>
        <v>54.166666666666664</v>
      </c>
      <c r="E6">
        <f>$E$2/12</f>
        <v>38.333333333333336</v>
      </c>
      <c r="F6">
        <f t="shared" ref="F6" si="2">A6/2/12</f>
        <v>27.083333333333332</v>
      </c>
      <c r="G6">
        <f>A6-B6</f>
        <v>588.57500000000005</v>
      </c>
      <c r="H6">
        <f>A6+C6+D6+E6+F6</f>
        <v>842.05833333333339</v>
      </c>
      <c r="I6">
        <f t="shared" si="1"/>
        <v>5.0122519841269844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6"/>
  <sheetViews>
    <sheetView workbookViewId="0">
      <selection activeCell="E30" sqref="E30"/>
    </sheetView>
  </sheetViews>
  <sheetFormatPr baseColWidth="10" defaultRowHeight="15" x14ac:dyDescent="0.25"/>
  <cols>
    <col min="3" max="3" width="20" bestFit="1" customWidth="1"/>
    <col min="4" max="4" width="11.85546875" bestFit="1" customWidth="1"/>
  </cols>
  <sheetData>
    <row r="2" spans="2:12" x14ac:dyDescent="0.25">
      <c r="B2" t="s">
        <v>9</v>
      </c>
    </row>
    <row r="3" spans="2:12" x14ac:dyDescent="0.25">
      <c r="C3" t="s">
        <v>10</v>
      </c>
      <c r="D3">
        <v>30</v>
      </c>
    </row>
    <row r="4" spans="2:12" x14ac:dyDescent="0.25">
      <c r="C4" t="s">
        <v>11</v>
      </c>
      <c r="D4">
        <v>50</v>
      </c>
    </row>
    <row r="5" spans="2:12" x14ac:dyDescent="0.25">
      <c r="C5" t="s">
        <v>12</v>
      </c>
      <c r="D5">
        <v>40</v>
      </c>
      <c r="G5" t="s">
        <v>20</v>
      </c>
      <c r="H5">
        <v>850</v>
      </c>
      <c r="J5" t="s">
        <v>21</v>
      </c>
      <c r="K5">
        <v>3</v>
      </c>
      <c r="L5" t="s">
        <v>22</v>
      </c>
    </row>
    <row r="6" spans="2:12" x14ac:dyDescent="0.25">
      <c r="C6" t="s">
        <v>13</v>
      </c>
      <c r="D6">
        <v>50</v>
      </c>
      <c r="K6">
        <v>36</v>
      </c>
      <c r="L6" t="s">
        <v>23</v>
      </c>
    </row>
    <row r="7" spans="2:12" x14ac:dyDescent="0.25">
      <c r="C7" t="s">
        <v>14</v>
      </c>
      <c r="D7">
        <f>SUM(D3:D6)</f>
        <v>170</v>
      </c>
    </row>
    <row r="8" spans="2:12" x14ac:dyDescent="0.25">
      <c r="C8" t="s">
        <v>15</v>
      </c>
      <c r="D8">
        <f>(D7*30)/100</f>
        <v>51</v>
      </c>
      <c r="G8" t="s">
        <v>25</v>
      </c>
    </row>
    <row r="9" spans="2:12" x14ac:dyDescent="0.25">
      <c r="C9" s="3" t="s">
        <v>16</v>
      </c>
      <c r="D9" s="3">
        <f>SUM(D7:D8)</f>
        <v>221</v>
      </c>
      <c r="G9" t="s">
        <v>24</v>
      </c>
      <c r="H9" s="5">
        <f>H5/K6</f>
        <v>23.611111111111111</v>
      </c>
      <c r="I9" s="5">
        <f>H9*$H12</f>
        <v>31.059854497354497</v>
      </c>
    </row>
    <row r="10" spans="2:12" x14ac:dyDescent="0.25">
      <c r="G10" t="s">
        <v>19</v>
      </c>
      <c r="H10">
        <v>45</v>
      </c>
      <c r="I10" s="5">
        <f>H10*$H12</f>
        <v>59.196428571428569</v>
      </c>
    </row>
    <row r="11" spans="2:12" x14ac:dyDescent="0.25">
      <c r="C11" t="s">
        <v>17</v>
      </c>
      <c r="D11">
        <v>4.6500000000000004</v>
      </c>
    </row>
    <row r="12" spans="2:12" x14ac:dyDescent="0.25">
      <c r="C12" s="3" t="s">
        <v>18</v>
      </c>
      <c r="D12" s="3">
        <f>D9*D11</f>
        <v>1027.6500000000001</v>
      </c>
      <c r="G12" t="s">
        <v>26</v>
      </c>
      <c r="H12" s="5">
        <f>D9/168</f>
        <v>1.3154761904761905</v>
      </c>
      <c r="I12" t="s">
        <v>23</v>
      </c>
    </row>
    <row r="13" spans="2:12" x14ac:dyDescent="0.25">
      <c r="C13" t="s">
        <v>27</v>
      </c>
      <c r="D13" s="5">
        <f>H9*$H12</f>
        <v>31.059854497354497</v>
      </c>
    </row>
    <row r="14" spans="2:12" x14ac:dyDescent="0.25">
      <c r="C14" t="s">
        <v>19</v>
      </c>
      <c r="D14" s="5">
        <f>H10*$H12</f>
        <v>59.196428571428569</v>
      </c>
    </row>
    <row r="16" spans="2:12" x14ac:dyDescent="0.25">
      <c r="C16" t="s">
        <v>28</v>
      </c>
      <c r="D16" s="5">
        <f>D12+D13+D14</f>
        <v>1117.9062830687833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T23"/>
  <sheetViews>
    <sheetView workbookViewId="0">
      <selection activeCell="P19" sqref="P19"/>
    </sheetView>
  </sheetViews>
  <sheetFormatPr baseColWidth="10" defaultRowHeight="15" x14ac:dyDescent="0.25"/>
  <cols>
    <col min="3" max="3" width="20" bestFit="1" customWidth="1"/>
    <col min="4" max="4" width="11.85546875" bestFit="1" customWidth="1"/>
    <col min="5" max="5" width="6" customWidth="1"/>
    <col min="6" max="6" width="19.42578125" customWidth="1"/>
    <col min="7" max="7" width="14.5703125" customWidth="1"/>
    <col min="8" max="8" width="13" bestFit="1" customWidth="1"/>
    <col min="9" max="10" width="11.42578125" hidden="1" customWidth="1"/>
    <col min="11" max="13" width="0" hidden="1" customWidth="1"/>
    <col min="14" max="14" width="5.7109375" customWidth="1"/>
    <col min="15" max="15" width="20.7109375" bestFit="1" customWidth="1"/>
  </cols>
  <sheetData>
    <row r="2" spans="3:20" x14ac:dyDescent="0.25">
      <c r="C2" s="15" t="s">
        <v>9</v>
      </c>
      <c r="F2" s="6" t="s">
        <v>33</v>
      </c>
      <c r="G2" s="6"/>
      <c r="H2" s="16">
        <f>COUNT(H4:H17)</f>
        <v>2</v>
      </c>
    </row>
    <row r="3" spans="3:20" x14ac:dyDescent="0.25">
      <c r="C3" t="s">
        <v>10</v>
      </c>
      <c r="D3">
        <v>120</v>
      </c>
      <c r="F3" s="15" t="s">
        <v>29</v>
      </c>
      <c r="G3" s="15" t="s">
        <v>1</v>
      </c>
      <c r="H3" s="15" t="s">
        <v>30</v>
      </c>
      <c r="O3" s="7" t="s">
        <v>20</v>
      </c>
      <c r="P3" s="17">
        <v>1000</v>
      </c>
      <c r="Q3" s="6"/>
      <c r="R3" s="9" t="s">
        <v>21</v>
      </c>
      <c r="S3" s="18">
        <v>4</v>
      </c>
      <c r="T3" s="12" t="s">
        <v>22</v>
      </c>
    </row>
    <row r="4" spans="3:20" x14ac:dyDescent="0.25">
      <c r="C4" t="s">
        <v>11</v>
      </c>
      <c r="D4">
        <v>98</v>
      </c>
      <c r="F4" t="s">
        <v>31</v>
      </c>
      <c r="G4">
        <v>650</v>
      </c>
      <c r="H4" s="19">
        <v>5.0122519841269844</v>
      </c>
      <c r="O4" s="6"/>
      <c r="P4" s="6"/>
      <c r="Q4" s="6"/>
      <c r="R4" s="6"/>
      <c r="S4" s="14">
        <f>12*S3</f>
        <v>48</v>
      </c>
      <c r="T4" s="13" t="s">
        <v>23</v>
      </c>
    </row>
    <row r="5" spans="3:20" x14ac:dyDescent="0.25">
      <c r="C5" t="s">
        <v>12</v>
      </c>
      <c r="D5">
        <v>142</v>
      </c>
      <c r="F5" t="s">
        <v>32</v>
      </c>
      <c r="G5">
        <v>650</v>
      </c>
      <c r="H5" s="19">
        <v>5.0122519841269844</v>
      </c>
      <c r="O5" s="6"/>
      <c r="P5" s="6"/>
      <c r="Q5" s="6"/>
      <c r="R5" s="6"/>
      <c r="S5" s="6"/>
      <c r="T5" s="6"/>
    </row>
    <row r="6" spans="3:20" x14ac:dyDescent="0.25">
      <c r="C6" t="s">
        <v>13</v>
      </c>
      <c r="D6">
        <v>125</v>
      </c>
      <c r="O6" s="9" t="s">
        <v>25</v>
      </c>
      <c r="P6" s="10"/>
      <c r="Q6" s="11"/>
      <c r="R6" s="6"/>
      <c r="S6" s="6"/>
      <c r="T6" s="6"/>
    </row>
    <row r="7" spans="3:20" x14ac:dyDescent="0.25">
      <c r="C7" s="4" t="s">
        <v>14</v>
      </c>
      <c r="D7" s="4">
        <f>SUM(D3:D6)</f>
        <v>485</v>
      </c>
      <c r="O7" s="7" t="s">
        <v>24</v>
      </c>
      <c r="P7" s="8">
        <f>P3/S4</f>
        <v>20.833333333333332</v>
      </c>
      <c r="Q7" s="8">
        <f>P7*$P10</f>
        <v>39.093501984126981</v>
      </c>
      <c r="R7" s="6"/>
      <c r="S7" s="6"/>
      <c r="T7" s="6"/>
    </row>
    <row r="8" spans="3:20" x14ac:dyDescent="0.25">
      <c r="C8" s="4" t="s">
        <v>15</v>
      </c>
      <c r="D8" s="4">
        <f>(D7*30)/100</f>
        <v>145.5</v>
      </c>
      <c r="O8" s="7" t="s">
        <v>19</v>
      </c>
      <c r="P8" s="17">
        <v>38.5</v>
      </c>
      <c r="Q8" s="8">
        <f>P8*$P10</f>
        <v>72.244791666666671</v>
      </c>
      <c r="R8" s="6"/>
      <c r="S8" s="6"/>
      <c r="T8" s="6"/>
    </row>
    <row r="9" spans="3:20" x14ac:dyDescent="0.25">
      <c r="C9" s="3" t="s">
        <v>35</v>
      </c>
      <c r="D9" s="20">
        <f>SUM(D7:D8)</f>
        <v>630.5</v>
      </c>
      <c r="O9" s="6"/>
      <c r="P9" s="6"/>
      <c r="Q9" s="6"/>
      <c r="R9" s="6"/>
      <c r="S9" s="6"/>
      <c r="T9" s="6"/>
    </row>
    <row r="10" spans="3:20" x14ac:dyDescent="0.25">
      <c r="C10" s="3" t="s">
        <v>16</v>
      </c>
      <c r="D10" s="21">
        <f>D9/H2</f>
        <v>315.25</v>
      </c>
      <c r="O10" s="6" t="s">
        <v>26</v>
      </c>
      <c r="P10" s="8">
        <f>D10/168</f>
        <v>1.8764880952380953</v>
      </c>
      <c r="Q10" s="7" t="s">
        <v>23</v>
      </c>
      <c r="R10" s="6"/>
      <c r="S10" s="6"/>
      <c r="T10" s="6"/>
    </row>
    <row r="12" spans="3:20" x14ac:dyDescent="0.25">
      <c r="C12" t="s">
        <v>34</v>
      </c>
      <c r="D12" s="5">
        <f>SUM(H4:H17)</f>
        <v>10.024503968253969</v>
      </c>
    </row>
    <row r="13" spans="3:20" x14ac:dyDescent="0.25">
      <c r="C13" s="3" t="s">
        <v>18</v>
      </c>
      <c r="D13" s="23">
        <f>D10*D12</f>
        <v>3160.2248759920635</v>
      </c>
    </row>
    <row r="14" spans="3:20" x14ac:dyDescent="0.25">
      <c r="C14" t="s">
        <v>27</v>
      </c>
      <c r="D14" s="5">
        <f>Q7*H2</f>
        <v>78.187003968253961</v>
      </c>
    </row>
    <row r="15" spans="3:20" x14ac:dyDescent="0.25">
      <c r="C15" t="s">
        <v>19</v>
      </c>
      <c r="D15" s="5">
        <f>P8*$P10</f>
        <v>72.244791666666671</v>
      </c>
    </row>
    <row r="17" spans="3:7" x14ac:dyDescent="0.25">
      <c r="C17" s="28" t="s">
        <v>28</v>
      </c>
      <c r="D17" s="29">
        <f>D13+D14+D15</f>
        <v>3310.656671626984</v>
      </c>
      <c r="F17" s="22"/>
    </row>
    <row r="19" spans="3:7" x14ac:dyDescent="0.25">
      <c r="C19" t="s">
        <v>36</v>
      </c>
      <c r="D19" s="26">
        <v>3600</v>
      </c>
      <c r="F19" s="6" t="s">
        <v>39</v>
      </c>
      <c r="G19" s="32">
        <v>0.25</v>
      </c>
    </row>
    <row r="21" spans="3:7" x14ac:dyDescent="0.25">
      <c r="C21" t="s">
        <v>37</v>
      </c>
      <c r="D21" s="27">
        <f>D19-D17</f>
        <v>289.34332837301599</v>
      </c>
      <c r="F21" s="24" t="s">
        <v>36</v>
      </c>
      <c r="G21" s="25">
        <f>D17/(1-G19)</f>
        <v>4414.2088955026456</v>
      </c>
    </row>
    <row r="22" spans="3:7" x14ac:dyDescent="0.25">
      <c r="F22" s="6" t="s">
        <v>37</v>
      </c>
      <c r="G22" s="31">
        <f>G21-D17</f>
        <v>1103.5522238756616</v>
      </c>
    </row>
    <row r="23" spans="3:7" x14ac:dyDescent="0.25">
      <c r="C23" s="28" t="s">
        <v>38</v>
      </c>
      <c r="D23" s="30">
        <f>D21/D19</f>
        <v>8.0373146770282219E-2</v>
      </c>
      <c r="F23" s="6" t="s">
        <v>40</v>
      </c>
      <c r="G23" s="32">
        <f>G22/G21</f>
        <v>0.25000000000000006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U25"/>
  <sheetViews>
    <sheetView workbookViewId="0">
      <selection activeCell="C3" sqref="C3"/>
    </sheetView>
  </sheetViews>
  <sheetFormatPr baseColWidth="10" defaultRowHeight="15" x14ac:dyDescent="0.25"/>
  <cols>
    <col min="3" max="3" width="20" bestFit="1" customWidth="1"/>
    <col min="4" max="4" width="11.85546875" bestFit="1" customWidth="1"/>
    <col min="5" max="5" width="6" customWidth="1"/>
    <col min="6" max="6" width="19.42578125" customWidth="1"/>
    <col min="7" max="7" width="14.5703125" customWidth="1"/>
    <col min="8" max="8" width="13" bestFit="1" customWidth="1"/>
    <col min="9" max="10" width="11.42578125" hidden="1" customWidth="1"/>
    <col min="11" max="13" width="0" hidden="1" customWidth="1"/>
    <col min="14" max="14" width="5.7109375" customWidth="1"/>
    <col min="15" max="15" width="20.7109375" bestFit="1" customWidth="1"/>
  </cols>
  <sheetData>
    <row r="2" spans="3:21" x14ac:dyDescent="0.25">
      <c r="C2" s="15" t="s">
        <v>9</v>
      </c>
      <c r="F2" s="39" t="s">
        <v>33</v>
      </c>
      <c r="G2" s="39"/>
      <c r="H2" s="39">
        <f>COUNT(H4:H17)</f>
        <v>4</v>
      </c>
      <c r="O2" s="48" t="s">
        <v>47</v>
      </c>
      <c r="P2" s="49">
        <v>50</v>
      </c>
    </row>
    <row r="3" spans="3:21" x14ac:dyDescent="0.25">
      <c r="C3" t="s">
        <v>41</v>
      </c>
      <c r="D3">
        <v>340</v>
      </c>
      <c r="F3" s="15" t="s">
        <v>29</v>
      </c>
      <c r="G3" s="15" t="s">
        <v>1</v>
      </c>
      <c r="H3" s="47" t="s">
        <v>30</v>
      </c>
      <c r="O3" s="42" t="s">
        <v>25</v>
      </c>
      <c r="P3" s="43"/>
      <c r="Q3" s="44"/>
      <c r="T3">
        <f>21*8</f>
        <v>168</v>
      </c>
      <c r="U3">
        <f>168*3</f>
        <v>504</v>
      </c>
    </row>
    <row r="4" spans="3:21" x14ac:dyDescent="0.25">
      <c r="C4" t="s">
        <v>42</v>
      </c>
      <c r="D4">
        <v>450</v>
      </c>
      <c r="F4" t="s">
        <v>31</v>
      </c>
      <c r="G4" s="26">
        <v>500</v>
      </c>
      <c r="H4" s="36">
        <v>3.9</v>
      </c>
      <c r="O4" s="44" t="s">
        <v>46</v>
      </c>
      <c r="P4" s="55">
        <f>P2*H2</f>
        <v>200</v>
      </c>
      <c r="Q4" s="55">
        <f>P4*$P8</f>
        <v>595.2380952380953</v>
      </c>
    </row>
    <row r="5" spans="3:21" x14ac:dyDescent="0.25">
      <c r="C5" t="s">
        <v>12</v>
      </c>
      <c r="D5">
        <v>225</v>
      </c>
      <c r="F5" t="s">
        <v>32</v>
      </c>
      <c r="G5" s="26">
        <v>500</v>
      </c>
      <c r="H5" s="36">
        <v>3.9</v>
      </c>
      <c r="O5" s="44" t="s">
        <v>19</v>
      </c>
      <c r="P5" s="55">
        <v>45</v>
      </c>
      <c r="Q5" s="55">
        <f>P5*$P8</f>
        <v>133.92857142857144</v>
      </c>
    </row>
    <row r="6" spans="3:21" x14ac:dyDescent="0.25">
      <c r="C6" t="s">
        <v>13</v>
      </c>
      <c r="D6">
        <v>585</v>
      </c>
      <c r="F6" t="s">
        <v>44</v>
      </c>
      <c r="G6" s="26">
        <v>500</v>
      </c>
      <c r="H6" s="36">
        <v>3.9</v>
      </c>
      <c r="O6" s="44" t="s">
        <v>45</v>
      </c>
      <c r="P6" s="55">
        <v>450</v>
      </c>
      <c r="Q6" s="55">
        <f>P6*P8</f>
        <v>1339.2857142857142</v>
      </c>
    </row>
    <row r="7" spans="3:21" x14ac:dyDescent="0.25">
      <c r="C7" s="4" t="s">
        <v>14</v>
      </c>
      <c r="D7" s="4">
        <f>SUM(D3:D6)</f>
        <v>1600</v>
      </c>
      <c r="F7" t="s">
        <v>43</v>
      </c>
      <c r="G7" s="26">
        <v>500</v>
      </c>
      <c r="H7" s="36">
        <v>3.9</v>
      </c>
    </row>
    <row r="8" spans="3:21" x14ac:dyDescent="0.25">
      <c r="C8" s="4" t="s">
        <v>15</v>
      </c>
      <c r="D8" s="4">
        <f>(D7*25)/100</f>
        <v>400</v>
      </c>
      <c r="O8" s="40" t="s">
        <v>26</v>
      </c>
      <c r="P8" s="41">
        <f>D11/168</f>
        <v>2.9761904761904763</v>
      </c>
      <c r="Q8" s="40" t="s">
        <v>23</v>
      </c>
    </row>
    <row r="9" spans="3:21" x14ac:dyDescent="0.25">
      <c r="C9" s="33" t="s">
        <v>35</v>
      </c>
      <c r="D9" s="46">
        <f>SUM(D7:D8)</f>
        <v>2000</v>
      </c>
    </row>
    <row r="10" spans="3:21" x14ac:dyDescent="0.25">
      <c r="C10" s="33" t="s">
        <v>48</v>
      </c>
      <c r="D10" s="33">
        <f>H2</f>
        <v>4</v>
      </c>
    </row>
    <row r="11" spans="3:21" x14ac:dyDescent="0.25">
      <c r="C11" s="28" t="s">
        <v>16</v>
      </c>
      <c r="D11" s="45">
        <f>D9/H2</f>
        <v>500</v>
      </c>
    </row>
    <row r="12" spans="3:21" x14ac:dyDescent="0.25">
      <c r="C12" t="s">
        <v>34</v>
      </c>
      <c r="D12" s="26">
        <f>SUM(H4:H17)</f>
        <v>15.6</v>
      </c>
    </row>
    <row r="14" spans="3:21" x14ac:dyDescent="0.25">
      <c r="C14" s="33" t="s">
        <v>18</v>
      </c>
      <c r="D14" s="34">
        <f>D11*D12</f>
        <v>7800</v>
      </c>
    </row>
    <row r="15" spans="3:21" x14ac:dyDescent="0.25">
      <c r="C15" s="4" t="s">
        <v>27</v>
      </c>
      <c r="D15" s="35">
        <f>Q4</f>
        <v>595.2380952380953</v>
      </c>
      <c r="F15" s="6" t="s">
        <v>39</v>
      </c>
      <c r="G15" s="32">
        <v>0.32</v>
      </c>
    </row>
    <row r="16" spans="3:21" ht="15.75" thickBot="1" x14ac:dyDescent="0.3">
      <c r="C16" s="4" t="s">
        <v>19</v>
      </c>
      <c r="D16" s="35">
        <f>Q5</f>
        <v>133.92857142857144</v>
      </c>
      <c r="F16" s="24" t="s">
        <v>36</v>
      </c>
      <c r="G16" s="54">
        <f>D18/(1-G15)</f>
        <v>14512.429971988795</v>
      </c>
    </row>
    <row r="17" spans="3:7" x14ac:dyDescent="0.25">
      <c r="C17" s="4" t="s">
        <v>45</v>
      </c>
      <c r="D17" s="35">
        <f>Q6</f>
        <v>1339.2857142857142</v>
      </c>
      <c r="F17" s="50" t="s">
        <v>37</v>
      </c>
      <c r="G17" s="51">
        <f>G16-D18</f>
        <v>4643.9775910364151</v>
      </c>
    </row>
    <row r="18" spans="3:7" ht="15.75" thickBot="1" x14ac:dyDescent="0.3">
      <c r="C18" s="28" t="s">
        <v>28</v>
      </c>
      <c r="D18" s="29">
        <f>D14+D15+D16+D17</f>
        <v>9868.4523809523798</v>
      </c>
      <c r="F18" s="52" t="s">
        <v>40</v>
      </c>
      <c r="G18" s="53">
        <f>G17/G16</f>
        <v>0.32000000000000006</v>
      </c>
    </row>
    <row r="21" spans="3:7" x14ac:dyDescent="0.25">
      <c r="D21" s="37"/>
    </row>
    <row r="23" spans="3:7" x14ac:dyDescent="0.25">
      <c r="D23" s="27"/>
    </row>
    <row r="25" spans="3:7" x14ac:dyDescent="0.25">
      <c r="D25" s="3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330F-6559-4D06-B5B8-5355BEEDADDD}">
  <dimension ref="C2:AD35"/>
  <sheetViews>
    <sheetView tabSelected="1" topLeftCell="F7" workbookViewId="0">
      <selection activeCell="U33" sqref="U33"/>
    </sheetView>
  </sheetViews>
  <sheetFormatPr baseColWidth="10" defaultRowHeight="15" x14ac:dyDescent="0.25"/>
  <cols>
    <col min="3" max="3" width="23.42578125" bestFit="1" customWidth="1"/>
    <col min="4" max="4" width="11.85546875" bestFit="1" customWidth="1"/>
    <col min="5" max="5" width="6" customWidth="1"/>
    <col min="6" max="6" width="30.140625" bestFit="1" customWidth="1"/>
    <col min="7" max="7" width="14.5703125" customWidth="1"/>
    <col min="8" max="8" width="13" bestFit="1" customWidth="1"/>
    <col min="9" max="10" width="11.42578125" hidden="1" customWidth="1"/>
    <col min="11" max="13" width="0" hidden="1" customWidth="1"/>
    <col min="14" max="15" width="12.7109375" customWidth="1"/>
    <col min="16" max="16" width="26.42578125" bestFit="1" customWidth="1"/>
    <col min="17" max="17" width="19.28515625" customWidth="1"/>
    <col min="19" max="19" width="21.5703125" bestFit="1" customWidth="1"/>
    <col min="20" max="20" width="10.7109375" customWidth="1"/>
    <col min="21" max="21" width="13" bestFit="1" customWidth="1"/>
    <col min="22" max="22" width="12.28515625" bestFit="1" customWidth="1"/>
    <col min="23" max="23" width="15.85546875" customWidth="1"/>
    <col min="24" max="24" width="19.28515625" customWidth="1"/>
    <col min="26" max="26" width="14" bestFit="1" customWidth="1"/>
    <col min="27" max="27" width="17.85546875" bestFit="1" customWidth="1"/>
    <col min="28" max="28" width="18.5703125" customWidth="1"/>
    <col min="29" max="29" width="16.140625" bestFit="1" customWidth="1"/>
    <col min="30" max="30" width="13" bestFit="1" customWidth="1"/>
  </cols>
  <sheetData>
    <row r="2" spans="3:28" x14ac:dyDescent="0.25">
      <c r="C2" s="15" t="s">
        <v>9</v>
      </c>
      <c r="F2" s="39" t="s">
        <v>33</v>
      </c>
      <c r="G2" s="39"/>
      <c r="H2" s="39">
        <f>COUNT(H4:H17)</f>
        <v>8</v>
      </c>
      <c r="P2" s="48" t="s">
        <v>47</v>
      </c>
      <c r="Q2" s="49">
        <v>50</v>
      </c>
    </row>
    <row r="3" spans="3:28" x14ac:dyDescent="0.25">
      <c r="C3" t="s">
        <v>50</v>
      </c>
      <c r="D3">
        <v>340</v>
      </c>
      <c r="F3" s="15" t="s">
        <v>29</v>
      </c>
      <c r="G3" s="15" t="s">
        <v>1</v>
      </c>
      <c r="H3" s="47" t="s">
        <v>30</v>
      </c>
      <c r="N3" t="s">
        <v>61</v>
      </c>
      <c r="P3" s="42" t="s">
        <v>25</v>
      </c>
      <c r="Q3" s="43"/>
      <c r="R3" s="44"/>
      <c r="U3">
        <f>21*8</f>
        <v>168</v>
      </c>
      <c r="V3">
        <f>168*3</f>
        <v>504</v>
      </c>
    </row>
    <row r="4" spans="3:28" x14ac:dyDescent="0.25">
      <c r="C4" t="s">
        <v>51</v>
      </c>
      <c r="D4">
        <v>450</v>
      </c>
      <c r="F4" t="s">
        <v>56</v>
      </c>
      <c r="G4" s="26">
        <v>600</v>
      </c>
      <c r="H4" s="36">
        <v>4.6399999999999997</v>
      </c>
      <c r="N4" s="56">
        <v>0.2</v>
      </c>
      <c r="P4" s="44" t="s">
        <v>46</v>
      </c>
      <c r="Q4" s="55">
        <f>Q2*H2</f>
        <v>400</v>
      </c>
      <c r="R4" s="55">
        <f>Q4*$Q8</f>
        <v>595.2380952380953</v>
      </c>
    </row>
    <row r="5" spans="3:28" x14ac:dyDescent="0.25">
      <c r="C5" t="s">
        <v>49</v>
      </c>
      <c r="D5">
        <v>225</v>
      </c>
      <c r="F5" t="s">
        <v>57</v>
      </c>
      <c r="G5" s="26">
        <v>600</v>
      </c>
      <c r="H5" s="36">
        <v>4.6399999999999997</v>
      </c>
      <c r="N5" s="56">
        <v>1</v>
      </c>
      <c r="P5" s="44" t="s">
        <v>19</v>
      </c>
      <c r="Q5" s="55">
        <v>45</v>
      </c>
      <c r="R5" s="55">
        <f>Q5*$Q8</f>
        <v>66.964285714285722</v>
      </c>
    </row>
    <row r="6" spans="3:28" x14ac:dyDescent="0.25">
      <c r="C6" t="s">
        <v>13</v>
      </c>
      <c r="D6">
        <v>585</v>
      </c>
      <c r="F6" t="s">
        <v>58</v>
      </c>
      <c r="G6" s="26">
        <v>500</v>
      </c>
      <c r="H6" s="36">
        <v>3.9</v>
      </c>
      <c r="N6" s="56">
        <v>0.25</v>
      </c>
      <c r="P6" s="44" t="s">
        <v>45</v>
      </c>
      <c r="Q6" s="55">
        <v>450</v>
      </c>
      <c r="R6" s="55">
        <f>Q6*Q8</f>
        <v>669.64285714285711</v>
      </c>
    </row>
    <row r="7" spans="3:28" x14ac:dyDescent="0.25">
      <c r="C7" s="4" t="s">
        <v>14</v>
      </c>
      <c r="D7" s="4">
        <f>SUM(D3:D6)</f>
        <v>1600</v>
      </c>
      <c r="F7" t="s">
        <v>59</v>
      </c>
      <c r="G7" s="26">
        <v>600</v>
      </c>
      <c r="H7" s="36">
        <v>4.6399999999999997</v>
      </c>
      <c r="N7" s="56">
        <v>0.25</v>
      </c>
    </row>
    <row r="8" spans="3:28" x14ac:dyDescent="0.25">
      <c r="C8" s="4" t="s">
        <v>15</v>
      </c>
      <c r="D8" s="4">
        <f>(D7*25)/100</f>
        <v>400</v>
      </c>
      <c r="F8" t="s">
        <v>60</v>
      </c>
      <c r="G8" s="26">
        <v>500</v>
      </c>
      <c r="H8" s="36">
        <v>3.9</v>
      </c>
      <c r="N8" s="56">
        <v>1</v>
      </c>
      <c r="P8" s="40" t="s">
        <v>26</v>
      </c>
      <c r="Q8" s="41">
        <f>D11/168</f>
        <v>1.4880952380952381</v>
      </c>
      <c r="R8" s="40" t="s">
        <v>23</v>
      </c>
    </row>
    <row r="9" spans="3:28" x14ac:dyDescent="0.25">
      <c r="C9" s="33" t="s">
        <v>35</v>
      </c>
      <c r="D9" s="46">
        <f>SUM(D7:D8)</f>
        <v>2000</v>
      </c>
      <c r="F9" t="s">
        <v>60</v>
      </c>
      <c r="G9" s="26">
        <v>500</v>
      </c>
      <c r="H9" s="36">
        <v>3.9</v>
      </c>
      <c r="N9" s="56">
        <v>1</v>
      </c>
    </row>
    <row r="10" spans="3:28" x14ac:dyDescent="0.25">
      <c r="C10" s="33" t="s">
        <v>48</v>
      </c>
      <c r="D10" s="33">
        <f>H2</f>
        <v>8</v>
      </c>
      <c r="F10" t="s">
        <v>60</v>
      </c>
      <c r="G10" s="26">
        <v>500</v>
      </c>
      <c r="H10" s="36">
        <v>3.9</v>
      </c>
      <c r="N10" s="56">
        <v>1</v>
      </c>
    </row>
    <row r="11" spans="3:28" x14ac:dyDescent="0.25">
      <c r="C11" s="28" t="s">
        <v>16</v>
      </c>
      <c r="D11" s="45">
        <f>D9/H2</f>
        <v>250</v>
      </c>
      <c r="F11" t="s">
        <v>60</v>
      </c>
      <c r="G11" s="26">
        <v>500</v>
      </c>
      <c r="H11" s="36">
        <v>3.9</v>
      </c>
      <c r="N11" s="56">
        <v>1</v>
      </c>
    </row>
    <row r="12" spans="3:28" x14ac:dyDescent="0.25">
      <c r="C12" t="s">
        <v>34</v>
      </c>
      <c r="D12" s="26">
        <f>SUM(H4:H17)</f>
        <v>33.419999999999995</v>
      </c>
    </row>
    <row r="14" spans="3:28" x14ac:dyDescent="0.25">
      <c r="C14" s="33" t="s">
        <v>18</v>
      </c>
      <c r="D14" s="34">
        <f>D11*D12</f>
        <v>8354.9999999999982</v>
      </c>
    </row>
    <row r="15" spans="3:28" x14ac:dyDescent="0.25">
      <c r="C15" s="4" t="s">
        <v>27</v>
      </c>
      <c r="D15" s="35">
        <f>R4</f>
        <v>595.2380952380953</v>
      </c>
      <c r="F15" s="6" t="s">
        <v>39</v>
      </c>
      <c r="G15" s="32">
        <v>0.32</v>
      </c>
      <c r="P15" s="99" t="s">
        <v>52</v>
      </c>
      <c r="Q15" s="100"/>
      <c r="S15" s="99" t="s">
        <v>91</v>
      </c>
      <c r="T15" s="103"/>
      <c r="U15" s="103"/>
      <c r="V15" s="103"/>
      <c r="W15" s="103"/>
      <c r="X15" s="100"/>
      <c r="Z15" s="96" t="s">
        <v>84</v>
      </c>
      <c r="AA15" s="97"/>
      <c r="AB15" s="98"/>
    </row>
    <row r="16" spans="3:28" ht="15.75" thickBot="1" x14ac:dyDescent="0.3">
      <c r="C16" s="4" t="s">
        <v>19</v>
      </c>
      <c r="D16" s="35">
        <f>R5</f>
        <v>66.964285714285722</v>
      </c>
      <c r="F16" s="24" t="s">
        <v>36</v>
      </c>
      <c r="G16" s="54">
        <f>D18/(1-G15)</f>
        <v>14245.360644257702</v>
      </c>
      <c r="P16" s="65" t="s">
        <v>50</v>
      </c>
      <c r="Q16" s="66">
        <v>100</v>
      </c>
      <c r="S16" s="72" t="s">
        <v>29</v>
      </c>
      <c r="T16" s="73" t="s">
        <v>1</v>
      </c>
      <c r="U16" s="73" t="s">
        <v>30</v>
      </c>
      <c r="V16" s="73" t="s">
        <v>61</v>
      </c>
      <c r="W16" s="73" t="s">
        <v>71</v>
      </c>
      <c r="X16" s="74" t="s">
        <v>78</v>
      </c>
      <c r="Z16" s="57" t="s">
        <v>63</v>
      </c>
      <c r="AA16" s="58" t="s">
        <v>64</v>
      </c>
      <c r="AB16" s="59" t="s">
        <v>65</v>
      </c>
    </row>
    <row r="17" spans="3:30" x14ac:dyDescent="0.25">
      <c r="C17" s="4" t="s">
        <v>45</v>
      </c>
      <c r="D17" s="35">
        <f>R6</f>
        <v>669.64285714285711</v>
      </c>
      <c r="F17" s="50" t="s">
        <v>37</v>
      </c>
      <c r="G17" s="51">
        <f>G16-D18</f>
        <v>4558.5154061624653</v>
      </c>
      <c r="P17" s="65" t="s">
        <v>53</v>
      </c>
      <c r="Q17" s="66">
        <v>250</v>
      </c>
      <c r="S17" s="75" t="s">
        <v>56</v>
      </c>
      <c r="T17" s="76">
        <v>600</v>
      </c>
      <c r="U17" s="77">
        <v>4.6399999999999997</v>
      </c>
      <c r="V17" s="78">
        <v>0.2</v>
      </c>
      <c r="W17" s="79">
        <f>U26*V17</f>
        <v>0.59940476190476188</v>
      </c>
      <c r="X17" s="80">
        <f>Q21*V17</f>
        <v>100.7</v>
      </c>
      <c r="Z17" s="44" t="s">
        <v>45</v>
      </c>
      <c r="AA17" s="55">
        <v>450</v>
      </c>
      <c r="AB17" s="55">
        <f>AA17*U26</f>
        <v>1348.6607142857142</v>
      </c>
    </row>
    <row r="18" spans="3:30" ht="15.75" thickBot="1" x14ac:dyDescent="0.3">
      <c r="C18" s="28" t="s">
        <v>28</v>
      </c>
      <c r="D18" s="29">
        <f>D14+D15+D16+D17</f>
        <v>9686.8452380952367</v>
      </c>
      <c r="F18" s="52" t="s">
        <v>40</v>
      </c>
      <c r="G18" s="53">
        <f>G17/G16</f>
        <v>0.32000000000000006</v>
      </c>
      <c r="P18" s="67" t="s">
        <v>14</v>
      </c>
      <c r="Q18" s="68">
        <f>Q16+Q17</f>
        <v>350</v>
      </c>
      <c r="S18" s="75" t="s">
        <v>57</v>
      </c>
      <c r="T18" s="76">
        <v>600</v>
      </c>
      <c r="U18" s="77">
        <v>4.6399999999999997</v>
      </c>
      <c r="V18" s="78">
        <v>1</v>
      </c>
      <c r="W18" s="79">
        <f>U26*V18</f>
        <v>2.9970238095238093</v>
      </c>
      <c r="X18" s="80">
        <f>Q21*V18</f>
        <v>503.5</v>
      </c>
      <c r="Z18" s="44" t="s">
        <v>19</v>
      </c>
      <c r="AA18" s="55">
        <v>45</v>
      </c>
      <c r="AB18" s="55">
        <f>AA18*U26</f>
        <v>134.86607142857142</v>
      </c>
    </row>
    <row r="19" spans="3:30" x14ac:dyDescent="0.25">
      <c r="P19" s="67" t="s">
        <v>62</v>
      </c>
      <c r="Q19" s="68">
        <v>66</v>
      </c>
      <c r="S19" s="75" t="s">
        <v>58</v>
      </c>
      <c r="T19" s="76">
        <v>500</v>
      </c>
      <c r="U19" s="77">
        <v>3.9</v>
      </c>
      <c r="V19" s="78">
        <v>0.25</v>
      </c>
      <c r="W19" s="79">
        <f>U26*V19</f>
        <v>0.74925595238095233</v>
      </c>
      <c r="X19" s="80">
        <f>Q21*V19</f>
        <v>125.875</v>
      </c>
      <c r="Z19" s="44" t="s">
        <v>66</v>
      </c>
      <c r="AA19" s="55">
        <f>50*4</f>
        <v>200</v>
      </c>
      <c r="AB19" s="55">
        <f>AA19*W21</f>
        <v>599.40476190476181</v>
      </c>
    </row>
    <row r="20" spans="3:30" x14ac:dyDescent="0.25">
      <c r="P20" s="67" t="s">
        <v>15</v>
      </c>
      <c r="Q20" s="68">
        <f>(Q18*25)/100</f>
        <v>87.5</v>
      </c>
      <c r="S20" s="75" t="s">
        <v>59</v>
      </c>
      <c r="T20" s="76">
        <v>600</v>
      </c>
      <c r="U20" s="77">
        <v>4.6399999999999997</v>
      </c>
      <c r="V20" s="78">
        <v>0.25</v>
      </c>
      <c r="W20" s="79">
        <f>U26*V20</f>
        <v>0.74925595238095233</v>
      </c>
      <c r="X20" s="80">
        <f>Q21*V20</f>
        <v>125.875</v>
      </c>
      <c r="Z20" s="44" t="s">
        <v>70</v>
      </c>
      <c r="AA20" s="55">
        <v>50</v>
      </c>
      <c r="AB20" s="55">
        <f>AA20*W17</f>
        <v>29.970238095238095</v>
      </c>
    </row>
    <row r="21" spans="3:30" x14ac:dyDescent="0.25">
      <c r="D21" s="37"/>
      <c r="P21" s="69" t="s">
        <v>55</v>
      </c>
      <c r="Q21" s="70">
        <f>Q18+Q19+Q20</f>
        <v>503.5</v>
      </c>
      <c r="S21" s="75" t="s">
        <v>60</v>
      </c>
      <c r="T21" s="76">
        <v>500</v>
      </c>
      <c r="U21" s="77">
        <v>3.9</v>
      </c>
      <c r="V21" s="78">
        <v>1</v>
      </c>
      <c r="W21" s="79">
        <f>U26*V21</f>
        <v>2.9970238095238093</v>
      </c>
      <c r="X21" s="80">
        <f>Q21*V21</f>
        <v>503.5</v>
      </c>
      <c r="Z21" s="44" t="s">
        <v>72</v>
      </c>
      <c r="AA21" s="55">
        <f>50</f>
        <v>50</v>
      </c>
      <c r="AB21" s="55">
        <f>AA21*W18</f>
        <v>149.85119047619045</v>
      </c>
    </row>
    <row r="22" spans="3:30" x14ac:dyDescent="0.25">
      <c r="S22" s="75" t="s">
        <v>67</v>
      </c>
      <c r="T22" s="76">
        <v>500</v>
      </c>
      <c r="U22" s="77">
        <v>3.9</v>
      </c>
      <c r="V22" s="78">
        <v>1</v>
      </c>
      <c r="W22" s="79">
        <f>U26*V22</f>
        <v>2.9970238095238093</v>
      </c>
      <c r="X22" s="80">
        <f>Q21*V22</f>
        <v>503.5</v>
      </c>
      <c r="Z22" s="44" t="s">
        <v>73</v>
      </c>
      <c r="AA22" s="55">
        <v>50</v>
      </c>
      <c r="AB22" s="55">
        <f>AA22*W19</f>
        <v>37.462797619047613</v>
      </c>
    </row>
    <row r="23" spans="3:30" x14ac:dyDescent="0.25">
      <c r="D23" s="27"/>
      <c r="P23" s="101" t="s">
        <v>76</v>
      </c>
      <c r="Q23" s="102"/>
      <c r="S23" s="75" t="s">
        <v>68</v>
      </c>
      <c r="T23" s="76">
        <v>500</v>
      </c>
      <c r="U23" s="77">
        <v>3.9</v>
      </c>
      <c r="V23" s="78">
        <v>1</v>
      </c>
      <c r="W23" s="79">
        <f>U26*V23</f>
        <v>2.9970238095238093</v>
      </c>
      <c r="X23" s="80">
        <f>Q21*V23</f>
        <v>503.5</v>
      </c>
      <c r="Z23" s="44" t="s">
        <v>74</v>
      </c>
      <c r="AA23" s="55">
        <v>50</v>
      </c>
      <c r="AB23" s="55">
        <f>AA23*W20</f>
        <v>37.462797619047613</v>
      </c>
    </row>
    <row r="24" spans="3:30" x14ac:dyDescent="0.25">
      <c r="P24" s="60" t="s">
        <v>77</v>
      </c>
      <c r="Q24" s="61">
        <f>X17*U17</f>
        <v>467.24799999999999</v>
      </c>
      <c r="S24" s="81" t="s">
        <v>69</v>
      </c>
      <c r="T24" s="82">
        <v>500</v>
      </c>
      <c r="U24" s="83">
        <v>3.9</v>
      </c>
      <c r="V24" s="84">
        <v>1</v>
      </c>
      <c r="W24" s="85">
        <f>U26*V24</f>
        <v>2.9970238095238093</v>
      </c>
      <c r="X24" s="86">
        <f>Q21*V24</f>
        <v>503.5</v>
      </c>
      <c r="Z24" s="87" t="s">
        <v>83</v>
      </c>
      <c r="AA24" s="88"/>
      <c r="AB24" s="89">
        <f>SUM(AB17:AB23)</f>
        <v>2337.6785714285711</v>
      </c>
      <c r="AC24" s="37"/>
      <c r="AD24" s="37"/>
    </row>
    <row r="25" spans="3:30" x14ac:dyDescent="0.25">
      <c r="D25" s="38"/>
      <c r="P25" s="60" t="s">
        <v>79</v>
      </c>
      <c r="Q25" s="61">
        <f>X18*U18</f>
        <v>2336.2399999999998</v>
      </c>
    </row>
    <row r="26" spans="3:30" x14ac:dyDescent="0.25">
      <c r="P26" s="60" t="s">
        <v>80</v>
      </c>
      <c r="Q26" s="61">
        <f>X19*U19</f>
        <v>490.91249999999997</v>
      </c>
      <c r="S26" s="90" t="s">
        <v>75</v>
      </c>
      <c r="T26" s="91"/>
      <c r="U26" s="92">
        <f>Q21/168</f>
        <v>2.9970238095238093</v>
      </c>
      <c r="V26" s="93" t="s">
        <v>54</v>
      </c>
    </row>
    <row r="27" spans="3:30" x14ac:dyDescent="0.25">
      <c r="P27" s="60" t="s">
        <v>81</v>
      </c>
      <c r="Q27" s="61">
        <f>X20*U20</f>
        <v>584.05999999999995</v>
      </c>
    </row>
    <row r="28" spans="3:30" x14ac:dyDescent="0.25">
      <c r="P28" s="60" t="s">
        <v>82</v>
      </c>
      <c r="Q28" s="61">
        <f>(X21*U21)*4</f>
        <v>7854.5999999999995</v>
      </c>
    </row>
    <row r="29" spans="3:30" x14ac:dyDescent="0.25">
      <c r="P29" s="60" t="s">
        <v>85</v>
      </c>
      <c r="Q29" s="62">
        <f>AB24</f>
        <v>2337.6785714285711</v>
      </c>
    </row>
    <row r="30" spans="3:30" x14ac:dyDescent="0.25">
      <c r="P30" s="63" t="s">
        <v>86</v>
      </c>
      <c r="Q30" s="64">
        <f>SUM(Q24:Q29)</f>
        <v>14070.73907142857</v>
      </c>
    </row>
    <row r="31" spans="3:30" x14ac:dyDescent="0.25">
      <c r="T31">
        <v>1904.75</v>
      </c>
    </row>
    <row r="32" spans="3:30" x14ac:dyDescent="0.25">
      <c r="P32" s="99" t="s">
        <v>90</v>
      </c>
      <c r="Q32" s="100"/>
      <c r="T32">
        <f>T31/(1-32%)-T31</f>
        <v>896.35294117647072</v>
      </c>
    </row>
    <row r="33" spans="16:20" x14ac:dyDescent="0.25">
      <c r="P33" s="60" t="s">
        <v>89</v>
      </c>
      <c r="Q33" s="71">
        <v>0.32</v>
      </c>
      <c r="S33" s="61"/>
      <c r="T33">
        <f>T31/(1-32%)</f>
        <v>2801.1029411764707</v>
      </c>
    </row>
    <row r="34" spans="16:20" x14ac:dyDescent="0.25">
      <c r="P34" s="60" t="s">
        <v>88</v>
      </c>
      <c r="Q34" s="61">
        <f>(Q30/(1-Q33))-Q30</f>
        <v>6621.5242689075658</v>
      </c>
    </row>
    <row r="35" spans="16:20" ht="24" customHeight="1" x14ac:dyDescent="0.25">
      <c r="P35" s="94" t="s">
        <v>87</v>
      </c>
      <c r="Q35" s="95">
        <f>Q30+Q34</f>
        <v>20692.263340336136</v>
      </c>
    </row>
  </sheetData>
  <mergeCells count="5">
    <mergeCell ref="Z15:AB15"/>
    <mergeCell ref="P15:Q15"/>
    <mergeCell ref="P23:Q23"/>
    <mergeCell ref="P32:Q32"/>
    <mergeCell ref="S15:X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SUELDOS</vt:lpstr>
      <vt:lpstr>ESTIMACIÓN TIEMPOS 1</vt:lpstr>
      <vt:lpstr>ESTIMACIÓN TIEMPOS 2</vt:lpstr>
      <vt:lpstr>ESTIMACIÓN TIEMPOS 3</vt:lpstr>
      <vt:lpstr>EXAMEN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dgrafico</dc:creator>
  <cp:lastModifiedBy>JOEL JUAN VILLAMAR RODRIGUEZ</cp:lastModifiedBy>
  <dcterms:created xsi:type="dcterms:W3CDTF">2024-09-17T17:27:07Z</dcterms:created>
  <dcterms:modified xsi:type="dcterms:W3CDTF">2024-10-05T19:22:17Z</dcterms:modified>
</cp:coreProperties>
</file>