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pivotTables/pivotTable6.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theemarquess/Downloads/"/>
    </mc:Choice>
  </mc:AlternateContent>
  <xr:revisionPtr revIDLastSave="0" documentId="13_ncr:9_{AFCEC9E3-A5DE-4342-8DF5-EBBEC62F2619}" xr6:coauthVersionLast="47" xr6:coauthVersionMax="47" xr10:uidLastSave="{00000000-0000-0000-0000-000000000000}"/>
  <bookViews>
    <workbookView xWindow="0" yWindow="740" windowWidth="29400" windowHeight="18380" activeTab="4" xr2:uid="{3ED58FBA-7A87-F94D-9D07-4A4BDE102C32}"/>
  </bookViews>
  <sheets>
    <sheet name="Forecast_Accuracy_Simulation_Ba" sheetId="1" r:id="rId1"/>
    <sheet name="KPI_Summary" sheetId="2" r:id="rId2"/>
    <sheet name="Scenario_B" sheetId="7" r:id="rId3"/>
    <sheet name="Scenario_Compare" sheetId="8" r:id="rId4"/>
    <sheet name="Carbon_Impact(Scenario C)" sheetId="9" r:id="rId5"/>
    <sheet name="Dashboard" sheetId="5" r:id="rId6"/>
    <sheet name="Inventory_Holding_Cost(Scen. D)" sheetId="11" r:id="rId7"/>
    <sheet name="Scenario_Compare_Inventory_Hold" sheetId="14" r:id="rId8"/>
    <sheet name="Scenario D Dashboards" sheetId="12" r:id="rId9"/>
    <sheet name="Scenario_E_Demand_Shock_Simulat" sheetId="16" r:id="rId10"/>
    <sheet name="Scenario_E Dashboard" sheetId="17" r:id="rId11"/>
    <sheet name="Scenario_F_Forecast_to_Cash" sheetId="19" r:id="rId12"/>
    <sheet name="Scenario_F Dashboards" sheetId="20" r:id="rId13"/>
    <sheet name="Advanced_KPIs" sheetId="21" r:id="rId14"/>
  </sheets>
  <definedNames>
    <definedName name="ExternalData_1" localSheetId="6" hidden="1">'Inventory_Holding_Cost(Scen. D)'!$A$1:$F$73</definedName>
    <definedName name="ExternalData_1" localSheetId="9" hidden="1">Scenario_E_Demand_Shock_Simulat!$A$1:$G$73</definedName>
    <definedName name="ExternalData_1" localSheetId="11" hidden="1">Scenario_F_Forecast_to_Cash!$A$1:$I$73</definedName>
    <definedName name="_xlnm.Print_Area" localSheetId="5">Dashboard!$A$1:$S$92</definedName>
    <definedName name="Slicer_SKU">#N/A</definedName>
    <definedName name="Slicer_SKU1">#N/A</definedName>
  </definedNames>
  <calcPr calcId="191029"/>
  <pivotCaches>
    <pivotCache cacheId="21" r:id="rId15"/>
    <pivotCache cacheId="28" r:id="rId16"/>
    <pivotCache cacheId="33" r:id="rId17"/>
    <pivotCache cacheId="37"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9" l="1"/>
  <c r="E4" i="9"/>
  <c r="E2" i="9"/>
  <c r="D4" i="9"/>
  <c r="D3" i="9"/>
  <c r="D2" i="9"/>
  <c r="K3" i="21"/>
  <c r="K4" i="21"/>
  <c r="K2" i="21"/>
  <c r="J3" i="21"/>
  <c r="J4" i="21"/>
  <c r="J2" i="21"/>
  <c r="I3" i="21"/>
  <c r="I4" i="21"/>
  <c r="H3" i="21"/>
  <c r="H4" i="21"/>
  <c r="I2" i="21"/>
  <c r="H2" i="21"/>
  <c r="F3" i="21"/>
  <c r="F4" i="21"/>
  <c r="G3" i="21"/>
  <c r="G4" i="21"/>
  <c r="G2" i="21"/>
  <c r="F2" i="21"/>
  <c r="E4" i="21"/>
  <c r="E3" i="21"/>
  <c r="M28" i="1"/>
  <c r="M27" i="1"/>
  <c r="E2" i="21"/>
  <c r="D4" i="21"/>
  <c r="D3" i="21"/>
  <c r="D2" i="21"/>
  <c r="I86" i="19"/>
  <c r="I85" i="19"/>
  <c r="I84" i="19"/>
  <c r="H86" i="19"/>
  <c r="H85" i="19"/>
  <c r="H84" i="19"/>
  <c r="G86" i="19"/>
  <c r="G85" i="19"/>
  <c r="G84" i="19"/>
  <c r="F86" i="19"/>
  <c r="F84" i="19"/>
  <c r="F85" i="19"/>
  <c r="G5" i="17"/>
  <c r="G6" i="17"/>
  <c r="G8" i="17"/>
  <c r="G9" i="17"/>
  <c r="G11" i="17"/>
  <c r="G12" i="17"/>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2" i="16"/>
  <c r="C6" i="14"/>
  <c r="C4" i="14"/>
  <c r="D6" i="14"/>
  <c r="D4" i="14"/>
  <c r="D2" i="14"/>
  <c r="C2" i="14"/>
  <c r="C3" i="9"/>
  <c r="C4" i="9"/>
  <c r="B3" i="9"/>
  <c r="B4" i="9"/>
  <c r="C2" i="9"/>
  <c r="B2" i="9"/>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E3" i="8"/>
  <c r="D3" i="8"/>
  <c r="C3" i="8"/>
  <c r="D28" i="7"/>
  <c r="E32" i="7"/>
  <c r="F32" i="7" s="1"/>
  <c r="E33" i="7"/>
  <c r="F33" i="7" s="1"/>
  <c r="E34" i="7"/>
  <c r="F34" i="7" s="1"/>
  <c r="E35" i="7"/>
  <c r="F35" i="7" s="1"/>
  <c r="E36" i="7"/>
  <c r="F36" i="7" s="1"/>
  <c r="E44" i="7"/>
  <c r="F44" i="7" s="1"/>
  <c r="E45" i="7"/>
  <c r="F45" i="7" s="1"/>
  <c r="E46" i="7"/>
  <c r="F46" i="7" s="1"/>
  <c r="D27" i="7"/>
  <c r="E40" i="7"/>
  <c r="F40" i="7" s="1"/>
  <c r="E41" i="7"/>
  <c r="F41" i="7" s="1"/>
  <c r="E43" i="7"/>
  <c r="F43" i="7" s="1"/>
  <c r="D26" i="7"/>
  <c r="E4" i="7"/>
  <c r="F4" i="7" s="1"/>
  <c r="E5" i="7"/>
  <c r="F5" i="7" s="1"/>
  <c r="E9" i="7"/>
  <c r="F9" i="7" s="1"/>
  <c r="E10" i="7"/>
  <c r="F10" i="7" s="1"/>
  <c r="E11" i="7"/>
  <c r="F11" i="7" s="1"/>
  <c r="H11" i="7" s="1"/>
  <c r="E14" i="7"/>
  <c r="F14" i="7" s="1"/>
  <c r="E15" i="7"/>
  <c r="F15" i="7" s="1"/>
  <c r="E19" i="7"/>
  <c r="F19" i="7" s="1"/>
  <c r="E20" i="7"/>
  <c r="F20" i="7" s="1"/>
  <c r="E21" i="7"/>
  <c r="F21" i="7" s="1"/>
  <c r="E24" i="7"/>
  <c r="F24" i="7" s="1"/>
  <c r="E25" i="7"/>
  <c r="F25" i="7" s="1"/>
  <c r="E29" i="7"/>
  <c r="F29" i="7" s="1"/>
  <c r="E30" i="7"/>
  <c r="F30" i="7" s="1"/>
  <c r="E31" i="7"/>
  <c r="F31" i="7" s="1"/>
  <c r="E39" i="7"/>
  <c r="F39" i="7" s="1"/>
  <c r="E49" i="7"/>
  <c r="F49" i="7" s="1"/>
  <c r="E50" i="7"/>
  <c r="F50" i="7" s="1"/>
  <c r="E51" i="7"/>
  <c r="F51" i="7" s="1"/>
  <c r="E54" i="7"/>
  <c r="F54" i="7" s="1"/>
  <c r="E55" i="7"/>
  <c r="F55" i="7" s="1"/>
  <c r="E59" i="7"/>
  <c r="F59" i="7" s="1"/>
  <c r="E60" i="7"/>
  <c r="F60" i="7" s="1"/>
  <c r="E61" i="7"/>
  <c r="F61" i="7" s="1"/>
  <c r="E64" i="7"/>
  <c r="F64" i="7" s="1"/>
  <c r="E65" i="7"/>
  <c r="F65" i="7" s="1"/>
  <c r="E69" i="7"/>
  <c r="F69" i="7" s="1"/>
  <c r="E70" i="7"/>
  <c r="F70" i="7" s="1"/>
  <c r="E71" i="7"/>
  <c r="F71" i="7" s="1"/>
  <c r="E73" i="7"/>
  <c r="F73" i="7" s="1"/>
  <c r="E72" i="7"/>
  <c r="F72" i="7" s="1"/>
  <c r="E68" i="7"/>
  <c r="F68" i="7" s="1"/>
  <c r="E67" i="7"/>
  <c r="F67" i="7" s="1"/>
  <c r="E66" i="7"/>
  <c r="F66" i="7" s="1"/>
  <c r="E63" i="7"/>
  <c r="F63" i="7" s="1"/>
  <c r="E62" i="7"/>
  <c r="F62" i="7" s="1"/>
  <c r="E58" i="7"/>
  <c r="F58" i="7" s="1"/>
  <c r="E57" i="7"/>
  <c r="F57" i="7" s="1"/>
  <c r="E56" i="7"/>
  <c r="F56" i="7" s="1"/>
  <c r="E53" i="7"/>
  <c r="F53" i="7" s="1"/>
  <c r="E52" i="7"/>
  <c r="F52" i="7" s="1"/>
  <c r="E48" i="7"/>
  <c r="F48" i="7" s="1"/>
  <c r="E47" i="7"/>
  <c r="F47" i="7" s="1"/>
  <c r="E42" i="7"/>
  <c r="F42" i="7" s="1"/>
  <c r="E38" i="7"/>
  <c r="F38" i="7" s="1"/>
  <c r="E37" i="7"/>
  <c r="F37" i="7" s="1"/>
  <c r="E28" i="7"/>
  <c r="F28" i="7" s="1"/>
  <c r="E27" i="7"/>
  <c r="F27" i="7" s="1"/>
  <c r="E26" i="7"/>
  <c r="F26" i="7" s="1"/>
  <c r="E23" i="7"/>
  <c r="F23" i="7" s="1"/>
  <c r="E22" i="7"/>
  <c r="F22" i="7" s="1"/>
  <c r="E18" i="7"/>
  <c r="F18" i="7" s="1"/>
  <c r="E17" i="7"/>
  <c r="F17" i="7" s="1"/>
  <c r="E16" i="7"/>
  <c r="F16" i="7" s="1"/>
  <c r="E13" i="7"/>
  <c r="F13" i="7" s="1"/>
  <c r="E12" i="7"/>
  <c r="F12" i="7" s="1"/>
  <c r="E8" i="7"/>
  <c r="F8" i="7" s="1"/>
  <c r="E7" i="7"/>
  <c r="F7" i="7" s="1"/>
  <c r="E6" i="7"/>
  <c r="F6" i="7" s="1"/>
  <c r="H6" i="7" s="1"/>
  <c r="E3" i="7"/>
  <c r="F3" i="7" s="1"/>
  <c r="E2" i="7"/>
  <c r="F2" i="7" s="1"/>
  <c r="J4" i="1"/>
  <c r="E3" i="1"/>
  <c r="F3" i="1" s="1"/>
  <c r="G3" i="1" s="1"/>
  <c r="E4" i="1"/>
  <c r="F4" i="1" s="1"/>
  <c r="G4" i="1" s="1"/>
  <c r="E5" i="1"/>
  <c r="F5" i="1" s="1"/>
  <c r="G5" i="1" s="1"/>
  <c r="E6" i="1"/>
  <c r="F6" i="1" s="1"/>
  <c r="G6" i="1" s="1"/>
  <c r="E7" i="1"/>
  <c r="F7" i="1" s="1"/>
  <c r="G7" i="1" s="1"/>
  <c r="E8" i="1"/>
  <c r="F8" i="1" s="1"/>
  <c r="G8" i="1" s="1"/>
  <c r="E9" i="1"/>
  <c r="F9" i="1" s="1"/>
  <c r="G9" i="1" s="1"/>
  <c r="E10" i="1"/>
  <c r="F10" i="1" s="1"/>
  <c r="G10" i="1" s="1"/>
  <c r="E11" i="1"/>
  <c r="F11" i="1" s="1"/>
  <c r="G11" i="1" s="1"/>
  <c r="E12" i="1"/>
  <c r="F12" i="1" s="1"/>
  <c r="G12" i="1" s="1"/>
  <c r="E13" i="1"/>
  <c r="F13" i="1" s="1"/>
  <c r="G13" i="1" s="1"/>
  <c r="E14" i="1"/>
  <c r="F14" i="1" s="1"/>
  <c r="G14" i="1" s="1"/>
  <c r="E15" i="1"/>
  <c r="F15" i="1" s="1"/>
  <c r="G15" i="1" s="1"/>
  <c r="E16" i="1"/>
  <c r="F16" i="1" s="1"/>
  <c r="G16" i="1" s="1"/>
  <c r="E17" i="1"/>
  <c r="F17" i="1" s="1"/>
  <c r="G17" i="1" s="1"/>
  <c r="E18" i="1"/>
  <c r="F18" i="1" s="1"/>
  <c r="G18" i="1" s="1"/>
  <c r="E19" i="1"/>
  <c r="F19" i="1" s="1"/>
  <c r="G19" i="1" s="1"/>
  <c r="E20" i="1"/>
  <c r="F20" i="1" s="1"/>
  <c r="G20" i="1" s="1"/>
  <c r="E21" i="1"/>
  <c r="F21" i="1" s="1"/>
  <c r="G21" i="1" s="1"/>
  <c r="E22" i="1"/>
  <c r="F22" i="1" s="1"/>
  <c r="G22" i="1" s="1"/>
  <c r="E23" i="1"/>
  <c r="F23" i="1" s="1"/>
  <c r="G23" i="1" s="1"/>
  <c r="E24" i="1"/>
  <c r="F24" i="1" s="1"/>
  <c r="G24" i="1" s="1"/>
  <c r="E25" i="1"/>
  <c r="F25" i="1" s="1"/>
  <c r="G25" i="1" s="1"/>
  <c r="E26" i="1"/>
  <c r="E27" i="1"/>
  <c r="F27" i="1" s="1"/>
  <c r="G27" i="1" s="1"/>
  <c r="E28" i="1"/>
  <c r="F28" i="1" s="1"/>
  <c r="G28" i="1" s="1"/>
  <c r="E29" i="1"/>
  <c r="F29" i="1" s="1"/>
  <c r="G29" i="1" s="1"/>
  <c r="E30" i="1"/>
  <c r="F30" i="1" s="1"/>
  <c r="G30" i="1" s="1"/>
  <c r="E31" i="1"/>
  <c r="F31" i="1" s="1"/>
  <c r="G31" i="1" s="1"/>
  <c r="E32" i="1"/>
  <c r="F32" i="1" s="1"/>
  <c r="G32" i="1" s="1"/>
  <c r="E33" i="1"/>
  <c r="F33" i="1" s="1"/>
  <c r="G33" i="1" s="1"/>
  <c r="E34" i="1"/>
  <c r="F34" i="1" s="1"/>
  <c r="G34" i="1" s="1"/>
  <c r="E35" i="1"/>
  <c r="F35" i="1" s="1"/>
  <c r="G35" i="1" s="1"/>
  <c r="E36" i="1"/>
  <c r="F36" i="1" s="1"/>
  <c r="G36" i="1" s="1"/>
  <c r="E37" i="1"/>
  <c r="F37" i="1" s="1"/>
  <c r="G37" i="1" s="1"/>
  <c r="E38" i="1"/>
  <c r="F38" i="1" s="1"/>
  <c r="G38" i="1" s="1"/>
  <c r="E39" i="1"/>
  <c r="F39" i="1" s="1"/>
  <c r="G39" i="1" s="1"/>
  <c r="E40" i="1"/>
  <c r="F40" i="1" s="1"/>
  <c r="G40" i="1" s="1"/>
  <c r="E41" i="1"/>
  <c r="F41" i="1" s="1"/>
  <c r="G41" i="1" s="1"/>
  <c r="E42" i="1"/>
  <c r="F42" i="1" s="1"/>
  <c r="G42" i="1" s="1"/>
  <c r="E43" i="1"/>
  <c r="F43" i="1" s="1"/>
  <c r="G43" i="1" s="1"/>
  <c r="E44" i="1"/>
  <c r="F44" i="1" s="1"/>
  <c r="G44" i="1" s="1"/>
  <c r="E45" i="1"/>
  <c r="F45" i="1" s="1"/>
  <c r="G45" i="1" s="1"/>
  <c r="E46" i="1"/>
  <c r="F46" i="1" s="1"/>
  <c r="G46" i="1" s="1"/>
  <c r="E47" i="1"/>
  <c r="F47" i="1" s="1"/>
  <c r="G47" i="1" s="1"/>
  <c r="E48" i="1"/>
  <c r="F48" i="1" s="1"/>
  <c r="G48" i="1" s="1"/>
  <c r="E49" i="1"/>
  <c r="F49" i="1" s="1"/>
  <c r="G49" i="1" s="1"/>
  <c r="E50" i="1"/>
  <c r="F50" i="1" s="1"/>
  <c r="G50" i="1" s="1"/>
  <c r="E51" i="1"/>
  <c r="F51" i="1" s="1"/>
  <c r="G51" i="1" s="1"/>
  <c r="E52" i="1"/>
  <c r="F52" i="1" s="1"/>
  <c r="G52" i="1" s="1"/>
  <c r="E53" i="1"/>
  <c r="F53" i="1" s="1"/>
  <c r="G53" i="1" s="1"/>
  <c r="E54" i="1"/>
  <c r="F54" i="1" s="1"/>
  <c r="G54" i="1" s="1"/>
  <c r="E55" i="1"/>
  <c r="F55" i="1" s="1"/>
  <c r="G55" i="1" s="1"/>
  <c r="E56" i="1"/>
  <c r="F56" i="1" s="1"/>
  <c r="G56" i="1" s="1"/>
  <c r="E57" i="1"/>
  <c r="F57" i="1" s="1"/>
  <c r="G57" i="1" s="1"/>
  <c r="E58" i="1"/>
  <c r="F58" i="1" s="1"/>
  <c r="G58" i="1" s="1"/>
  <c r="E59" i="1"/>
  <c r="F59" i="1" s="1"/>
  <c r="G59" i="1" s="1"/>
  <c r="E60" i="1"/>
  <c r="F60" i="1" s="1"/>
  <c r="G60" i="1" s="1"/>
  <c r="E61" i="1"/>
  <c r="F61" i="1" s="1"/>
  <c r="G61" i="1" s="1"/>
  <c r="E62" i="1"/>
  <c r="F62" i="1" s="1"/>
  <c r="G62" i="1" s="1"/>
  <c r="E63" i="1"/>
  <c r="F63" i="1" s="1"/>
  <c r="G63" i="1" s="1"/>
  <c r="E64" i="1"/>
  <c r="F64" i="1" s="1"/>
  <c r="G64" i="1" s="1"/>
  <c r="E65" i="1"/>
  <c r="F65" i="1" s="1"/>
  <c r="G65" i="1" s="1"/>
  <c r="E66" i="1"/>
  <c r="F66" i="1" s="1"/>
  <c r="G66" i="1" s="1"/>
  <c r="E67" i="1"/>
  <c r="F67" i="1" s="1"/>
  <c r="G67" i="1" s="1"/>
  <c r="E68" i="1"/>
  <c r="F68" i="1" s="1"/>
  <c r="G68" i="1" s="1"/>
  <c r="E69" i="1"/>
  <c r="F69" i="1" s="1"/>
  <c r="G69" i="1" s="1"/>
  <c r="E70" i="1"/>
  <c r="F70" i="1" s="1"/>
  <c r="G70" i="1" s="1"/>
  <c r="E71" i="1"/>
  <c r="F71" i="1" s="1"/>
  <c r="G71" i="1" s="1"/>
  <c r="E72" i="1"/>
  <c r="F72" i="1" s="1"/>
  <c r="G72" i="1" s="1"/>
  <c r="E73" i="1"/>
  <c r="F73" i="1" s="1"/>
  <c r="G73" i="1" s="1"/>
  <c r="E2" i="1"/>
  <c r="J55" i="1" l="1"/>
  <c r="J56" i="1"/>
  <c r="J54" i="1"/>
  <c r="J5" i="1"/>
  <c r="J34" i="1"/>
  <c r="J17" i="1"/>
  <c r="J67" i="1"/>
  <c r="J66" i="1"/>
  <c r="J44" i="1"/>
  <c r="J15" i="1"/>
  <c r="J45" i="1"/>
  <c r="J65" i="1"/>
  <c r="J37" i="1"/>
  <c r="J14" i="1"/>
  <c r="J25" i="1"/>
  <c r="J47" i="1"/>
  <c r="J46" i="1"/>
  <c r="J16" i="1"/>
  <c r="J64" i="1"/>
  <c r="J36" i="1"/>
  <c r="J7" i="1"/>
  <c r="J27" i="1"/>
  <c r="J24" i="1"/>
  <c r="J57" i="1"/>
  <c r="J35" i="1"/>
  <c r="J6" i="1"/>
  <c r="C2" i="2"/>
  <c r="J69" i="1"/>
  <c r="J59" i="1"/>
  <c r="J49" i="1"/>
  <c r="J39" i="1"/>
  <c r="J29" i="1"/>
  <c r="J19" i="1"/>
  <c r="J9" i="1"/>
  <c r="J68" i="1"/>
  <c r="J58" i="1"/>
  <c r="J48" i="1"/>
  <c r="J38" i="1"/>
  <c r="J28" i="1"/>
  <c r="J18" i="1"/>
  <c r="J8" i="1"/>
  <c r="C3" i="2"/>
  <c r="J72" i="1"/>
  <c r="J62" i="1"/>
  <c r="J52" i="1"/>
  <c r="J42" i="1"/>
  <c r="J32" i="1"/>
  <c r="J22" i="1"/>
  <c r="J12" i="1"/>
  <c r="D2" i="8"/>
  <c r="J53" i="1"/>
  <c r="J71" i="1"/>
  <c r="J61" i="1"/>
  <c r="J51" i="1"/>
  <c r="J41" i="1"/>
  <c r="J31" i="1"/>
  <c r="J21" i="1"/>
  <c r="J11" i="1"/>
  <c r="J73" i="1"/>
  <c r="J63" i="1"/>
  <c r="J43" i="1"/>
  <c r="J33" i="1"/>
  <c r="J23" i="1"/>
  <c r="J13" i="1"/>
  <c r="J3" i="1"/>
  <c r="J70" i="1"/>
  <c r="J60" i="1"/>
  <c r="J50" i="1"/>
  <c r="J40" i="1"/>
  <c r="J30" i="1"/>
  <c r="J20" i="1"/>
  <c r="J10" i="1"/>
  <c r="H46" i="7"/>
  <c r="G46" i="7"/>
  <c r="H8" i="7"/>
  <c r="G8" i="7"/>
  <c r="G27" i="7"/>
  <c r="H27" i="7"/>
  <c r="H47" i="7"/>
  <c r="G47" i="7"/>
  <c r="H28" i="7"/>
  <c r="G28" i="7"/>
  <c r="H14" i="7"/>
  <c r="G14" i="7"/>
  <c r="G24" i="7"/>
  <c r="H24" i="7"/>
  <c r="H34" i="7"/>
  <c r="G34" i="7"/>
  <c r="H44" i="7"/>
  <c r="G44" i="7"/>
  <c r="H54" i="7"/>
  <c r="G54" i="7"/>
  <c r="G64" i="7"/>
  <c r="H64" i="7"/>
  <c r="G6" i="7"/>
  <c r="G15" i="7"/>
  <c r="H15" i="7"/>
  <c r="G25" i="7"/>
  <c r="H25" i="7"/>
  <c r="G35" i="7"/>
  <c r="H35" i="7"/>
  <c r="H45" i="7"/>
  <c r="G45" i="7"/>
  <c r="H55" i="7"/>
  <c r="G55" i="7"/>
  <c r="H65" i="7"/>
  <c r="G65" i="7"/>
  <c r="H26" i="7"/>
  <c r="G26" i="7"/>
  <c r="H56" i="7"/>
  <c r="G56" i="7"/>
  <c r="H17" i="7"/>
  <c r="G17" i="7"/>
  <c r="H67" i="7"/>
  <c r="G67" i="7"/>
  <c r="H18" i="7"/>
  <c r="G18" i="7"/>
  <c r="H38" i="7"/>
  <c r="G38" i="7"/>
  <c r="H68" i="7"/>
  <c r="G68" i="7"/>
  <c r="G39" i="7"/>
  <c r="H39" i="7"/>
  <c r="H50" i="7"/>
  <c r="G50" i="7"/>
  <c r="H3" i="7"/>
  <c r="G3" i="7"/>
  <c r="G11" i="7"/>
  <c r="H21" i="7"/>
  <c r="G21" i="7"/>
  <c r="G31" i="7"/>
  <c r="H31" i="7"/>
  <c r="H41" i="7"/>
  <c r="G41" i="7"/>
  <c r="H51" i="7"/>
  <c r="G51" i="7"/>
  <c r="G61" i="7"/>
  <c r="H61" i="7"/>
  <c r="H71" i="7"/>
  <c r="G71" i="7"/>
  <c r="H16" i="7"/>
  <c r="G16" i="7"/>
  <c r="G66" i="7"/>
  <c r="H66" i="7"/>
  <c r="H37" i="7"/>
  <c r="G37" i="7"/>
  <c r="H9" i="7"/>
  <c r="G9" i="7"/>
  <c r="H58" i="7"/>
  <c r="G58" i="7"/>
  <c r="G10" i="7"/>
  <c r="H10" i="7"/>
  <c r="H59" i="7"/>
  <c r="G59" i="7"/>
  <c r="H2" i="7"/>
  <c r="G2" i="7"/>
  <c r="G20" i="7"/>
  <c r="H20" i="7"/>
  <c r="G30" i="7"/>
  <c r="H30" i="7"/>
  <c r="G40" i="7"/>
  <c r="H40" i="7"/>
  <c r="H60" i="7"/>
  <c r="G60" i="7"/>
  <c r="H4" i="7"/>
  <c r="G4" i="7"/>
  <c r="H12" i="7"/>
  <c r="G12" i="7"/>
  <c r="H22" i="7"/>
  <c r="G22" i="7"/>
  <c r="H32" i="7"/>
  <c r="G32" i="7"/>
  <c r="H42" i="7"/>
  <c r="G42" i="7"/>
  <c r="H52" i="7"/>
  <c r="G52" i="7"/>
  <c r="H62" i="7"/>
  <c r="G62" i="7"/>
  <c r="G72" i="7"/>
  <c r="H72" i="7"/>
  <c r="G7" i="7"/>
  <c r="H7" i="7"/>
  <c r="H36" i="7"/>
  <c r="G36" i="7"/>
  <c r="H57" i="7"/>
  <c r="G57" i="7"/>
  <c r="H48" i="7"/>
  <c r="G48" i="7"/>
  <c r="H19" i="7"/>
  <c r="G19" i="7"/>
  <c r="G29" i="7"/>
  <c r="H29" i="7"/>
  <c r="H49" i="7"/>
  <c r="G49" i="7"/>
  <c r="H69" i="7"/>
  <c r="G69" i="7"/>
  <c r="H70" i="7"/>
  <c r="G70" i="7"/>
  <c r="G5" i="7"/>
  <c r="H5" i="7"/>
  <c r="H13" i="7"/>
  <c r="G13" i="7"/>
  <c r="H23" i="7"/>
  <c r="G23" i="7"/>
  <c r="H33" i="7"/>
  <c r="G33" i="7"/>
  <c r="H43" i="7"/>
  <c r="G43" i="7"/>
  <c r="H53" i="7"/>
  <c r="G53" i="7"/>
  <c r="H63" i="7"/>
  <c r="G63" i="7"/>
  <c r="H73" i="7"/>
  <c r="G73" i="7"/>
  <c r="F26" i="1"/>
  <c r="F2" i="1"/>
  <c r="C4" i="2"/>
  <c r="G2" i="1" l="1"/>
  <c r="J2" i="1"/>
  <c r="B2" i="2" s="1"/>
  <c r="D2" i="2" s="1"/>
  <c r="G26" i="1"/>
  <c r="J26" i="1"/>
  <c r="B4" i="2"/>
  <c r="D4" i="2" s="1"/>
  <c r="B3" i="2" l="1"/>
  <c r="D3" i="2" s="1"/>
  <c r="C2" i="8"/>
  <c r="E2"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4E9F0F-5BC8-8D47-9A78-2B29A7C488FF}" keepAlive="1" name="Query - Inventory_Holding_Cost_Simulation" description="Connection to the 'Inventory_Holding_Cost_Simulation' query in the workbook." type="5" refreshedVersion="8" background="1" saveData="1">
    <dbPr connection="Provider=Microsoft.Mashup.OleDb.1;Data Source=$Workbook$;Location=Inventory_Holding_Cost_Simulation;Extended Properties=&quot;&quot;" command="SELECT * FROM [Inventory_Holding_Cost_Simulation]"/>
  </connection>
  <connection id="2" xr16:uid="{DA179490-33BA-1A4E-8478-F57D6E8DBAD9}" keepAlive="1" name="Query - Scenario_E_Demand_Shock_Simulation" description="Connection to the 'Scenario_E_Demand_Shock_Simulation' query in the workbook." type="5" refreshedVersion="8" background="1" saveData="1">
    <dbPr connection="Provider=Microsoft.Mashup.OleDb.1;Data Source=$Workbook$;Location=Scenario_E_Demand_Shock_Simulation;Extended Properties=&quot;&quot;" command="SELECT * FROM [Scenario_E_Demand_Shock_Simulation]"/>
  </connection>
  <connection id="3" xr16:uid="{6AC8C9A2-7AF6-EE40-A7F8-47BDE9A15C96}" keepAlive="1" name="Query - Scenario_F_Forecast_to_Cash" description="Connection to the 'Scenario_F_Forecast_to_Cash' query in the workbook." type="5" refreshedVersion="8" background="1" saveData="1">
    <dbPr connection="Provider=Microsoft.Mashup.OleDb.1;Data Source=$Workbook$;Location=Scenario_F_Forecast_to_Cash;Extended Properties=&quot;&quot;" command="SELECT * FROM [Scenario_F_Forecast_to_Cash]"/>
  </connection>
</connections>
</file>

<file path=xl/sharedStrings.xml><?xml version="1.0" encoding="utf-8"?>
<sst xmlns="http://schemas.openxmlformats.org/spreadsheetml/2006/main" count="539" uniqueCount="71">
  <si>
    <t>Month</t>
  </si>
  <si>
    <t>SKU</t>
  </si>
  <si>
    <t>Forecast</t>
  </si>
  <si>
    <t>Actual</t>
  </si>
  <si>
    <t>SKU_A</t>
  </si>
  <si>
    <t>SKU_B</t>
  </si>
  <si>
    <t>SKU_C</t>
  </si>
  <si>
    <t>Error</t>
  </si>
  <si>
    <t>Abs_Error</t>
  </si>
  <si>
    <t>APE</t>
  </si>
  <si>
    <t>MAPE (%)</t>
  </si>
  <si>
    <t>Bias</t>
  </si>
  <si>
    <t>Forecast Accuracy (%)</t>
  </si>
  <si>
    <t>APE_Value</t>
  </si>
  <si>
    <t>Row Labels</t>
  </si>
  <si>
    <t>Grand Total</t>
  </si>
  <si>
    <t>2023</t>
  </si>
  <si>
    <t>2024</t>
  </si>
  <si>
    <t>(All)</t>
  </si>
  <si>
    <t>Average of Actual</t>
  </si>
  <si>
    <t>Average of Forecast</t>
  </si>
  <si>
    <t>Qtr1</t>
  </si>
  <si>
    <t>Qtr2</t>
  </si>
  <si>
    <t>Qtr3</t>
  </si>
  <si>
    <t>Qtr4</t>
  </si>
  <si>
    <t>Average of APE_Value</t>
  </si>
  <si>
    <t>Scenario</t>
  </si>
  <si>
    <t>Base</t>
  </si>
  <si>
    <t>Shock</t>
  </si>
  <si>
    <t>Emissions (kg)</t>
  </si>
  <si>
    <t>Carbon Cost ($)</t>
  </si>
  <si>
    <t>Total Carbon Cost ($)</t>
  </si>
  <si>
    <t>Inventory Overhang</t>
  </si>
  <si>
    <t>Holding Cost ($)</t>
  </si>
  <si>
    <t>Sum of Holding Cost ($)</t>
  </si>
  <si>
    <t>Sum of Inventory Overhang</t>
  </si>
  <si>
    <t>Total Holding Cost</t>
  </si>
  <si>
    <t>Avg Monthly Overhang</t>
  </si>
  <si>
    <t>Perfect</t>
  </si>
  <si>
    <t>Period</t>
  </si>
  <si>
    <t>Before Shock</t>
  </si>
  <si>
    <t>After Shock</t>
  </si>
  <si>
    <t>Sum of Error</t>
  </si>
  <si>
    <t>Sum of APE</t>
  </si>
  <si>
    <t>Forecast Accuracy (Before)</t>
  </si>
  <si>
    <t>Forecast Accuracy (After)</t>
  </si>
  <si>
    <t>Unit_Price</t>
  </si>
  <si>
    <t>Forecast_Revenue</t>
  </si>
  <si>
    <t>Actual_Revenue</t>
  </si>
  <si>
    <t>Revenue_Variance</t>
  </si>
  <si>
    <t>Cash_Realized</t>
  </si>
  <si>
    <t>Sum of Revenue_Variance</t>
  </si>
  <si>
    <t>Sum of Actual_Revenue</t>
  </si>
  <si>
    <t>Sum of Forecast_Revenue</t>
  </si>
  <si>
    <t>Total Forecast Revenue</t>
  </si>
  <si>
    <t>Total Actual Revenue</t>
  </si>
  <si>
    <t>Revenue Variance</t>
  </si>
  <si>
    <t>Total Cash Realized</t>
  </si>
  <si>
    <t>Unit Cost ($)</t>
  </si>
  <si>
    <t>Forecast Units</t>
  </si>
  <si>
    <t>Actual Units</t>
  </si>
  <si>
    <t>Forecast Revenue</t>
  </si>
  <si>
    <t>Actual Revenue</t>
  </si>
  <si>
    <t>Forecast Cost</t>
  </si>
  <si>
    <t>Actual Cost</t>
  </si>
  <si>
    <t>Forecast Margin</t>
  </si>
  <si>
    <t>Actual Margin</t>
  </si>
  <si>
    <t>Unit Price ($)</t>
  </si>
  <si>
    <t>Total Revenue</t>
  </si>
  <si>
    <t>Total Carbon Emissions (kg)</t>
  </si>
  <si>
    <t>Revenue per kgCO₂e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</si>
</sst>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8" formatCode="0.0%"/>
    <numFmt numFmtId="171" formatCode="&quot;$&quot;#,##0.00"/>
  </numFmts>
  <fonts count="2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4"/>
      <color rgb="FF000000"/>
      <name val="-webkit-standard"/>
    </font>
    <font>
      <sz val="10"/>
      <color rgb="FF000000"/>
      <name val="Arial Unicode MS"/>
      <family val="2"/>
    </font>
    <font>
      <sz val="8"/>
      <name val="Aptos Narrow"/>
      <family val="2"/>
      <scheme val="minor"/>
    </font>
    <font>
      <b/>
      <sz val="12"/>
      <color theme="1"/>
      <name val="Aptos Narrow"/>
      <scheme val="minor"/>
    </font>
    <font>
      <sz val="12"/>
      <color rgb="FF000000"/>
      <name val="Times New Roman"/>
      <family val="1"/>
    </font>
    <font>
      <sz val="12"/>
      <color theme="1"/>
      <name val="Times New Roman"/>
      <family val="1"/>
    </font>
    <font>
      <b/>
      <sz val="12"/>
      <color rgb="FF000000"/>
      <name val="Times New Roman"/>
      <family val="1"/>
    </font>
    <font>
      <b/>
      <sz val="14"/>
      <color rgb="FF000000"/>
      <name val="Times New Roman"/>
      <family val="1"/>
    </font>
    <font>
      <b/>
      <sz val="14"/>
      <color theme="1"/>
      <name val="Times New Roman"/>
      <family val="1"/>
    </font>
    <font>
      <b/>
      <sz val="14"/>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14" fontId="0" fillId="0" borderId="0" xfId="0" applyNumberFormat="1"/>
    <xf numFmtId="2" fontId="0" fillId="0" borderId="0" xfId="0" applyNumberFormat="1"/>
    <xf numFmtId="14" fontId="0" fillId="0" borderId="0" xfId="0" applyNumberFormat="1" applyAlignment="1">
      <alignment horizontal="center"/>
    </xf>
    <xf numFmtId="49" fontId="0" fillId="0" borderId="0" xfId="0" applyNumberFormat="1" applyAlignment="1">
      <alignment horizontal="center"/>
    </xf>
    <xf numFmtId="2" fontId="0" fillId="0" borderId="0" xfId="0" applyNumberFormat="1" applyAlignment="1">
      <alignment horizontal="center"/>
    </xf>
    <xf numFmtId="0" fontId="0" fillId="0" borderId="0" xfId="0" applyAlignment="1">
      <alignment horizontal="center"/>
    </xf>
    <xf numFmtId="0" fontId="18" fillId="0" borderId="0" xfId="0" applyFont="1"/>
    <xf numFmtId="9" fontId="0" fillId="0" borderId="0" xfId="2" applyFont="1" applyAlignment="1">
      <alignment horizontal="center"/>
    </xf>
    <xf numFmtId="168" fontId="0" fillId="0" borderId="0" xfId="2" applyNumberFormat="1" applyFont="1" applyAlignment="1">
      <alignment horizontal="center"/>
    </xf>
    <xf numFmtId="2" fontId="19" fillId="0" borderId="0" xfId="0" applyNumberFormat="1" applyFont="1"/>
    <xf numFmtId="10"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2" applyNumberFormat="1" applyFont="1" applyAlignment="1">
      <alignment horizontal="center"/>
    </xf>
    <xf numFmtId="171" fontId="0" fillId="0" borderId="0" xfId="2" applyNumberFormat="1" applyFont="1" applyAlignment="1">
      <alignment horizontal="center"/>
    </xf>
    <xf numFmtId="0" fontId="21" fillId="0" borderId="0" xfId="0" applyFont="1" applyAlignment="1">
      <alignment horizontal="center"/>
    </xf>
    <xf numFmtId="0" fontId="0" fillId="0" borderId="0" xfId="0" applyNumberFormat="1"/>
    <xf numFmtId="0" fontId="22" fillId="0" borderId="0" xfId="0" applyFont="1" applyAlignment="1">
      <alignment horizontal="center"/>
    </xf>
    <xf numFmtId="0" fontId="23" fillId="0" borderId="0" xfId="0" applyFont="1" applyAlignment="1">
      <alignment horizontal="center"/>
    </xf>
    <xf numFmtId="0" fontId="22" fillId="0" borderId="0" xfId="0" applyFont="1"/>
    <xf numFmtId="0" fontId="0" fillId="0" borderId="0" xfId="0" applyNumberFormat="1" applyAlignment="1">
      <alignment horizontal="center"/>
    </xf>
    <xf numFmtId="168" fontId="0" fillId="0" borderId="0" xfId="2" applyNumberFormat="1" applyFont="1"/>
    <xf numFmtId="168" fontId="21" fillId="0" borderId="0" xfId="2" applyNumberFormat="1" applyFont="1" applyAlignment="1">
      <alignment horizontal="center"/>
    </xf>
    <xf numFmtId="171" fontId="0" fillId="0" borderId="0" xfId="1" applyNumberFormat="1" applyFont="1"/>
    <xf numFmtId="171" fontId="0" fillId="0" borderId="0" xfId="0" applyNumberFormat="1" applyAlignment="1">
      <alignment horizontal="center"/>
    </xf>
    <xf numFmtId="14" fontId="23" fillId="0" borderId="0" xfId="0" applyNumberFormat="1" applyFont="1" applyAlignment="1">
      <alignment horizontal="center"/>
    </xf>
    <xf numFmtId="0" fontId="23" fillId="0" borderId="0" xfId="0" applyNumberFormat="1" applyFont="1" applyAlignment="1">
      <alignment horizontal="center"/>
    </xf>
    <xf numFmtId="171" fontId="23" fillId="0" borderId="0" xfId="1" applyNumberFormat="1" applyFont="1" applyAlignment="1">
      <alignment horizontal="center"/>
    </xf>
    <xf numFmtId="171" fontId="23" fillId="0" borderId="0" xfId="0" applyNumberFormat="1" applyFont="1" applyAlignment="1">
      <alignment horizontal="center"/>
    </xf>
    <xf numFmtId="0" fontId="24" fillId="0" borderId="0" xfId="0" applyFont="1" applyAlignment="1">
      <alignment horizontal="center"/>
    </xf>
    <xf numFmtId="171" fontId="24" fillId="0" borderId="0" xfId="0" applyNumberFormat="1" applyFont="1" applyAlignment="1">
      <alignment horizontal="center"/>
    </xf>
    <xf numFmtId="49" fontId="25" fillId="0" borderId="0" xfId="0" applyNumberFormat="1" applyFont="1" applyAlignment="1">
      <alignment horizontal="center"/>
    </xf>
    <xf numFmtId="9" fontId="25" fillId="0" borderId="0" xfId="2" applyFont="1" applyAlignment="1">
      <alignment horizontal="center"/>
    </xf>
    <xf numFmtId="0" fontId="25" fillId="0" borderId="0" xfId="0" applyFont="1" applyAlignment="1">
      <alignment horizontal="center"/>
    </xf>
    <xf numFmtId="10" fontId="25" fillId="0" borderId="0" xfId="0" applyNumberFormat="1" applyFont="1" applyAlignment="1">
      <alignment horizontal="center"/>
    </xf>
    <xf numFmtId="0" fontId="26" fillId="0" borderId="0" xfId="0" applyFont="1" applyAlignment="1">
      <alignment horizontal="center"/>
    </xf>
    <xf numFmtId="171" fontId="26" fillId="0" borderId="0" xfId="1" applyNumberFormat="1" applyFont="1" applyAlignment="1">
      <alignment horizontal="center"/>
    </xf>
    <xf numFmtId="171" fontId="26" fillId="0" borderId="0" xfId="0" applyNumberFormat="1" applyFont="1" applyAlignment="1">
      <alignment horizontal="center"/>
    </xf>
    <xf numFmtId="0" fontId="27" fillId="0" borderId="0" xfId="0" applyFont="1" applyAlignment="1">
      <alignment horizont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49">
    <dxf>
      <font>
        <b/>
        <i val="0"/>
        <strike val="0"/>
        <condense val="0"/>
        <extend val="0"/>
        <outline val="0"/>
        <shadow val="0"/>
        <u val="none"/>
        <vertAlign val="baseline"/>
        <sz val="12"/>
        <color rgb="FF000000"/>
        <name val="Times New Roman"/>
        <family val="1"/>
        <scheme val="none"/>
      </font>
      <numFmt numFmtId="171" formatCode="&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71" formatCode="&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71" formatCode="&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71" formatCode="&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strike val="0"/>
        <outline val="0"/>
        <shadow val="0"/>
        <u val="none"/>
        <vertAlign val="baseline"/>
        <sz val="12"/>
        <name val="Times New Roman"/>
        <family val="1"/>
        <scheme val="none"/>
      </font>
      <numFmt numFmtId="171" formatCode="&quot;$&quot;#,##0.00"/>
      <alignment horizontal="center" vertical="bottom" textRotation="0" wrapText="0" indent="0" justifyLastLine="0" shrinkToFit="0" readingOrder="0"/>
    </dxf>
    <dxf>
      <font>
        <strike val="0"/>
        <outline val="0"/>
        <shadow val="0"/>
        <u val="none"/>
        <vertAlign val="baseline"/>
        <sz val="12"/>
        <name val="Times New Roman"/>
        <family val="1"/>
        <scheme val="none"/>
      </font>
      <alignment horizontal="center" vertical="bottom" textRotation="0" wrapText="0" indent="0" justifyLastLine="0" shrinkToFit="0" readingOrder="0"/>
    </dxf>
    <dxf>
      <font>
        <strike val="0"/>
        <outline val="0"/>
        <shadow val="0"/>
        <u val="none"/>
        <vertAlign val="baseline"/>
        <sz val="12"/>
        <name val="Times New Roman"/>
        <family val="1"/>
        <scheme val="none"/>
      </font>
      <numFmt numFmtId="171" formatCode="&quot;$&quot;#,##0.00"/>
      <alignment horizontal="center" vertical="bottom" textRotation="0" wrapText="0" indent="0" justifyLastLine="0" shrinkToFit="0" readingOrder="0"/>
    </dxf>
    <dxf>
      <font>
        <strike val="0"/>
        <outline val="0"/>
        <shadow val="0"/>
        <u val="none"/>
        <vertAlign val="baseline"/>
        <sz val="12"/>
        <name val="Times New Roman"/>
        <family val="1"/>
        <scheme val="none"/>
      </font>
      <numFmt numFmtId="171" formatCode="&quot;$&quot;#,##0.00"/>
      <alignment horizontal="center" vertical="bottom" textRotation="0" wrapText="0" indent="0" justifyLastLine="0" shrinkToFit="0" readingOrder="0"/>
    </dxf>
    <dxf>
      <font>
        <strike val="0"/>
        <outline val="0"/>
        <shadow val="0"/>
        <u val="none"/>
        <vertAlign val="baseline"/>
        <sz val="12"/>
        <name val="Times New Roman"/>
        <family val="1"/>
        <scheme val="none"/>
      </font>
      <alignment horizontal="center" vertical="bottom" textRotation="0" wrapText="0" indent="0" justifyLastLine="0" shrinkToFit="0" readingOrder="0"/>
    </dxf>
    <dxf>
      <font>
        <strike val="0"/>
        <outline val="0"/>
        <shadow val="0"/>
        <u val="none"/>
        <vertAlign val="baseline"/>
        <sz val="12"/>
        <name val="Times New Roman"/>
        <family val="1"/>
        <scheme val="none"/>
      </font>
      <alignment horizontal="center" vertical="bottom" textRotation="0" wrapText="0" indent="0" justifyLastLine="0" shrinkToFit="0" readingOrder="0"/>
    </dxf>
    <dxf>
      <font>
        <strike val="0"/>
        <outline val="0"/>
        <shadow val="0"/>
        <u val="none"/>
        <vertAlign val="baseline"/>
        <sz val="12"/>
        <name val="Times New Roman"/>
        <family val="1"/>
        <scheme val="none"/>
      </font>
      <alignment horizontal="center" vertical="bottom" textRotation="0" wrapText="0" indent="0" justifyLastLine="0" shrinkToFit="0" readingOrder="0"/>
    </dxf>
    <dxf>
      <font>
        <strike val="0"/>
        <outline val="0"/>
        <shadow val="0"/>
        <u val="none"/>
        <vertAlign val="baseline"/>
        <sz val="12"/>
        <name val="Times New Roman"/>
        <family val="1"/>
        <scheme val="none"/>
      </font>
      <numFmt numFmtId="0" formatCode="General"/>
      <alignment horizontal="center" vertical="bottom" textRotation="0" wrapText="0" indent="0" justifyLastLine="0" shrinkToFit="0" readingOrder="0"/>
    </dxf>
    <dxf>
      <font>
        <strike val="0"/>
        <outline val="0"/>
        <shadow val="0"/>
        <u val="none"/>
        <vertAlign val="baseline"/>
        <sz val="12"/>
        <name val="Times New Roman"/>
        <family val="1"/>
        <scheme val="none"/>
      </font>
      <numFmt numFmtId="19" formatCode="m/d/yy"/>
      <alignment horizontal="center" vertical="bottom" textRotation="0" wrapText="0" indent="0" justifyLastLine="0" shrinkToFit="0" readingOrder="0"/>
    </dxf>
    <dxf>
      <numFmt numFmtId="171" formatCode="&quot;$&quot;#,##0.00"/>
    </dxf>
    <dxf>
      <numFmt numFmtId="171" formatCode="&quot;$&quot;#,##0.00"/>
    </dxf>
    <dxf>
      <numFmt numFmtId="171" formatCode="&quot;$&quot;#,##0.00"/>
    </dxf>
    <dxf>
      <numFmt numFmtId="171" formatCode="&quot;$&quot;#,##0.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m/d/yy"/>
      <alignment horizontal="center" vertical="bottom" textRotation="0" wrapText="0" indent="0" justifyLastLine="0" shrinkToFit="0" readingOrder="0"/>
    </dxf>
    <dxf>
      <numFmt numFmtId="0" formatCode="General"/>
    </dxf>
    <dxf>
      <numFmt numFmtId="19" formatCode="m/d/yy"/>
    </dxf>
    <dxf>
      <font>
        <b val="0"/>
        <i val="0"/>
        <strike val="0"/>
        <condense val="0"/>
        <extend val="0"/>
        <outline val="0"/>
        <shadow val="0"/>
        <u val="none"/>
        <vertAlign val="baseline"/>
        <sz val="12"/>
        <color theme="1"/>
        <name val="Aptos Narrow"/>
        <family val="2"/>
        <scheme val="minor"/>
      </font>
      <numFmt numFmtId="171" formatCode="&quot;$&quot;#,##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Aptos Narrow"/>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Aptos Narrow"/>
        <family val="2"/>
        <scheme val="minor"/>
      </font>
      <numFmt numFmtId="168" formatCode="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Aptos Narrow"/>
        <family val="2"/>
        <scheme val="minor"/>
      </font>
      <numFmt numFmtId="168" formatCode="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9" formatCode="m/d/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9" formatCode="m/d/yy"/>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823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effectLst/>
                <a:latin typeface="Times New Roman" panose="02020603050405020304" pitchFamily="18" charset="0"/>
                <a:cs typeface="Times New Roman" panose="02020603050405020304" pitchFamily="18" charset="0"/>
              </a:rPr>
              <a:t>Forecast Accuracy by SKU</a:t>
            </a:r>
            <a:endParaRPr lang="en-US" sz="1400" b="1"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KPI_Summary!$A$2:$A$4</c:f>
              <c:strCache>
                <c:ptCount val="3"/>
                <c:pt idx="0">
                  <c:v>SKU_A</c:v>
                </c:pt>
                <c:pt idx="1">
                  <c:v>SKU_B</c:v>
                </c:pt>
                <c:pt idx="2">
                  <c:v>SKU_C</c:v>
                </c:pt>
              </c:strCache>
            </c:strRef>
          </c:cat>
          <c:val>
            <c:numRef>
              <c:f>KPI_Summary!$D$2:$D$4</c:f>
              <c:numCache>
                <c:formatCode>0.00%</c:formatCode>
                <c:ptCount val="3"/>
                <c:pt idx="0">
                  <c:v>0.95878209120779956</c:v>
                </c:pt>
                <c:pt idx="1">
                  <c:v>0.96146956367913683</c:v>
                </c:pt>
                <c:pt idx="2">
                  <c:v>0.95181376067244838</c:v>
                </c:pt>
              </c:numCache>
            </c:numRef>
          </c:val>
          <c:extLst>
            <c:ext xmlns:c16="http://schemas.microsoft.com/office/drawing/2014/chart" uri="{C3380CC4-5D6E-409C-BE32-E72D297353CC}">
              <c16:uniqueId val="{00000000-D5E8-7442-9BF1-A0850871551B}"/>
            </c:ext>
          </c:extLst>
        </c:ser>
        <c:dLbls>
          <c:dLblPos val="outEnd"/>
          <c:showLegendKey val="0"/>
          <c:showVal val="1"/>
          <c:showCatName val="0"/>
          <c:showSerName val="0"/>
          <c:showPercent val="0"/>
          <c:showBubbleSize val="0"/>
        </c:dLbls>
        <c:gapWidth val="219"/>
        <c:overlap val="-27"/>
        <c:axId val="342037263"/>
        <c:axId val="342189935"/>
      </c:barChart>
      <c:catAx>
        <c:axId val="34203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89935"/>
        <c:crosses val="autoZero"/>
        <c:auto val="1"/>
        <c:lblAlgn val="ctr"/>
        <c:lblOffset val="100"/>
        <c:noMultiLvlLbl val="0"/>
      </c:catAx>
      <c:valAx>
        <c:axId val="3421899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3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[Forecast_Accuracy_Simulation_SAP IBP.xlsx]Scenario D Dashboards!PivotTable6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6"/>
                </a:solidFill>
              </a:rPr>
              <a:t>Total Holding Cost by SKU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23B6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'Scenario D Dashboards'!$B$3</c:f>
              <c:strCache>
                <c:ptCount val="1"/>
                <c:pt idx="0">
                  <c:v>Total</c:v>
                </c:pt>
              </c:strCache>
            </c:strRef>
          </c:tx>
          <c:spPr>
            <a:solidFill>
              <a:schemeClr val="accent1"/>
            </a:solidFill>
            <a:ln>
              <a:noFill/>
            </a:ln>
            <a:effectLst/>
          </c:spPr>
          <c:invertIfNegative val="0"/>
          <c:dPt>
            <c:idx val="1"/>
            <c:invertIfNegative val="0"/>
            <c:bubble3D val="0"/>
            <c:spPr>
              <a:solidFill>
                <a:srgbClr val="823B62"/>
              </a:solidFill>
              <a:ln>
                <a:noFill/>
              </a:ln>
              <a:effectLst/>
            </c:spPr>
            <c:extLst>
              <c:ext xmlns:c16="http://schemas.microsoft.com/office/drawing/2014/chart" uri="{C3380CC4-5D6E-409C-BE32-E72D297353CC}">
                <c16:uniqueId val="{00000003-2C8F-9446-B5C0-508F5680B145}"/>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2C8F-9446-B5C0-508F5680B145}"/>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8F-9446-B5C0-508F5680B145}"/>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8F-9446-B5C0-508F5680B145}"/>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8F-9446-B5C0-508F5680B14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'Scenario D Dashboards'!$A$4:$A$7</c:f>
              <c:strCache>
                <c:ptCount val="3"/>
                <c:pt idx="0">
                  <c:v>SKU_A</c:v>
                </c:pt>
                <c:pt idx="1">
                  <c:v>SKU_B</c:v>
                </c:pt>
                <c:pt idx="2">
                  <c:v>SKU_C</c:v>
                </c:pt>
              </c:strCache>
            </c:strRef>
          </c:cat>
          <c:val>
            <c:numRef>
              <c:f>'Scenario D Dashboards'!$B$4:$B$7</c:f>
              <c:numCache>
                <c:formatCode>General</c:formatCode>
                <c:ptCount val="3"/>
                <c:pt idx="0">
                  <c:v>594</c:v>
                </c:pt>
                <c:pt idx="1">
                  <c:v>690</c:v>
                </c:pt>
                <c:pt idx="2">
                  <c:v>504</c:v>
                </c:pt>
              </c:numCache>
            </c:numRef>
          </c:val>
          <c:extLst>
            <c:ext xmlns:c16="http://schemas.microsoft.com/office/drawing/2014/chart" uri="{C3380CC4-5D6E-409C-BE32-E72D297353CC}">
              <c16:uniqueId val="{00000000-2C8F-9446-B5C0-508F5680B145}"/>
            </c:ext>
          </c:extLst>
        </c:ser>
        <c:dLbls>
          <c:showLegendKey val="0"/>
          <c:showVal val="0"/>
          <c:showCatName val="0"/>
          <c:showSerName val="0"/>
          <c:showPercent val="0"/>
          <c:showBubbleSize val="0"/>
        </c:dLbls>
        <c:gapWidth val="219"/>
        <c:overlap val="-27"/>
        <c:axId val="727817664"/>
        <c:axId val="727819376"/>
      </c:barChart>
      <c:catAx>
        <c:axId val="72781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19376"/>
        <c:crosses val="autoZero"/>
        <c:auto val="1"/>
        <c:lblAlgn val="ctr"/>
        <c:lblOffset val="100"/>
        <c:noMultiLvlLbl val="0"/>
      </c:catAx>
      <c:valAx>
        <c:axId val="7278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1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[Forecast_Accuracy_Simulation_SAP IBP.xlsx]Scenario D Dashboards!PivotTable8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FFC000"/>
                </a:solidFill>
              </a:rPr>
              <a:t>Monthly Inventory Overhang by SKU</a:t>
            </a:r>
            <a:endParaRPr lang="en-US" b="1">
              <a:solidFill>
                <a:srgbClr val="FFC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'Scenario D Dashboards'!$B$19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'Scenario D Dashboards'!$A$20:$A$29</c:f>
              <c:multiLvlStrCache>
                <c:ptCount val="6"/>
                <c:lvl>
                  <c:pt idx="0">
                    <c:v>2023</c:v>
                  </c:pt>
                  <c:pt idx="1">
                    <c:v>2024</c:v>
                  </c:pt>
                  <c:pt idx="2">
                    <c:v>2023</c:v>
                  </c:pt>
                  <c:pt idx="3">
                    <c:v>2024</c:v>
                  </c:pt>
                  <c:pt idx="4">
                    <c:v>2023</c:v>
                  </c:pt>
                  <c:pt idx="5">
                    <c:v>2024</c:v>
                  </c:pt>
                </c:lvl>
                <c:lvl>
                  <c:pt idx="0">
                    <c:v>SKU_A</c:v>
                  </c:pt>
                  <c:pt idx="2">
                    <c:v>SKU_B</c:v>
                  </c:pt>
                  <c:pt idx="4">
                    <c:v>SKU_C</c:v>
                  </c:pt>
                </c:lvl>
              </c:multiLvlStrCache>
            </c:multiLvlStrRef>
          </c:cat>
          <c:val>
            <c:numRef>
              <c:f>'Scenario D Dashboards'!$B$20:$B$29</c:f>
              <c:numCache>
                <c:formatCode>General</c:formatCode>
                <c:ptCount val="6"/>
                <c:pt idx="0">
                  <c:v>92</c:v>
                </c:pt>
                <c:pt idx="1">
                  <c:v>205</c:v>
                </c:pt>
                <c:pt idx="2">
                  <c:v>231</c:v>
                </c:pt>
                <c:pt idx="3">
                  <c:v>114</c:v>
                </c:pt>
                <c:pt idx="4">
                  <c:v>205</c:v>
                </c:pt>
                <c:pt idx="5">
                  <c:v>47</c:v>
                </c:pt>
              </c:numCache>
            </c:numRef>
          </c:val>
          <c:smooth val="0"/>
          <c:extLst>
            <c:ext xmlns:c16="http://schemas.microsoft.com/office/drawing/2014/chart" uri="{C3380CC4-5D6E-409C-BE32-E72D297353CC}">
              <c16:uniqueId val="{00000000-F4D4-2445-B077-15049D5DD6E0}"/>
            </c:ext>
          </c:extLst>
        </c:ser>
        <c:dLbls>
          <c:showLegendKey val="0"/>
          <c:showVal val="0"/>
          <c:showCatName val="0"/>
          <c:showSerName val="0"/>
          <c:showPercent val="0"/>
          <c:showBubbleSize val="0"/>
        </c:dLbls>
        <c:marker val="1"/>
        <c:smooth val="0"/>
        <c:axId val="1000478352"/>
        <c:axId val="1000480064"/>
      </c:lineChart>
      <c:catAx>
        <c:axId val="1000478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80064"/>
        <c:crosses val="autoZero"/>
        <c:auto val="1"/>
        <c:lblAlgn val="ctr"/>
        <c:lblOffset val="100"/>
        <c:noMultiLvlLbl val="0"/>
      </c:catAx>
      <c:valAx>
        <c:axId val="10004800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7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Forecast Accuracy Before vs After Demand Shock</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'Scenario_E Dashboard'!$D$16:$D$18</c:f>
              <c:strCache>
                <c:ptCount val="3"/>
                <c:pt idx="0">
                  <c:v>SKU_A</c:v>
                </c:pt>
                <c:pt idx="1">
                  <c:v>SKU_B</c:v>
                </c:pt>
                <c:pt idx="2">
                  <c:v>SKU_C</c:v>
                </c:pt>
              </c:strCache>
            </c:strRef>
          </c:cat>
          <c:val>
            <c:numRef>
              <c:f>'Scenario_E Dashboard'!$E$16:$E$18</c:f>
              <c:numCache>
                <c:formatCode>0.0%</c:formatCode>
                <c:ptCount val="3"/>
                <c:pt idx="0">
                  <c:v>0.23699999999999999</c:v>
                </c:pt>
                <c:pt idx="1">
                  <c:v>0.44</c:v>
                </c:pt>
                <c:pt idx="2">
                  <c:v>0.44</c:v>
                </c:pt>
              </c:numCache>
            </c:numRef>
          </c:val>
          <c:extLst>
            <c:ext xmlns:c16="http://schemas.microsoft.com/office/drawing/2014/chart" uri="{C3380CC4-5D6E-409C-BE32-E72D297353CC}">
              <c16:uniqueId val="{00000000-9C82-A740-9697-239D3B79D8F8}"/>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'Scenario_E Dashboard'!$D$16:$D$18</c:f>
              <c:strCache>
                <c:ptCount val="3"/>
                <c:pt idx="0">
                  <c:v>SKU_A</c:v>
                </c:pt>
                <c:pt idx="1">
                  <c:v>SKU_B</c:v>
                </c:pt>
                <c:pt idx="2">
                  <c:v>SKU_C</c:v>
                </c:pt>
              </c:strCache>
            </c:strRef>
          </c:cat>
          <c:val>
            <c:numRef>
              <c:f>'Scenario_E Dashboard'!$F$16:$F$18</c:f>
              <c:numCache>
                <c:formatCode>0.0%</c:formatCode>
                <c:ptCount val="3"/>
                <c:pt idx="0">
                  <c:v>0.35199999999999998</c:v>
                </c:pt>
                <c:pt idx="1">
                  <c:v>0.51700000000000002</c:v>
                </c:pt>
                <c:pt idx="2">
                  <c:v>0.45100000000000001</c:v>
                </c:pt>
              </c:numCache>
            </c:numRef>
          </c:val>
          <c:extLst>
            <c:ext xmlns:c16="http://schemas.microsoft.com/office/drawing/2014/chart" uri="{C3380CC4-5D6E-409C-BE32-E72D297353CC}">
              <c16:uniqueId val="{00000001-9C82-A740-9697-239D3B79D8F8}"/>
            </c:ext>
          </c:extLst>
        </c:ser>
        <c:dLbls>
          <c:dLblPos val="outEnd"/>
          <c:showLegendKey val="0"/>
          <c:showVal val="1"/>
          <c:showCatName val="0"/>
          <c:showSerName val="0"/>
          <c:showPercent val="0"/>
          <c:showBubbleSize val="0"/>
        </c:dLbls>
        <c:gapWidth val="219"/>
        <c:overlap val="-27"/>
        <c:axId val="1709079312"/>
        <c:axId val="1709081024"/>
      </c:barChart>
      <c:catAx>
        <c:axId val="170907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081024"/>
        <c:crosses val="autoZero"/>
        <c:auto val="1"/>
        <c:lblAlgn val="ctr"/>
        <c:lblOffset val="100"/>
        <c:noMultiLvlLbl val="0"/>
      </c:catAx>
      <c:valAx>
        <c:axId val="17090810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079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[Forecast_Accuracy_Simulation_SAP IBP.xlsx]Scenario_F Dashboards!PivotTable10</c:name>
    <c:fmtId val="2"/>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'Scenario_F Dashboards'!$B$3</c:f>
              <c:strCache>
                <c:ptCount val="1"/>
                <c:pt idx="0">
                  <c:v>Sum of Forecast_Revenue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'Scenario_F Dashboards'!$A$4:$A$7</c:f>
              <c:strCache>
                <c:ptCount val="3"/>
                <c:pt idx="0">
                  <c:v>SKU_A</c:v>
                </c:pt>
                <c:pt idx="1">
                  <c:v>SKU_B</c:v>
                </c:pt>
                <c:pt idx="2">
                  <c:v>SKU_C</c:v>
                </c:pt>
              </c:strCache>
            </c:strRef>
          </c:cat>
          <c:val>
            <c:numRef>
              <c:f>'Scenario_F Dashboards'!$B$4:$B$7</c:f>
              <c:numCache>
                <c:formatCode>"$"#,##0.00</c:formatCode>
                <c:ptCount val="3"/>
                <c:pt idx="0">
                  <c:v>132050</c:v>
                </c:pt>
                <c:pt idx="1">
                  <c:v>158004</c:v>
                </c:pt>
                <c:pt idx="2">
                  <c:v>196080</c:v>
                </c:pt>
              </c:numCache>
            </c:numRef>
          </c:val>
          <c:extLst>
            <c:ext xmlns:c16="http://schemas.microsoft.com/office/drawing/2014/chart" uri="{C3380CC4-5D6E-409C-BE32-E72D297353CC}">
              <c16:uniqueId val="{00000000-1C2D-6449-9F7F-D3746EEBC5B1}"/>
            </c:ext>
          </c:extLst>
        </c:ser>
        <c:ser>
          <c:idx val="1"/>
          <c:order val="1"/>
          <c:tx>
            <c:strRef>
              <c:f>'Scenario_F Dashboards'!$C$3</c:f>
              <c:strCache>
                <c:ptCount val="1"/>
                <c:pt idx="0">
                  <c:v>Sum of Actual_Revenue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'Scenario_F Dashboards'!$A$4:$A$7</c:f>
              <c:strCache>
                <c:ptCount val="3"/>
                <c:pt idx="0">
                  <c:v>SKU_A</c:v>
                </c:pt>
                <c:pt idx="1">
                  <c:v>SKU_B</c:v>
                </c:pt>
                <c:pt idx="2">
                  <c:v>SKU_C</c:v>
                </c:pt>
              </c:strCache>
            </c:strRef>
          </c:cat>
          <c:val>
            <c:numRef>
              <c:f>'Scenario_F Dashboards'!$C$4:$C$7</c:f>
              <c:numCache>
                <c:formatCode>"$"#,##0.00</c:formatCode>
                <c:ptCount val="3"/>
                <c:pt idx="0">
                  <c:v>133130</c:v>
                </c:pt>
                <c:pt idx="1">
                  <c:v>156576</c:v>
                </c:pt>
                <c:pt idx="2">
                  <c:v>195075</c:v>
                </c:pt>
              </c:numCache>
            </c:numRef>
          </c:val>
          <c:extLst>
            <c:ext xmlns:c16="http://schemas.microsoft.com/office/drawing/2014/chart" uri="{C3380CC4-5D6E-409C-BE32-E72D297353CC}">
              <c16:uniqueId val="{00000001-1C2D-6449-9F7F-D3746EEBC5B1}"/>
            </c:ext>
          </c:extLst>
        </c:ser>
        <c:ser>
          <c:idx val="2"/>
          <c:order val="2"/>
          <c:tx>
            <c:strRef>
              <c:f>'Scenario_F Dashboards'!$D$3</c:f>
              <c:strCache>
                <c:ptCount val="1"/>
                <c:pt idx="0">
                  <c:v>Sum of Revenue_Variance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'Scenario_F Dashboards'!$A$4:$A$7</c:f>
              <c:strCache>
                <c:ptCount val="3"/>
                <c:pt idx="0">
                  <c:v>SKU_A</c:v>
                </c:pt>
                <c:pt idx="1">
                  <c:v>SKU_B</c:v>
                </c:pt>
                <c:pt idx="2">
                  <c:v>SKU_C</c:v>
                </c:pt>
              </c:strCache>
            </c:strRef>
          </c:cat>
          <c:val>
            <c:numRef>
              <c:f>'Scenario_F Dashboards'!$D$4:$D$7</c:f>
              <c:numCache>
                <c:formatCode>General</c:formatCode>
                <c:ptCount val="3"/>
                <c:pt idx="0">
                  <c:v>-1080</c:v>
                </c:pt>
                <c:pt idx="1">
                  <c:v>1428</c:v>
                </c:pt>
                <c:pt idx="2">
                  <c:v>1005</c:v>
                </c:pt>
              </c:numCache>
            </c:numRef>
          </c:val>
          <c:extLst>
            <c:ext xmlns:c16="http://schemas.microsoft.com/office/drawing/2014/chart" uri="{C3380CC4-5D6E-409C-BE32-E72D297353CC}">
              <c16:uniqueId val="{00000002-1C2D-6449-9F7F-D3746EEBC5B1}"/>
            </c:ext>
          </c:extLst>
        </c:ser>
        <c:dLbls>
          <c:showLegendKey val="0"/>
          <c:showVal val="1"/>
          <c:showCatName val="0"/>
          <c:showSerName val="0"/>
          <c:showPercent val="0"/>
          <c:showBubbleSize val="0"/>
        </c:dLbls>
        <c:gapWidth val="219"/>
        <c:overlap val="-27"/>
        <c:axId val="2088261680"/>
        <c:axId val="2088265680"/>
      </c:barChart>
      <c:catAx>
        <c:axId val="208826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65680"/>
        <c:crosses val="autoZero"/>
        <c:auto val="1"/>
        <c:lblAlgn val="ctr"/>
        <c:lblOffset val="100"/>
        <c:noMultiLvlLbl val="0"/>
      </c:catAx>
      <c:valAx>
        <c:axId val="2088265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6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latin typeface="Times New Roman" panose="02020603050405020304" pitchFamily="18" charset="0"/>
                <a:cs typeface="Times New Roman" panose="02020603050405020304" pitchFamily="18" charset="0"/>
              </a:rPr>
              <a:t>Total Forecast Revenue vs Cash Realized by SKU</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Scenario_F_Forecast_to_Cash!$F$83</c:f>
              <c:strCache>
                <c:ptCount val="1"/>
                <c:pt idx="0">
                  <c:v>Total Forecast Revenue</c:v>
                </c:pt>
              </c:strCache>
            </c:strRef>
          </c:tx>
          <c:spPr>
            <a:solidFill>
              <a:schemeClr val="accent1"/>
            </a:solidFill>
            <a:ln>
              <a:noFill/>
            </a:ln>
            <a:effectLst/>
          </c:spPr>
          <c:invertIfNegative val="0"/>
          <c:cat>
            <c:strRef>
              <c:f>Scenario_F_Forecast_to_Cash!$E$84:$E$86</c:f>
              <c:strCache>
                <c:ptCount val="3"/>
                <c:pt idx="0">
                  <c:v>SKU_A</c:v>
                </c:pt>
                <c:pt idx="1">
                  <c:v>SKU_B</c:v>
                </c:pt>
                <c:pt idx="2">
                  <c:v>SKU_C</c:v>
                </c:pt>
              </c:strCache>
            </c:strRef>
          </c:cat>
          <c:val>
            <c:numRef>
              <c:f>Scenario_F_Forecast_to_Cash!$F$84:$F$86</c:f>
              <c:numCache>
                <c:formatCode>"$"#,##0.00</c:formatCode>
                <c:ptCount val="3"/>
                <c:pt idx="0">
                  <c:v>132050</c:v>
                </c:pt>
                <c:pt idx="1">
                  <c:v>158004</c:v>
                </c:pt>
                <c:pt idx="2">
                  <c:v>196080</c:v>
                </c:pt>
              </c:numCache>
            </c:numRef>
          </c:val>
          <c:extLst>
            <c:ext xmlns:c16="http://schemas.microsoft.com/office/drawing/2014/chart" uri="{C3380CC4-5D6E-409C-BE32-E72D297353CC}">
              <c16:uniqueId val="{00000000-27D0-AF43-8176-8554B61F2C35}"/>
            </c:ext>
          </c:extLst>
        </c:ser>
        <c:ser>
          <c:idx val="1"/>
          <c:order val="1"/>
          <c:tx>
            <c:strRef>
              <c:f>Scenario_F_Forecast_to_Cash!$G$83</c:f>
              <c:strCache>
                <c:ptCount val="1"/>
                <c:pt idx="0">
                  <c:v>Total Actual Revenue</c:v>
                </c:pt>
              </c:strCache>
            </c:strRef>
          </c:tx>
          <c:spPr>
            <a:solidFill>
              <a:schemeClr val="accent6">
                <a:lumMod val="75000"/>
              </a:schemeClr>
            </a:solidFill>
            <a:ln>
              <a:noFill/>
            </a:ln>
            <a:effectLst/>
          </c:spPr>
          <c:invertIfNegative val="0"/>
          <c:cat>
            <c:strRef>
              <c:f>Scenario_F_Forecast_to_Cash!$E$84:$E$86</c:f>
              <c:strCache>
                <c:ptCount val="3"/>
                <c:pt idx="0">
                  <c:v>SKU_A</c:v>
                </c:pt>
                <c:pt idx="1">
                  <c:v>SKU_B</c:v>
                </c:pt>
                <c:pt idx="2">
                  <c:v>SKU_C</c:v>
                </c:pt>
              </c:strCache>
            </c:strRef>
          </c:cat>
          <c:val>
            <c:numRef>
              <c:f>Scenario_F_Forecast_to_Cash!$G$84:$G$86</c:f>
              <c:numCache>
                <c:formatCode>"$"#,##0.00</c:formatCode>
                <c:ptCount val="3"/>
                <c:pt idx="0">
                  <c:v>133130</c:v>
                </c:pt>
                <c:pt idx="1">
                  <c:v>156576</c:v>
                </c:pt>
                <c:pt idx="2">
                  <c:v>195075</c:v>
                </c:pt>
              </c:numCache>
            </c:numRef>
          </c:val>
          <c:extLst>
            <c:ext xmlns:c16="http://schemas.microsoft.com/office/drawing/2014/chart" uri="{C3380CC4-5D6E-409C-BE32-E72D297353CC}">
              <c16:uniqueId val="{00000001-27D0-AF43-8176-8554B61F2C35}"/>
            </c:ext>
          </c:extLst>
        </c:ser>
        <c:ser>
          <c:idx val="2"/>
          <c:order val="2"/>
          <c:tx>
            <c:strRef>
              <c:f>Scenario_F_Forecast_to_Cash!$H$83</c:f>
              <c:strCache>
                <c:ptCount val="1"/>
                <c:pt idx="0">
                  <c:v>Revenue Variance</c:v>
                </c:pt>
              </c:strCache>
            </c:strRef>
          </c:tx>
          <c:spPr>
            <a:solidFill>
              <a:srgbClr val="C00000"/>
            </a:solidFill>
            <a:ln>
              <a:noFill/>
            </a:ln>
            <a:effectLst/>
          </c:spPr>
          <c:invertIfNegative val="0"/>
          <c:cat>
            <c:strRef>
              <c:f>Scenario_F_Forecast_to_Cash!$E$84:$E$86</c:f>
              <c:strCache>
                <c:ptCount val="3"/>
                <c:pt idx="0">
                  <c:v>SKU_A</c:v>
                </c:pt>
                <c:pt idx="1">
                  <c:v>SKU_B</c:v>
                </c:pt>
                <c:pt idx="2">
                  <c:v>SKU_C</c:v>
                </c:pt>
              </c:strCache>
            </c:strRef>
          </c:cat>
          <c:val>
            <c:numRef>
              <c:f>Scenario_F_Forecast_to_Cash!$H$84:$H$86</c:f>
              <c:numCache>
                <c:formatCode>General</c:formatCode>
                <c:ptCount val="3"/>
                <c:pt idx="0">
                  <c:v>-1080</c:v>
                </c:pt>
                <c:pt idx="1">
                  <c:v>1428</c:v>
                </c:pt>
                <c:pt idx="2">
                  <c:v>1005</c:v>
                </c:pt>
              </c:numCache>
            </c:numRef>
          </c:val>
          <c:extLst>
            <c:ext xmlns:c16="http://schemas.microsoft.com/office/drawing/2014/chart" uri="{C3380CC4-5D6E-409C-BE32-E72D297353CC}">
              <c16:uniqueId val="{00000002-27D0-AF43-8176-8554B61F2C35}"/>
            </c:ext>
          </c:extLst>
        </c:ser>
        <c:ser>
          <c:idx val="3"/>
          <c:order val="3"/>
          <c:tx>
            <c:strRef>
              <c:f>Scenario_F_Forecast_to_Cash!$I$83</c:f>
              <c:strCache>
                <c:ptCount val="1"/>
                <c:pt idx="0">
                  <c:v>Total Cash Realized</c:v>
                </c:pt>
              </c:strCache>
            </c:strRef>
          </c:tx>
          <c:spPr>
            <a:solidFill>
              <a:schemeClr val="accent4"/>
            </a:solidFill>
            <a:ln>
              <a:noFill/>
            </a:ln>
            <a:effectLst/>
          </c:spPr>
          <c:invertIfNegative val="0"/>
          <c:cat>
            <c:strRef>
              <c:f>Scenario_F_Forecast_to_Cash!$E$84:$E$86</c:f>
              <c:strCache>
                <c:ptCount val="3"/>
                <c:pt idx="0">
                  <c:v>SKU_A</c:v>
                </c:pt>
                <c:pt idx="1">
                  <c:v>SKU_B</c:v>
                </c:pt>
                <c:pt idx="2">
                  <c:v>SKU_C</c:v>
                </c:pt>
              </c:strCache>
            </c:strRef>
          </c:cat>
          <c:val>
            <c:numRef>
              <c:f>Scenario_F_Forecast_to_Cash!$I$84:$I$86</c:f>
              <c:numCache>
                <c:formatCode>"$"#,##0.00</c:formatCode>
                <c:ptCount val="3"/>
                <c:pt idx="0">
                  <c:v>127820</c:v>
                </c:pt>
                <c:pt idx="1">
                  <c:v>149676</c:v>
                </c:pt>
                <c:pt idx="2">
                  <c:v>187080</c:v>
                </c:pt>
              </c:numCache>
            </c:numRef>
          </c:val>
          <c:extLst>
            <c:ext xmlns:c16="http://schemas.microsoft.com/office/drawing/2014/chart" uri="{C3380CC4-5D6E-409C-BE32-E72D297353CC}">
              <c16:uniqueId val="{00000003-27D0-AF43-8176-8554B61F2C35}"/>
            </c:ext>
          </c:extLst>
        </c:ser>
        <c:dLbls>
          <c:showLegendKey val="0"/>
          <c:showVal val="0"/>
          <c:showCatName val="0"/>
          <c:showSerName val="0"/>
          <c:showPercent val="0"/>
          <c:showBubbleSize val="0"/>
        </c:dLbls>
        <c:gapWidth val="219"/>
        <c:overlap val="-27"/>
        <c:axId val="1054409359"/>
        <c:axId val="2017510224"/>
      </c:barChart>
      <c:catAx>
        <c:axId val="105440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510224"/>
        <c:crosses val="autoZero"/>
        <c:auto val="1"/>
        <c:lblAlgn val="ctr"/>
        <c:lblOffset val="100"/>
        <c:noMultiLvlLbl val="0"/>
      </c:catAx>
      <c:valAx>
        <c:axId val="2017510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409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latin typeface="Times New Roman" panose="02020603050405020304" pitchFamily="18" charset="0"/>
                <a:cs typeface="Times New Roman" panose="02020603050405020304" pitchFamily="18" charset="0"/>
              </a:rPr>
              <a:t>Monthly Cash Realization – SKU_C</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Scenario_F_Forecast_to_Cash!$A$50:$A$73</c:f>
              <c:numCache>
                <c:formatCode>m/d/yy</c:formatCode>
                <c:ptCount val="24"/>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pt idx="21">
                  <c:v>45566</c:v>
                </c:pt>
                <c:pt idx="22">
                  <c:v>45597</c:v>
                </c:pt>
                <c:pt idx="23">
                  <c:v>45627</c:v>
                </c:pt>
              </c:numCache>
            </c:numRef>
          </c:cat>
          <c:val>
            <c:numRef>
              <c:f>Scenario_F_Forecast_to_Cash!$I$50:$I$73</c:f>
              <c:numCache>
                <c:formatCode>"$"#,##0.00</c:formatCode>
                <c:ptCount val="24"/>
                <c:pt idx="0">
                  <c:v>0</c:v>
                </c:pt>
                <c:pt idx="1">
                  <c:v>8295</c:v>
                </c:pt>
                <c:pt idx="2">
                  <c:v>7305</c:v>
                </c:pt>
                <c:pt idx="3">
                  <c:v>7905</c:v>
                </c:pt>
                <c:pt idx="4">
                  <c:v>7695</c:v>
                </c:pt>
                <c:pt idx="5">
                  <c:v>8610</c:v>
                </c:pt>
                <c:pt idx="6">
                  <c:v>7920</c:v>
                </c:pt>
                <c:pt idx="7">
                  <c:v>7920</c:v>
                </c:pt>
                <c:pt idx="8">
                  <c:v>8055</c:v>
                </c:pt>
                <c:pt idx="9">
                  <c:v>8355</c:v>
                </c:pt>
                <c:pt idx="10">
                  <c:v>7575</c:v>
                </c:pt>
                <c:pt idx="11">
                  <c:v>8670</c:v>
                </c:pt>
                <c:pt idx="12">
                  <c:v>7470</c:v>
                </c:pt>
                <c:pt idx="13">
                  <c:v>8760</c:v>
                </c:pt>
                <c:pt idx="14">
                  <c:v>8355</c:v>
                </c:pt>
                <c:pt idx="15">
                  <c:v>8430</c:v>
                </c:pt>
                <c:pt idx="16">
                  <c:v>8820</c:v>
                </c:pt>
                <c:pt idx="17">
                  <c:v>7635</c:v>
                </c:pt>
                <c:pt idx="18">
                  <c:v>8745</c:v>
                </c:pt>
                <c:pt idx="19">
                  <c:v>7395</c:v>
                </c:pt>
                <c:pt idx="20">
                  <c:v>8535</c:v>
                </c:pt>
                <c:pt idx="21">
                  <c:v>7770</c:v>
                </c:pt>
                <c:pt idx="22">
                  <c:v>7890</c:v>
                </c:pt>
                <c:pt idx="23">
                  <c:v>8970</c:v>
                </c:pt>
              </c:numCache>
            </c:numRef>
          </c:val>
          <c:smooth val="0"/>
          <c:extLst>
            <c:ext xmlns:c16="http://schemas.microsoft.com/office/drawing/2014/chart" uri="{C3380CC4-5D6E-409C-BE32-E72D297353CC}">
              <c16:uniqueId val="{00000000-7FE6-B745-AD32-EB3700B8B79E}"/>
            </c:ext>
          </c:extLst>
        </c:ser>
        <c:dLbls>
          <c:showLegendKey val="0"/>
          <c:showVal val="0"/>
          <c:showCatName val="0"/>
          <c:showSerName val="0"/>
          <c:showPercent val="0"/>
          <c:showBubbleSize val="0"/>
        </c:dLbls>
        <c:marker val="1"/>
        <c:smooth val="0"/>
        <c:axId val="852432560"/>
        <c:axId val="852434272"/>
      </c:lineChart>
      <c:dateAx>
        <c:axId val="85243256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434272"/>
        <c:crosses val="autoZero"/>
        <c:auto val="1"/>
        <c:lblOffset val="100"/>
        <c:baseTimeUnit val="months"/>
      </c:dateAx>
      <c:valAx>
        <c:axId val="852434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43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latin typeface="Times New Roman" panose="02020603050405020304" pitchFamily="18" charset="0"/>
                <a:cs typeface="Times New Roman" panose="02020603050405020304" pitchFamily="18" charset="0"/>
              </a:rPr>
              <a:t>Monthly Cash Realization – SKU_B</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Scenario_F_Forecast_to_Cash!$A$26:$A$49</c:f>
              <c:numCache>
                <c:formatCode>m/d/yy</c:formatCode>
                <c:ptCount val="24"/>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pt idx="21">
                  <c:v>45566</c:v>
                </c:pt>
                <c:pt idx="22">
                  <c:v>45597</c:v>
                </c:pt>
                <c:pt idx="23">
                  <c:v>45627</c:v>
                </c:pt>
              </c:numCache>
            </c:numRef>
          </c:cat>
          <c:val>
            <c:numRef>
              <c:f>Scenario_F_Forecast_to_Cash!$I$26:$I$49</c:f>
              <c:numCache>
                <c:formatCode>"$"#,##0.00</c:formatCode>
                <c:ptCount val="24"/>
                <c:pt idx="0">
                  <c:v>0</c:v>
                </c:pt>
                <c:pt idx="1">
                  <c:v>6600</c:v>
                </c:pt>
                <c:pt idx="2">
                  <c:v>5856</c:v>
                </c:pt>
                <c:pt idx="3">
                  <c:v>6864</c:v>
                </c:pt>
                <c:pt idx="4">
                  <c:v>5844</c:v>
                </c:pt>
                <c:pt idx="5">
                  <c:v>5532</c:v>
                </c:pt>
                <c:pt idx="6">
                  <c:v>5748</c:v>
                </c:pt>
                <c:pt idx="7">
                  <c:v>6240</c:v>
                </c:pt>
                <c:pt idx="8">
                  <c:v>6084</c:v>
                </c:pt>
                <c:pt idx="9">
                  <c:v>6840</c:v>
                </c:pt>
                <c:pt idx="10">
                  <c:v>7416</c:v>
                </c:pt>
                <c:pt idx="11">
                  <c:v>7056</c:v>
                </c:pt>
                <c:pt idx="12">
                  <c:v>6468</c:v>
                </c:pt>
                <c:pt idx="13">
                  <c:v>6996</c:v>
                </c:pt>
                <c:pt idx="14">
                  <c:v>6300</c:v>
                </c:pt>
                <c:pt idx="15">
                  <c:v>5856</c:v>
                </c:pt>
                <c:pt idx="16">
                  <c:v>7260</c:v>
                </c:pt>
                <c:pt idx="17">
                  <c:v>6672</c:v>
                </c:pt>
                <c:pt idx="18">
                  <c:v>7044</c:v>
                </c:pt>
                <c:pt idx="19">
                  <c:v>6576</c:v>
                </c:pt>
                <c:pt idx="20">
                  <c:v>6816</c:v>
                </c:pt>
                <c:pt idx="21">
                  <c:v>6864</c:v>
                </c:pt>
                <c:pt idx="22">
                  <c:v>6264</c:v>
                </c:pt>
                <c:pt idx="23">
                  <c:v>6480</c:v>
                </c:pt>
              </c:numCache>
            </c:numRef>
          </c:val>
          <c:smooth val="0"/>
          <c:extLst>
            <c:ext xmlns:c16="http://schemas.microsoft.com/office/drawing/2014/chart" uri="{C3380CC4-5D6E-409C-BE32-E72D297353CC}">
              <c16:uniqueId val="{00000000-EECA-C54B-97BD-C2626D4828C5}"/>
            </c:ext>
          </c:extLst>
        </c:ser>
        <c:dLbls>
          <c:showLegendKey val="0"/>
          <c:showVal val="0"/>
          <c:showCatName val="0"/>
          <c:showSerName val="0"/>
          <c:showPercent val="0"/>
          <c:showBubbleSize val="0"/>
        </c:dLbls>
        <c:marker val="1"/>
        <c:smooth val="0"/>
        <c:axId val="2083145200"/>
        <c:axId val="2083146912"/>
      </c:lineChart>
      <c:dateAx>
        <c:axId val="208314520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146912"/>
        <c:crosses val="autoZero"/>
        <c:auto val="1"/>
        <c:lblOffset val="100"/>
        <c:baseTimeUnit val="months"/>
      </c:dateAx>
      <c:valAx>
        <c:axId val="2083146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14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Monthly Cash Realization – SKU_A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Scenario_F_Forecast_to_Cash!$A$2:$A$25</c:f>
              <c:numCache>
                <c:formatCode>m/d/yy</c:formatCode>
                <c:ptCount val="24"/>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pt idx="21">
                  <c:v>45566</c:v>
                </c:pt>
                <c:pt idx="22">
                  <c:v>45597</c:v>
                </c:pt>
                <c:pt idx="23">
                  <c:v>45627</c:v>
                </c:pt>
              </c:numCache>
            </c:numRef>
          </c:cat>
          <c:val>
            <c:numRef>
              <c:f>Scenario_F_Forecast_to_Cash!$I$2:$I$25</c:f>
              <c:numCache>
                <c:formatCode>"$"#,##0.00</c:formatCode>
                <c:ptCount val="24"/>
                <c:pt idx="0">
                  <c:v>0</c:v>
                </c:pt>
                <c:pt idx="1">
                  <c:v>5940</c:v>
                </c:pt>
                <c:pt idx="2">
                  <c:v>6380</c:v>
                </c:pt>
                <c:pt idx="3">
                  <c:v>4410</c:v>
                </c:pt>
                <c:pt idx="4">
                  <c:v>5890</c:v>
                </c:pt>
                <c:pt idx="5">
                  <c:v>5530</c:v>
                </c:pt>
                <c:pt idx="6">
                  <c:v>5160</c:v>
                </c:pt>
                <c:pt idx="7">
                  <c:v>5380</c:v>
                </c:pt>
                <c:pt idx="8">
                  <c:v>6300</c:v>
                </c:pt>
                <c:pt idx="9">
                  <c:v>5740</c:v>
                </c:pt>
                <c:pt idx="10">
                  <c:v>5840</c:v>
                </c:pt>
                <c:pt idx="11">
                  <c:v>5990</c:v>
                </c:pt>
                <c:pt idx="12">
                  <c:v>6230</c:v>
                </c:pt>
                <c:pt idx="13">
                  <c:v>5150</c:v>
                </c:pt>
                <c:pt idx="14">
                  <c:v>5020</c:v>
                </c:pt>
                <c:pt idx="15">
                  <c:v>5230</c:v>
                </c:pt>
                <c:pt idx="16">
                  <c:v>5710</c:v>
                </c:pt>
                <c:pt idx="17">
                  <c:v>4970</c:v>
                </c:pt>
                <c:pt idx="18">
                  <c:v>5870</c:v>
                </c:pt>
                <c:pt idx="19">
                  <c:v>5070</c:v>
                </c:pt>
                <c:pt idx="20">
                  <c:v>5140</c:v>
                </c:pt>
                <c:pt idx="21">
                  <c:v>5290</c:v>
                </c:pt>
                <c:pt idx="22">
                  <c:v>6100</c:v>
                </c:pt>
                <c:pt idx="23">
                  <c:v>5480</c:v>
                </c:pt>
              </c:numCache>
            </c:numRef>
          </c:val>
          <c:smooth val="0"/>
          <c:extLst>
            <c:ext xmlns:c16="http://schemas.microsoft.com/office/drawing/2014/chart" uri="{C3380CC4-5D6E-409C-BE32-E72D297353CC}">
              <c16:uniqueId val="{00000000-6519-324E-9ED4-064F6943FFAF}"/>
            </c:ext>
          </c:extLst>
        </c:ser>
        <c:dLbls>
          <c:showLegendKey val="0"/>
          <c:showVal val="0"/>
          <c:showCatName val="0"/>
          <c:showSerName val="0"/>
          <c:showPercent val="0"/>
          <c:showBubbleSize val="0"/>
        </c:dLbls>
        <c:marker val="1"/>
        <c:smooth val="0"/>
        <c:axId val="2088661536"/>
        <c:axId val="245418335"/>
      </c:lineChart>
      <c:dateAx>
        <c:axId val="2088661536"/>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418335"/>
        <c:crosses val="autoZero"/>
        <c:auto val="1"/>
        <c:lblOffset val="100"/>
        <c:baseTimeUnit val="months"/>
      </c:dateAx>
      <c:valAx>
        <c:axId val="245418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66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latin typeface="Times New Roman" panose="02020603050405020304" pitchFamily="18" charset="0"/>
                <a:cs typeface="Times New Roman" panose="02020603050405020304" pitchFamily="18" charset="0"/>
              </a:rPr>
              <a:t>Forecast vs Actual Margin by SKU</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Advanced_KPIs!$J$1</c:f>
              <c:strCache>
                <c:ptCount val="1"/>
                <c:pt idx="0">
                  <c:v>Forecast Margin</c:v>
                </c:pt>
              </c:strCache>
            </c:strRef>
          </c:tx>
          <c:spPr>
            <a:solidFill>
              <a:schemeClr val="accent6"/>
            </a:solidFill>
            <a:ln>
              <a:noFill/>
            </a:ln>
            <a:effectLst/>
          </c:spPr>
          <c:invertIfNegative val="0"/>
          <c:cat>
            <c:strRef>
              <c:f>Advanced_KPIs!$A$2:$A$4</c:f>
              <c:strCache>
                <c:ptCount val="3"/>
                <c:pt idx="0">
                  <c:v>SKU_A</c:v>
                </c:pt>
                <c:pt idx="1">
                  <c:v>SKU_B</c:v>
                </c:pt>
                <c:pt idx="2">
                  <c:v>SKU_C</c:v>
                </c:pt>
              </c:strCache>
            </c:strRef>
          </c:cat>
          <c:val>
            <c:numRef>
              <c:f>Advanced_KPIs!$J$2:$J$4</c:f>
              <c:numCache>
                <c:formatCode>"$"#,##0.00</c:formatCode>
                <c:ptCount val="3"/>
                <c:pt idx="0">
                  <c:v>2760230</c:v>
                </c:pt>
                <c:pt idx="1">
                  <c:v>3528150</c:v>
                </c:pt>
                <c:pt idx="2">
                  <c:v>3583250</c:v>
                </c:pt>
              </c:numCache>
            </c:numRef>
          </c:val>
          <c:extLst>
            <c:ext xmlns:c16="http://schemas.microsoft.com/office/drawing/2014/chart" uri="{C3380CC4-5D6E-409C-BE32-E72D297353CC}">
              <c16:uniqueId val="{00000000-5812-AF4D-BB95-79F0D5421225}"/>
            </c:ext>
          </c:extLst>
        </c:ser>
        <c:ser>
          <c:idx val="1"/>
          <c:order val="1"/>
          <c:tx>
            <c:strRef>
              <c:f>Advanced_KPIs!$K$1</c:f>
              <c:strCache>
                <c:ptCount val="1"/>
                <c:pt idx="0">
                  <c:v>Actual Margin</c:v>
                </c:pt>
              </c:strCache>
            </c:strRef>
          </c:tx>
          <c:spPr>
            <a:solidFill>
              <a:schemeClr val="accent2"/>
            </a:solidFill>
            <a:ln>
              <a:noFill/>
            </a:ln>
            <a:effectLst/>
          </c:spPr>
          <c:invertIfNegative val="0"/>
          <c:cat>
            <c:strRef>
              <c:f>Advanced_KPIs!$A$2:$A$4</c:f>
              <c:strCache>
                <c:ptCount val="3"/>
                <c:pt idx="0">
                  <c:v>SKU_A</c:v>
                </c:pt>
                <c:pt idx="1">
                  <c:v>SKU_B</c:v>
                </c:pt>
                <c:pt idx="2">
                  <c:v>SKU_C</c:v>
                </c:pt>
              </c:strCache>
            </c:strRef>
          </c:cat>
          <c:val>
            <c:numRef>
              <c:f>Advanced_KPIs!$K$2:$K$4</c:f>
              <c:numCache>
                <c:formatCode>"$"#,##0.00</c:formatCode>
                <c:ptCount val="3"/>
                <c:pt idx="0">
                  <c:v>2760230</c:v>
                </c:pt>
                <c:pt idx="1">
                  <c:v>3528150</c:v>
                </c:pt>
                <c:pt idx="2">
                  <c:v>3583250</c:v>
                </c:pt>
              </c:numCache>
            </c:numRef>
          </c:val>
          <c:extLst>
            <c:ext xmlns:c16="http://schemas.microsoft.com/office/drawing/2014/chart" uri="{C3380CC4-5D6E-409C-BE32-E72D297353CC}">
              <c16:uniqueId val="{00000001-5812-AF4D-BB95-79F0D5421225}"/>
            </c:ext>
          </c:extLst>
        </c:ser>
        <c:dLbls>
          <c:dLblPos val="outEnd"/>
          <c:showLegendKey val="0"/>
          <c:showVal val="0"/>
          <c:showCatName val="0"/>
          <c:showSerName val="0"/>
          <c:showPercent val="0"/>
          <c:showBubbleSize val="0"/>
        </c:dLbls>
        <c:gapWidth val="219"/>
        <c:overlap val="-27"/>
        <c:axId val="319748879"/>
        <c:axId val="319750591"/>
      </c:barChart>
      <c:catAx>
        <c:axId val="31974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50591"/>
        <c:crosses val="autoZero"/>
        <c:auto val="1"/>
        <c:lblAlgn val="ctr"/>
        <c:lblOffset val="100"/>
        <c:noMultiLvlLbl val="0"/>
      </c:catAx>
      <c:valAx>
        <c:axId val="3197505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48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latin typeface="Times New Roman" panose="02020603050405020304" pitchFamily="18" charset="0"/>
                <a:cs typeface="Times New Roman" panose="02020603050405020304" pitchFamily="18" charset="0"/>
              </a:rPr>
              <a:t>MAPE by SKU</a:t>
            </a:r>
            <a:endParaRPr lang="en-US" sz="18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KPI_Summary!$A$2:$A$4</c:f>
              <c:strCache>
                <c:ptCount val="3"/>
                <c:pt idx="0">
                  <c:v>SKU_A</c:v>
                </c:pt>
                <c:pt idx="1">
                  <c:v>SKU_B</c:v>
                </c:pt>
                <c:pt idx="2">
                  <c:v>SKU_C</c:v>
                </c:pt>
              </c:strCache>
            </c:strRef>
          </c:cat>
          <c:val>
            <c:numRef>
              <c:f>KPI_Summary!$B$2:$B$4</c:f>
              <c:numCache>
                <c:formatCode>0%</c:formatCode>
                <c:ptCount val="3"/>
                <c:pt idx="0">
                  <c:v>4.1217908792200421E-2</c:v>
                </c:pt>
                <c:pt idx="1">
                  <c:v>3.8530436320863115E-2</c:v>
                </c:pt>
                <c:pt idx="2">
                  <c:v>4.8186239327551582E-2</c:v>
                </c:pt>
              </c:numCache>
            </c:numRef>
          </c:val>
          <c:extLst>
            <c:ext xmlns:c16="http://schemas.microsoft.com/office/drawing/2014/chart" uri="{C3380CC4-5D6E-409C-BE32-E72D297353CC}">
              <c16:uniqueId val="{00000000-37FE-5C4A-A9F1-935665AE80AC}"/>
            </c:ext>
          </c:extLst>
        </c:ser>
        <c:dLbls>
          <c:dLblPos val="outEnd"/>
          <c:showLegendKey val="0"/>
          <c:showVal val="1"/>
          <c:showCatName val="0"/>
          <c:showSerName val="0"/>
          <c:showPercent val="0"/>
          <c:showBubbleSize val="0"/>
        </c:dLbls>
        <c:gapWidth val="219"/>
        <c:overlap val="-27"/>
        <c:axId val="318843679"/>
        <c:axId val="2083348752"/>
      </c:barChart>
      <c:catAx>
        <c:axId val="31884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348752"/>
        <c:crosses val="autoZero"/>
        <c:auto val="1"/>
        <c:lblAlgn val="ctr"/>
        <c:lblOffset val="100"/>
        <c:noMultiLvlLbl val="0"/>
      </c:catAx>
      <c:valAx>
        <c:axId val="2083348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84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latin typeface="Times New Roman" panose="02020603050405020304" pitchFamily="18" charset="0"/>
                <a:cs typeface="Times New Roman" panose="02020603050405020304" pitchFamily="18" charset="0"/>
              </a:rPr>
              <a:t>Sustainability Efficiency by SKU</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'Carbon_Impact(Scenario C)'!$E$1</c:f>
              <c:strCache>
                <c:ptCount val="1"/>
                <c:pt idx="0">
                  <c:v>Revenue per kgCO₂e</c:v>
                </c:pt>
              </c:strCache>
            </c:strRef>
          </c:tx>
          <c:spPr>
            <a:solidFill>
              <a:schemeClr val="accent1"/>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3-9D07-F34B-8776-87CE85D19A7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9D07-F34B-8776-87CE85D19A78}"/>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1-9D07-F34B-8776-87CE85D19A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'Carbon_Impact(Scenario C)'!$A$2:$A$4</c:f>
              <c:strCache>
                <c:ptCount val="3"/>
                <c:pt idx="0">
                  <c:v>SKU_A</c:v>
                </c:pt>
                <c:pt idx="1">
                  <c:v>SKU_B</c:v>
                </c:pt>
                <c:pt idx="2">
                  <c:v>SKU_C</c:v>
                </c:pt>
              </c:strCache>
            </c:strRef>
          </c:cat>
          <c:val>
            <c:numRef>
              <c:f>'Carbon_Impact(Scenario C)'!$E$2:$E$4</c:f>
              <c:numCache>
                <c:formatCode>"$"#,##0.00</c:formatCode>
                <c:ptCount val="3"/>
                <c:pt idx="0">
                  <c:v>495.90909090909093</c:v>
                </c:pt>
                <c:pt idx="1">
                  <c:v>561.97255448741464</c:v>
                </c:pt>
                <c:pt idx="2">
                  <c:v>588.97092059665511</c:v>
                </c:pt>
              </c:numCache>
            </c:numRef>
          </c:val>
          <c:extLst>
            <c:ext xmlns:c16="http://schemas.microsoft.com/office/drawing/2014/chart" uri="{C3380CC4-5D6E-409C-BE32-E72D297353CC}">
              <c16:uniqueId val="{00000000-9D07-F34B-8776-87CE85D19A78}"/>
            </c:ext>
          </c:extLst>
        </c:ser>
        <c:dLbls>
          <c:dLblPos val="outEnd"/>
          <c:showLegendKey val="0"/>
          <c:showVal val="1"/>
          <c:showCatName val="0"/>
          <c:showSerName val="0"/>
          <c:showPercent val="0"/>
          <c:showBubbleSize val="0"/>
        </c:dLbls>
        <c:gapWidth val="219"/>
        <c:overlap val="-27"/>
        <c:axId val="342320719"/>
        <c:axId val="342322431"/>
      </c:barChart>
      <c:catAx>
        <c:axId val="3423207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22431"/>
        <c:crosses val="autoZero"/>
        <c:auto val="1"/>
        <c:lblAlgn val="ctr"/>
        <c:lblOffset val="100"/>
        <c:noMultiLvlLbl val="0"/>
      </c:catAx>
      <c:valAx>
        <c:axId val="34232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latin typeface="Times New Roman" panose="02020603050405020304" pitchFamily="18" charset="0"/>
                    <a:cs typeface="Times New Roman" panose="02020603050405020304" pitchFamily="18" charset="0"/>
                  </a:rPr>
                  <a:t>Revenue per kgCO₂e (currency)</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2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[Forecast_Accuracy_Simulation_SAP IBP.xlsx]Dashboard!PivotTable3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Dashboard!$B$3</c:f>
              <c:strCache>
                <c:ptCount val="1"/>
                <c:pt idx="0">
                  <c:v>Average of Forecast</c:v>
                </c:pt>
              </c:strCache>
            </c:strRef>
          </c:tx>
          <c:spPr>
            <a:ln w="28575" cap="rnd">
              <a:solidFill>
                <a:schemeClr val="accent1"/>
              </a:solidFill>
              <a:round/>
            </a:ln>
            <a:effectLst/>
          </c:spPr>
          <c:marker>
            <c:symbol val="none"/>
          </c:marker>
          <c:cat>
            <c:strRef>
              <c:f>Dashboard!$A$4:$A$6</c:f>
              <c:strCache>
                <c:ptCount val="2"/>
                <c:pt idx="0">
                  <c:v>2023</c:v>
                </c:pt>
                <c:pt idx="1">
                  <c:v>2024</c:v>
                </c:pt>
              </c:strCache>
            </c:strRef>
          </c:cat>
          <c:val>
            <c:numRef>
              <c:f>Dashboard!$B$4:$B$6</c:f>
              <c:numCache>
                <c:formatCode>0.00</c:formatCode>
                <c:ptCount val="2"/>
                <c:pt idx="0">
                  <c:v>535.11111111111109</c:v>
                </c:pt>
                <c:pt idx="1">
                  <c:v>548.25</c:v>
                </c:pt>
              </c:numCache>
            </c:numRef>
          </c:val>
          <c:smooth val="0"/>
          <c:extLst>
            <c:ext xmlns:c16="http://schemas.microsoft.com/office/drawing/2014/chart" uri="{C3380CC4-5D6E-409C-BE32-E72D297353CC}">
              <c16:uniqueId val="{00000000-D501-774F-A934-A4F4290BBBCA}"/>
            </c:ext>
          </c:extLst>
        </c:ser>
        <c:ser>
          <c:idx val="1"/>
          <c:order val="1"/>
          <c:tx>
            <c:strRef>
              <c:f>Dashboard!$C$3</c:f>
              <c:strCache>
                <c:ptCount val="1"/>
                <c:pt idx="0">
                  <c:v>Average of Actual</c:v>
                </c:pt>
              </c:strCache>
            </c:strRef>
          </c:tx>
          <c:spPr>
            <a:ln w="28575" cap="rnd">
              <a:solidFill>
                <a:schemeClr val="accent2"/>
              </a:solidFill>
              <a:round/>
            </a:ln>
            <a:effectLst/>
          </c:spPr>
          <c:marker>
            <c:symbol val="none"/>
          </c:marker>
          <c:cat>
            <c:strRef>
              <c:f>Dashboard!$A$4:$A$6</c:f>
              <c:strCache>
                <c:ptCount val="2"/>
                <c:pt idx="0">
                  <c:v>2023</c:v>
                </c:pt>
                <c:pt idx="1">
                  <c:v>2024</c:v>
                </c:pt>
              </c:strCache>
            </c:strRef>
          </c:cat>
          <c:val>
            <c:numRef>
              <c:f>Dashboard!$C$4:$C$6</c:f>
              <c:numCache>
                <c:formatCode>0.00</c:formatCode>
                <c:ptCount val="2"/>
                <c:pt idx="0">
                  <c:v>536.13888888888891</c:v>
                </c:pt>
                <c:pt idx="1">
                  <c:v>539.02777777777783</c:v>
                </c:pt>
              </c:numCache>
            </c:numRef>
          </c:val>
          <c:smooth val="0"/>
          <c:extLst>
            <c:ext xmlns:c16="http://schemas.microsoft.com/office/drawing/2014/chart" uri="{C3380CC4-5D6E-409C-BE32-E72D297353CC}">
              <c16:uniqueId val="{00000001-D501-774F-A934-A4F4290BBBCA}"/>
            </c:ext>
          </c:extLst>
        </c:ser>
        <c:dLbls>
          <c:showLegendKey val="0"/>
          <c:showVal val="0"/>
          <c:showCatName val="0"/>
          <c:showSerName val="0"/>
          <c:showPercent val="0"/>
          <c:showBubbleSize val="0"/>
        </c:dLbls>
        <c:smooth val="0"/>
        <c:axId val="1141670335"/>
        <c:axId val="1141047007"/>
      </c:lineChart>
      <c:catAx>
        <c:axId val="114167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47007"/>
        <c:crosses val="autoZero"/>
        <c:auto val="1"/>
        <c:lblAlgn val="ctr"/>
        <c:lblOffset val="100"/>
        <c:noMultiLvlLbl val="0"/>
      </c:catAx>
      <c:valAx>
        <c:axId val="11410470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67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[Forecast_Accuracy_Simulation_SAP IBP.xlsx]Dashboard!PivotTable5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Monthly APE (%) – [SKU]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Dashboard!$B$34</c:f>
              <c:strCache>
                <c:ptCount val="1"/>
                <c:pt idx="0">
                  <c:v>Total</c:v>
                </c:pt>
              </c:strCache>
            </c:strRef>
          </c:tx>
          <c:spPr>
            <a:solidFill>
              <a:schemeClr val="accent1"/>
            </a:solidFill>
            <a:ln>
              <a:noFill/>
            </a:ln>
            <a:effectLst/>
          </c:spPr>
          <c:invertIfNegative val="0"/>
          <c:cat>
            <c:multiLvlStrRef>
              <c:f>Dashboard!$A$35:$A$50</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SKU_A</c:v>
                  </c:pt>
                  <c:pt idx="4">
                    <c:v>SKU_B</c:v>
                  </c:pt>
                  <c:pt idx="8">
                    <c:v>SKU_C</c:v>
                  </c:pt>
                </c:lvl>
              </c:multiLvlStrCache>
            </c:multiLvlStrRef>
          </c:cat>
          <c:val>
            <c:numRef>
              <c:f>Dashboard!$B$35:$B$50</c:f>
              <c:numCache>
                <c:formatCode>0.00</c:formatCode>
                <c:ptCount val="12"/>
                <c:pt idx="0">
                  <c:v>4.445594322062122E-2</c:v>
                </c:pt>
                <c:pt idx="1">
                  <c:v>3.4880747739733389E-2</c:v>
                </c:pt>
                <c:pt idx="2">
                  <c:v>2.7950867182704273E-2</c:v>
                </c:pt>
                <c:pt idx="3">
                  <c:v>5.7584077025742808E-2</c:v>
                </c:pt>
                <c:pt idx="4">
                  <c:v>3.1479348227794961E-2</c:v>
                </c:pt>
                <c:pt idx="5">
                  <c:v>4.925063485305383E-2</c:v>
                </c:pt>
                <c:pt idx="6">
                  <c:v>3.0061181404031839E-2</c:v>
                </c:pt>
                <c:pt idx="7">
                  <c:v>4.333058079857182E-2</c:v>
                </c:pt>
                <c:pt idx="8">
                  <c:v>6.5510406543219477E-2</c:v>
                </c:pt>
                <c:pt idx="9">
                  <c:v>6.2712511101681814E-2</c:v>
                </c:pt>
                <c:pt idx="10">
                  <c:v>4.5529218807907335E-2</c:v>
                </c:pt>
                <c:pt idx="11">
                  <c:v>1.8992820857397726E-2</c:v>
                </c:pt>
              </c:numCache>
            </c:numRef>
          </c:val>
          <c:extLst>
            <c:ext xmlns:c16="http://schemas.microsoft.com/office/drawing/2014/chart" uri="{C3380CC4-5D6E-409C-BE32-E72D297353CC}">
              <c16:uniqueId val="{00000000-9869-8A46-AE8B-008CFB39266A}"/>
            </c:ext>
          </c:extLst>
        </c:ser>
        <c:dLbls>
          <c:showLegendKey val="0"/>
          <c:showVal val="0"/>
          <c:showCatName val="0"/>
          <c:showSerName val="0"/>
          <c:showPercent val="0"/>
          <c:showBubbleSize val="0"/>
        </c:dLbls>
        <c:gapWidth val="219"/>
        <c:overlap val="-27"/>
        <c:axId val="1427930687"/>
        <c:axId val="1427932399"/>
      </c:barChart>
      <c:catAx>
        <c:axId val="142793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932399"/>
        <c:crosses val="autoZero"/>
        <c:auto val="1"/>
        <c:lblAlgn val="ctr"/>
        <c:lblOffset val="100"/>
        <c:noMultiLvlLbl val="0"/>
      </c:catAx>
      <c:valAx>
        <c:axId val="14279323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93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latin typeface="Times New Roman" panose="02020603050405020304" pitchFamily="18" charset="0"/>
                <a:cs typeface="Times New Roman" panose="02020603050405020304" pitchFamily="18" charset="0"/>
              </a:rPr>
              <a:t>Forecast Accuracy by SKU</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KPI_Summary!$D$1</c:f>
              <c:strCache>
                <c:ptCount val="1"/>
                <c:pt idx="0">
                  <c:v>Forecast Accuracy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KPI_Summary!$A$2:$A$4</c:f>
              <c:strCache>
                <c:ptCount val="3"/>
                <c:pt idx="0">
                  <c:v>SKU_A</c:v>
                </c:pt>
                <c:pt idx="1">
                  <c:v>SKU_B</c:v>
                </c:pt>
                <c:pt idx="2">
                  <c:v>SKU_C</c:v>
                </c:pt>
              </c:strCache>
            </c:strRef>
          </c:cat>
          <c:val>
            <c:numRef>
              <c:f>KPI_Summary!$D$2:$D$4</c:f>
              <c:numCache>
                <c:formatCode>0.00%</c:formatCode>
                <c:ptCount val="3"/>
                <c:pt idx="0">
                  <c:v>0.95878209120779956</c:v>
                </c:pt>
                <c:pt idx="1">
                  <c:v>0.96146956367913683</c:v>
                </c:pt>
                <c:pt idx="2">
                  <c:v>0.95181376067244838</c:v>
                </c:pt>
              </c:numCache>
            </c:numRef>
          </c:val>
          <c:extLst>
            <c:ext xmlns:c16="http://schemas.microsoft.com/office/drawing/2014/chart" uri="{C3380CC4-5D6E-409C-BE32-E72D297353CC}">
              <c16:uniqueId val="{00000000-E3BD-0E47-B4CC-027DAA6DA6DE}"/>
            </c:ext>
          </c:extLst>
        </c:ser>
        <c:dLbls>
          <c:dLblPos val="outEnd"/>
          <c:showLegendKey val="0"/>
          <c:showVal val="1"/>
          <c:showCatName val="0"/>
          <c:showSerName val="0"/>
          <c:showPercent val="0"/>
          <c:showBubbleSize val="0"/>
        </c:dLbls>
        <c:gapWidth val="219"/>
        <c:overlap val="-27"/>
        <c:axId val="1427842095"/>
        <c:axId val="799797840"/>
      </c:barChart>
      <c:catAx>
        <c:axId val="142784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97840"/>
        <c:crosses val="autoZero"/>
        <c:auto val="1"/>
        <c:lblAlgn val="ctr"/>
        <c:lblOffset val="100"/>
        <c:noMultiLvlLbl val="0"/>
      </c:catAx>
      <c:valAx>
        <c:axId val="799797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84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'Carbon_Impact(Scenario C)'!$C$1</c:f>
              <c:strCache>
                <c:ptCount val="1"/>
                <c:pt idx="0">
                  <c:v>Total Carbon Cost ($)</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CF37-7A4D-9F2D-D14108204FE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F37-7A4D-9F2D-D14108204FE3}"/>
              </c:ext>
            </c:extLst>
          </c:dPt>
          <c:dPt>
            <c:idx val="2"/>
            <c:invertIfNegative val="0"/>
            <c:bubble3D val="0"/>
            <c:spPr>
              <a:solidFill>
                <a:srgbClr val="C00000"/>
              </a:solidFill>
              <a:ln>
                <a:noFill/>
              </a:ln>
              <a:effectLst/>
            </c:spPr>
            <c:extLst>
              <c:ext xmlns:c16="http://schemas.microsoft.com/office/drawing/2014/chart" uri="{C3380CC4-5D6E-409C-BE32-E72D297353CC}">
                <c16:uniqueId val="{00000004-CF37-7A4D-9F2D-D14108204F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'Carbon_Impact(Scenario C)'!$A$2:$A$4</c:f>
              <c:strCache>
                <c:ptCount val="3"/>
                <c:pt idx="0">
                  <c:v>SKU_A</c:v>
                </c:pt>
                <c:pt idx="1">
                  <c:v>SKU_B</c:v>
                </c:pt>
                <c:pt idx="2">
                  <c:v>SKU_C</c:v>
                </c:pt>
              </c:strCache>
            </c:strRef>
          </c:cat>
          <c:val>
            <c:numRef>
              <c:f>'Carbon_Impact(Scenario C)'!$C$2:$C$4</c:f>
              <c:numCache>
                <c:formatCode>"$"#,##0.00</c:formatCode>
                <c:ptCount val="3"/>
                <c:pt idx="0">
                  <c:v>302.5</c:v>
                </c:pt>
                <c:pt idx="1">
                  <c:v>340.67500000000001</c:v>
                </c:pt>
                <c:pt idx="2">
                  <c:v>331.84999999999997</c:v>
                </c:pt>
              </c:numCache>
            </c:numRef>
          </c:val>
          <c:extLst>
            <c:ext xmlns:c16="http://schemas.microsoft.com/office/drawing/2014/chart" uri="{C3380CC4-5D6E-409C-BE32-E72D297353CC}">
              <c16:uniqueId val="{00000002-CF37-7A4D-9F2D-D14108204FE3}"/>
            </c:ext>
          </c:extLst>
        </c:ser>
        <c:dLbls>
          <c:dLblPos val="outEnd"/>
          <c:showLegendKey val="0"/>
          <c:showVal val="1"/>
          <c:showCatName val="0"/>
          <c:showSerName val="0"/>
          <c:showPercent val="0"/>
          <c:showBubbleSize val="0"/>
        </c:dLbls>
        <c:gapWidth val="219"/>
        <c:overlap val="-27"/>
        <c:axId val="1054079151"/>
        <c:axId val="1054080863"/>
      </c:barChart>
      <c:catAx>
        <c:axId val="105407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80863"/>
        <c:crosses val="autoZero"/>
        <c:auto val="1"/>
        <c:lblAlgn val="ctr"/>
        <c:lblOffset val="100"/>
        <c:noMultiLvlLbl val="0"/>
      </c:catAx>
      <c:valAx>
        <c:axId val="10540808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7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Scenario_Compare!$E$1</c:f>
              <c:strCache>
                <c:ptCount val="1"/>
                <c:pt idx="0">
                  <c:v>Forecast Accuracy (%)</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2C01-F24C-820D-1FCC2AE99A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(Scenario_Compare!$A$2:$B$3,Scenario_Compare!$E$2:$E$3)</c:f>
              <c:multiLvlStrCache>
                <c:ptCount val="4"/>
                <c:lvl>
                  <c:pt idx="0">
                    <c:v>Base</c:v>
                  </c:pt>
                  <c:pt idx="1">
                    <c:v>Shock</c:v>
                  </c:pt>
                  <c:pt idx="2">
                    <c:v>96%</c:v>
                  </c:pt>
                  <c:pt idx="3">
                    <c:v>93%</c:v>
                  </c:pt>
                </c:lvl>
                <c:lvl>
                  <c:pt idx="0">
                    <c:v>SKU_B</c:v>
                  </c:pt>
                  <c:pt idx="1">
                    <c:v>SKU_B</c:v>
                  </c:pt>
                </c:lvl>
              </c:multiLvlStrCache>
            </c:multiLvlStrRef>
          </c:cat>
          <c:val>
            <c:numRef>
              <c:f>Scenario_Compare!$E$2:$E$3</c:f>
              <c:numCache>
                <c:formatCode>0%</c:formatCode>
                <c:ptCount val="2"/>
                <c:pt idx="0">
                  <c:v>0.96146956367913683</c:v>
                </c:pt>
                <c:pt idx="1">
                  <c:v>0.93397653295372629</c:v>
                </c:pt>
              </c:numCache>
            </c:numRef>
          </c:val>
          <c:extLst>
            <c:ext xmlns:c16="http://schemas.microsoft.com/office/drawing/2014/chart" uri="{C3380CC4-5D6E-409C-BE32-E72D297353CC}">
              <c16:uniqueId val="{00000000-2C01-F24C-820D-1FCC2AE99AD1}"/>
            </c:ext>
          </c:extLst>
        </c:ser>
        <c:dLbls>
          <c:dLblPos val="outEnd"/>
          <c:showLegendKey val="0"/>
          <c:showVal val="1"/>
          <c:showCatName val="0"/>
          <c:showSerName val="0"/>
          <c:showPercent val="0"/>
          <c:showBubbleSize val="0"/>
        </c:dLbls>
        <c:gapWidth val="219"/>
        <c:overlap val="-27"/>
        <c:axId val="925163360"/>
        <c:axId val="925165072"/>
      </c:barChart>
      <c:catAx>
        <c:axId val="92516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65072"/>
        <c:crosses val="autoZero"/>
        <c:auto val="1"/>
        <c:lblAlgn val="ctr"/>
        <c:lblOffset val="100"/>
        <c:noMultiLvlLbl val="0"/>
      </c:catAx>
      <c:valAx>
        <c:axId val="925165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6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latin typeface="Times New Roman" panose="02020603050405020304" pitchFamily="18" charset="0"/>
                <a:cs typeface="Times New Roman" panose="02020603050405020304" pitchFamily="18" charset="0"/>
              </a:rPr>
              <a:t>Total Holding Cost: Actual vs Perfect</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Scenario_Compare_Inventory_Hold!$C$1</c:f>
              <c:strCache>
                <c:ptCount val="1"/>
                <c:pt idx="0">
                  <c:v>Total Holding Cost</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E307-DC43-8706-14923D7CABBB}"/>
              </c:ext>
            </c:extLst>
          </c:dPt>
          <c:dPt>
            <c:idx val="2"/>
            <c:invertIfNegative val="0"/>
            <c:bubble3D val="0"/>
            <c:spPr>
              <a:solidFill>
                <a:srgbClr val="C00000"/>
              </a:solidFill>
              <a:ln>
                <a:noFill/>
              </a:ln>
              <a:effectLst/>
            </c:spPr>
            <c:extLst>
              <c:ext xmlns:c16="http://schemas.microsoft.com/office/drawing/2014/chart" uri="{C3380CC4-5D6E-409C-BE32-E72D297353CC}">
                <c16:uniqueId val="{00000001-E307-DC43-8706-14923D7CABBB}"/>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3-E307-DC43-8706-14923D7CAB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Scenario_Compare_Inventory_Hold!$A$2:$B$7</c:f>
              <c:multiLvlStrCache>
                <c:ptCount val="6"/>
                <c:lvl>
                  <c:pt idx="0">
                    <c:v>Actual</c:v>
                  </c:pt>
                  <c:pt idx="1">
                    <c:v>Perfect</c:v>
                  </c:pt>
                  <c:pt idx="2">
                    <c:v>Actual</c:v>
                  </c:pt>
                  <c:pt idx="3">
                    <c:v>Perfect</c:v>
                  </c:pt>
                  <c:pt idx="4">
                    <c:v>Actual</c:v>
                  </c:pt>
                  <c:pt idx="5">
                    <c:v>Perfect</c:v>
                  </c:pt>
                </c:lvl>
                <c:lvl>
                  <c:pt idx="0">
                    <c:v>SKU_A</c:v>
                  </c:pt>
                  <c:pt idx="1">
                    <c:v>SKU_A</c:v>
                  </c:pt>
                  <c:pt idx="2">
                    <c:v>SKU_B</c:v>
                  </c:pt>
                  <c:pt idx="3">
                    <c:v>SKU_B</c:v>
                  </c:pt>
                  <c:pt idx="4">
                    <c:v>SKU_C</c:v>
                  </c:pt>
                  <c:pt idx="5">
                    <c:v>SKU_C</c:v>
                  </c:pt>
                </c:lvl>
              </c:multiLvlStrCache>
            </c:multiLvlStrRef>
          </c:cat>
          <c:val>
            <c:numRef>
              <c:f>Scenario_Compare_Inventory_Hold!$C$2:$C$7</c:f>
              <c:numCache>
                <c:formatCode>General</c:formatCode>
                <c:ptCount val="6"/>
                <c:pt idx="0">
                  <c:v>594</c:v>
                </c:pt>
                <c:pt idx="1">
                  <c:v>0</c:v>
                </c:pt>
                <c:pt idx="2">
                  <c:v>690</c:v>
                </c:pt>
                <c:pt idx="3">
                  <c:v>0</c:v>
                </c:pt>
                <c:pt idx="4">
                  <c:v>504</c:v>
                </c:pt>
                <c:pt idx="5">
                  <c:v>0</c:v>
                </c:pt>
              </c:numCache>
            </c:numRef>
          </c:val>
          <c:extLst>
            <c:ext xmlns:c16="http://schemas.microsoft.com/office/drawing/2014/chart" uri="{C3380CC4-5D6E-409C-BE32-E72D297353CC}">
              <c16:uniqueId val="{00000000-E307-DC43-8706-14923D7CABBB}"/>
            </c:ext>
          </c:extLst>
        </c:ser>
        <c:dLbls>
          <c:dLblPos val="outEnd"/>
          <c:showLegendKey val="0"/>
          <c:showVal val="1"/>
          <c:showCatName val="0"/>
          <c:showSerName val="0"/>
          <c:showPercent val="0"/>
          <c:showBubbleSize val="0"/>
        </c:dLbls>
        <c:gapWidth val="219"/>
        <c:overlap val="-27"/>
        <c:axId val="679924464"/>
        <c:axId val="755285456"/>
      </c:barChart>
      <c:catAx>
        <c:axId val="67992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285456"/>
        <c:crosses val="autoZero"/>
        <c:auto val="1"/>
        <c:lblAlgn val="ctr"/>
        <c:lblOffset val="100"/>
        <c:noMultiLvlLbl val="0"/>
      </c:catAx>
      <c:valAx>
        <c:axId val="75528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92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5</xdr:col>
      <xdr:colOff>641350</xdr:colOff>
      <xdr:row>14</xdr:row>
      <xdr:rowOff>19050</xdr:rowOff>
    </xdr:from>
    <xdr:to>
      <xdr:col>11</xdr:col>
      <xdr:colOff>260350</xdr:colOff>
      <xdr:row>27</xdr:row>
      <xdr:rowOff>120650</xdr:rowOff>
    </xdr:to>
    <xdr:graphicFrame macro="">
      <xdr:nvGraphicFramePr>
        <xdr:cNvPr id="4" name="Chart 3">
          <a:extLst>
            <a:ext uri="{FF2B5EF4-FFF2-40B4-BE49-F238E27FC236}">
              <a16:creationId xmlns:a16="http://schemas.microsoft.com/office/drawing/2014/main" id="{F7499E9A-719F-DA0A-FCCB-430971B35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342900</xdr:colOff>
      <xdr:row>13</xdr:row>
      <xdr:rowOff>171450</xdr:rowOff>
    </xdr:from>
    <xdr:to>
      <xdr:col>3</xdr:col>
      <xdr:colOff>1409700</xdr:colOff>
      <xdr:row>27</xdr:row>
      <xdr:rowOff>69850</xdr:rowOff>
    </xdr:to>
    <xdr:graphicFrame macro="">
      <xdr:nvGraphicFramePr>
        <xdr:cNvPr id="5" name="Chart 4">
          <a:extLst>
            <a:ext uri="{FF2B5EF4-FFF2-40B4-BE49-F238E27FC236}">
              <a16:creationId xmlns:a16="http://schemas.microsoft.com/office/drawing/2014/main" id="{BADA0E5C-9CB4-48E2-DA62-807A9DECD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xdr:colOff>
      <xdr:row>7</xdr:row>
      <xdr:rowOff>31750</xdr:rowOff>
    </xdr:from>
    <xdr:to>
      <xdr:col>4</xdr:col>
      <xdr:colOff>1054100</xdr:colOff>
      <xdr:row>20</xdr:row>
      <xdr:rowOff>133350</xdr:rowOff>
    </xdr:to>
    <xdr:graphicFrame macro="">
      <xdr:nvGraphicFramePr>
        <xdr:cNvPr id="3" name="Chart 2">
          <a:extLst>
            <a:ext uri="{FF2B5EF4-FFF2-40B4-BE49-F238E27FC236}">
              <a16:creationId xmlns:a16="http://schemas.microsoft.com/office/drawing/2014/main" id="{7D3B2CFD-B07A-0B89-F200-A0322E68B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1</xdr:row>
      <xdr:rowOff>38100</xdr:rowOff>
    </xdr:from>
    <xdr:to>
      <xdr:col>10</xdr:col>
      <xdr:colOff>88900</xdr:colOff>
      <xdr:row>17</xdr:row>
      <xdr:rowOff>19050</xdr:rowOff>
    </xdr:to>
    <xdr:graphicFrame macro="">
      <xdr:nvGraphicFramePr>
        <xdr:cNvPr id="2" name="Forecast vs Actual – [SKU]">
          <a:extLst>
            <a:ext uri="{FF2B5EF4-FFF2-40B4-BE49-F238E27FC236}">
              <a16:creationId xmlns:a16="http://schemas.microsoft.com/office/drawing/2014/main" id="{F11CDED3-5939-9743-A57B-2BAD84C61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19</xdr:row>
      <xdr:rowOff>57150</xdr:rowOff>
    </xdr:from>
    <xdr:to>
      <xdr:col>12</xdr:col>
      <xdr:colOff>152400</xdr:colOff>
      <xdr:row>32</xdr:row>
      <xdr:rowOff>158750</xdr:rowOff>
    </xdr:to>
    <xdr:graphicFrame macro="">
      <xdr:nvGraphicFramePr>
        <xdr:cNvPr id="3" name="Monthly APE (%) – [SKU]">
          <a:extLst>
            <a:ext uri="{FF2B5EF4-FFF2-40B4-BE49-F238E27FC236}">
              <a16:creationId xmlns:a16="http://schemas.microsoft.com/office/drawing/2014/main" id="{E60D6276-57F3-6D58-98B8-274EA161B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406400</xdr:colOff>
      <xdr:row>35</xdr:row>
      <xdr:rowOff>139700</xdr:rowOff>
    </xdr:from>
    <xdr:to>
      <xdr:col>10</xdr:col>
      <xdr:colOff>25400</xdr:colOff>
      <xdr:row>49</xdr:row>
      <xdr:rowOff>38100</xdr:rowOff>
    </xdr:to>
    <xdr:graphicFrame macro="">
      <xdr:nvGraphicFramePr>
        <xdr:cNvPr id="4" name="Chart 3">
          <a:extLst>
            <a:ext uri="{FF2B5EF4-FFF2-40B4-BE49-F238E27FC236}">
              <a16:creationId xmlns:a16="http://schemas.microsoft.com/office/drawing/2014/main" id="{BAD5E21F-5CFE-1C47-A55C-A6112296A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127000</xdr:colOff>
      <xdr:row>1</xdr:row>
      <xdr:rowOff>50800</xdr:rowOff>
    </xdr:from>
    <xdr:to>
      <xdr:col>12</xdr:col>
      <xdr:colOff>304800</xdr:colOff>
      <xdr:row>14</xdr:row>
      <xdr:rowOff>28572</xdr:rowOff>
    </xdr:to>
    <mc:AlternateContent xmlns:mc="http://schemas.openxmlformats.org/markup-compatibility/2006">
      <mc:Choice xmlns:a14="http://schemas.microsoft.com/office/drawing/2010/main" Requires="a14">
        <xdr:graphicFrame macro="">
          <xdr:nvGraphicFramePr>
            <xdr:cNvPr id="5" name="SKU">
              <a:extLst>
                <a:ext uri="{FF2B5EF4-FFF2-40B4-BE49-F238E27FC236}">
                  <a16:creationId xmlns:a16="http://schemas.microsoft.com/office/drawing/2014/main" id="{C15CD080-1DDF-4A4B-1CD1-151DD27B1EBF}"/>
                </a:ext>
              </a:extLst>
            </xdr:cNvPr>
            <xdr:cNvGraphicFramePr/>
          </xdr:nvGraphicFramePr>
          <xdr:xfrm>
            <a:off x="0" y="0"/>
            <a:ext cx="0" cy="0"/>
          </xdr:xfrm>
          <a:graphic>
            <a:graphicData uri="http://schemas.microsoft.com/office/drawing/2010/slicer">
              <sle:slicer xmlns:sle="http://schemas.microsoft.com/office/drawing/2010/slicer" name="SKU"/>
            </a:graphicData>
          </a:graphic>
        </xdr:graphicFrame>
      </mc:Choice>
      <mc:Fallback>
        <xdr:sp macro="" textlink="">
          <xdr:nvSpPr>
            <xdr:cNvPr id="0" name=""/>
            <xdr:cNvSpPr>
              <a:spLocks noTextEdit="1"/>
            </xdr:cNvSpPr>
          </xdr:nvSpPr>
          <xdr:spPr>
            <a:xfrm>
              <a:off x="9537700" y="2540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19</xdr:row>
      <xdr:rowOff>165100</xdr:rowOff>
    </xdr:from>
    <xdr:to>
      <xdr:col>14</xdr:col>
      <xdr:colOff>406400</xdr:colOff>
      <xdr:row>32</xdr:row>
      <xdr:rowOff>142872</xdr:rowOff>
    </xdr:to>
    <mc:AlternateContent xmlns:mc="http://schemas.openxmlformats.org/markup-compatibility/2006">
      <mc:Choice xmlns:a14="http://schemas.microsoft.com/office/drawing/2010/main" Requires="a14">
        <xdr:graphicFrame macro="">
          <xdr:nvGraphicFramePr>
            <xdr:cNvPr id="6" name="SKU 1">
              <a:extLst>
                <a:ext uri="{FF2B5EF4-FFF2-40B4-BE49-F238E27FC236}">
                  <a16:creationId xmlns:a16="http://schemas.microsoft.com/office/drawing/2014/main" id="{C524EEAD-297F-888D-DBBB-0ED71BA881CE}"/>
                </a:ext>
              </a:extLst>
            </xdr:cNvPr>
            <xdr:cNvGraphicFramePr/>
          </xdr:nvGraphicFramePr>
          <xdr:xfrm>
            <a:off x="0" y="0"/>
            <a:ext cx="0" cy="0"/>
          </xdr:xfrm>
          <a:graphic>
            <a:graphicData uri="http://schemas.microsoft.com/office/drawing/2010/slicer">
              <sle:slicer xmlns:sle="http://schemas.microsoft.com/office/drawing/2010/slicer" name="SKU 1"/>
            </a:graphicData>
          </a:graphic>
        </xdr:graphicFrame>
      </mc:Choice>
      <mc:Fallback>
        <xdr:sp macro="" textlink="">
          <xdr:nvSpPr>
            <xdr:cNvPr id="0" name=""/>
            <xdr:cNvSpPr>
              <a:spLocks noTextEdit="1"/>
            </xdr:cNvSpPr>
          </xdr:nvSpPr>
          <xdr:spPr>
            <a:xfrm>
              <a:off x="11290300" y="4025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330200</xdr:colOff>
      <xdr:row>66</xdr:row>
      <xdr:rowOff>165100</xdr:rowOff>
    </xdr:from>
    <xdr:to>
      <xdr:col>9</xdr:col>
      <xdr:colOff>774700</xdr:colOff>
      <xdr:row>80</xdr:row>
      <xdr:rowOff>63500</xdr:rowOff>
    </xdr:to>
    <xdr:graphicFrame macro="">
      <xdr:nvGraphicFramePr>
        <xdr:cNvPr id="7" name="Carbon cost">
          <a:extLst>
            <a:ext uri="{FF2B5EF4-FFF2-40B4-BE49-F238E27FC236}">
              <a16:creationId xmlns:a16="http://schemas.microsoft.com/office/drawing/2014/main" id="{80DE6F43-230E-584C-A768-013A3575C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558800</xdr:colOff>
      <xdr:row>50</xdr:row>
      <xdr:rowOff>177800</xdr:rowOff>
    </xdr:from>
    <xdr:to>
      <xdr:col>10</xdr:col>
      <xdr:colOff>177800</xdr:colOff>
      <xdr:row>64</xdr:row>
      <xdr:rowOff>76200</xdr:rowOff>
    </xdr:to>
    <xdr:graphicFrame macro="">
      <xdr:nvGraphicFramePr>
        <xdr:cNvPr id="8" name="Forecast Accuracy (%)">
          <a:extLst>
            <a:ext uri="{FF2B5EF4-FFF2-40B4-BE49-F238E27FC236}">
              <a16:creationId xmlns:a16="http://schemas.microsoft.com/office/drawing/2014/main" id="{C4F4B592-0AEB-DA49-B625-9777C1890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355600</xdr:colOff>
      <xdr:row>80</xdr:row>
      <xdr:rowOff>63500</xdr:rowOff>
    </xdr:from>
    <xdr:to>
      <xdr:col>11</xdr:col>
      <xdr:colOff>279400</xdr:colOff>
      <xdr:row>83</xdr:row>
      <xdr:rowOff>38100</xdr:rowOff>
    </xdr:to>
    <xdr:sp macro="" textlink="">
      <xdr:nvSpPr>
        <xdr:cNvPr id="9" name="TextBox 8">
          <a:extLst>
            <a:ext uri="{FF2B5EF4-FFF2-40B4-BE49-F238E27FC236}">
              <a16:creationId xmlns:a16="http://schemas.microsoft.com/office/drawing/2014/main" id="{37BC03A0-1F64-2E21-2B5B-4A40DCEE7247}"/>
            </a:ext>
          </a:extLst>
        </xdr:cNvPr>
        <xdr:cNvSpPr txBox="1"/>
      </xdr:nvSpPr>
      <xdr:spPr>
        <a:xfrm>
          <a:off x="3987800" y="16319500"/>
          <a:ext cx="65278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Using forecasted volumes as a proxy for production, SKU_C incurs the highest carbon liability due to chronic over-forecasting. Aligning forecast and actuals reduces carbon tax exposure, supporting sustainability goals.</a:t>
          </a:r>
          <a:r>
            <a:rPr lang="en-US">
              <a:effectLst/>
            </a:rPr>
            <a:t> </a:t>
          </a:r>
          <a:endParaRPr lang="en-US" sz="1100"/>
        </a:p>
      </xdr:txBody>
    </xdr:sp>
    <xdr:clientData/>
  </xdr:twoCellAnchor>
  <xdr:twoCellAnchor>
    <xdr:from>
      <xdr:col>0</xdr:col>
      <xdr:colOff>342900</xdr:colOff>
      <xdr:row>84</xdr:row>
      <xdr:rowOff>177800</xdr:rowOff>
    </xdr:from>
    <xdr:to>
      <xdr:col>17</xdr:col>
      <xdr:colOff>711200</xdr:colOff>
      <xdr:row>89</xdr:row>
      <xdr:rowOff>63500</xdr:rowOff>
    </xdr:to>
    <xdr:sp macro="" textlink="">
      <xdr:nvSpPr>
        <xdr:cNvPr id="10" name="TextBox 9">
          <a:extLst>
            <a:ext uri="{FF2B5EF4-FFF2-40B4-BE49-F238E27FC236}">
              <a16:creationId xmlns:a16="http://schemas.microsoft.com/office/drawing/2014/main" id="{E8861509-0733-1B4C-E725-3F9C147E9D7B}"/>
            </a:ext>
          </a:extLst>
        </xdr:cNvPr>
        <xdr:cNvSpPr txBox="1"/>
      </xdr:nvSpPr>
      <xdr:spPr>
        <a:xfrm>
          <a:off x="342900" y="17272000"/>
          <a:ext cx="15557500" cy="90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i="0" u="none" strike="noStrike">
              <a:solidFill>
                <a:schemeClr val="dk1"/>
              </a:solidFill>
              <a:effectLst/>
              <a:latin typeface="Times New Roman" panose="02020603050405020304" pitchFamily="18" charset="0"/>
              <a:ea typeface="+mn-ea"/>
              <a:cs typeface="Times New Roman" panose="02020603050405020304" pitchFamily="18" charset="0"/>
            </a:rPr>
            <a:t>SAP IBP-aligned forecast quality tracker. KPIs: MAPE, Bias, Accuracy. Simulations: demand shock, carbon tax exposure.</a:t>
          </a:r>
          <a:endParaRPr lang="en-US" sz="2800" b="1">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1733550</xdr:colOff>
      <xdr:row>1</xdr:row>
      <xdr:rowOff>95250</xdr:rowOff>
    </xdr:from>
    <xdr:to>
      <xdr:col>9</xdr:col>
      <xdr:colOff>412750</xdr:colOff>
      <xdr:row>14</xdr:row>
      <xdr:rowOff>196850</xdr:rowOff>
    </xdr:to>
    <xdr:graphicFrame macro="">
      <xdr:nvGraphicFramePr>
        <xdr:cNvPr id="3" name="Chart 2">
          <a:extLst>
            <a:ext uri="{FF2B5EF4-FFF2-40B4-BE49-F238E27FC236}">
              <a16:creationId xmlns:a16="http://schemas.microsoft.com/office/drawing/2014/main" id="{23F6C786-5A7F-DB6B-0405-87EC408B0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431800</xdr:colOff>
      <xdr:row>1</xdr:row>
      <xdr:rowOff>95250</xdr:rowOff>
    </xdr:from>
    <xdr:to>
      <xdr:col>8</xdr:col>
      <xdr:colOff>50800</xdr:colOff>
      <xdr:row>14</xdr:row>
      <xdr:rowOff>196850</xdr:rowOff>
    </xdr:to>
    <xdr:graphicFrame macro="">
      <xdr:nvGraphicFramePr>
        <xdr:cNvPr id="2" name="Total Holding Cost by SKU">
          <a:extLst>
            <a:ext uri="{FF2B5EF4-FFF2-40B4-BE49-F238E27FC236}">
              <a16:creationId xmlns:a16="http://schemas.microsoft.com/office/drawing/2014/main" id="{A60899B7-2706-54C6-85C4-B57F009B7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406400</xdr:colOff>
      <xdr:row>17</xdr:row>
      <xdr:rowOff>107950</xdr:rowOff>
    </xdr:from>
    <xdr:to>
      <xdr:col>8</xdr:col>
      <xdr:colOff>25400</xdr:colOff>
      <xdr:row>31</xdr:row>
      <xdr:rowOff>6350</xdr:rowOff>
    </xdr:to>
    <xdr:graphicFrame macro="">
      <xdr:nvGraphicFramePr>
        <xdr:cNvPr id="3" name="Monthly Inventory Overhang by SKU">
          <a:extLst>
            <a:ext uri="{FF2B5EF4-FFF2-40B4-BE49-F238E27FC236}">
              <a16:creationId xmlns:a16="http://schemas.microsoft.com/office/drawing/2014/main" id="{A43CFEF7-57E6-B841-C352-BE8384A82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1111250</xdr:colOff>
      <xdr:row>19</xdr:row>
      <xdr:rowOff>69850</xdr:rowOff>
    </xdr:from>
    <xdr:to>
      <xdr:col>9</xdr:col>
      <xdr:colOff>425450</xdr:colOff>
      <xdr:row>32</xdr:row>
      <xdr:rowOff>171450</xdr:rowOff>
    </xdr:to>
    <xdr:graphicFrame macro="">
      <xdr:nvGraphicFramePr>
        <xdr:cNvPr id="2" name="Chart 1">
          <a:extLst>
            <a:ext uri="{FF2B5EF4-FFF2-40B4-BE49-F238E27FC236}">
              <a16:creationId xmlns:a16="http://schemas.microsoft.com/office/drawing/2014/main" id="{3D099E50-3BC7-7A50-93E1-E1FBD6EBF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204929</xdr:colOff>
      <xdr:row>77</xdr:row>
      <xdr:rowOff>205382</xdr:rowOff>
    </xdr:from>
    <xdr:to>
      <xdr:col>6</xdr:col>
      <xdr:colOff>1256598</xdr:colOff>
      <xdr:row>80</xdr:row>
      <xdr:rowOff>205381</xdr:rowOff>
    </xdr:to>
    <xdr:sp macro="" textlink="">
      <xdr:nvSpPr>
        <xdr:cNvPr id="6" name="TextBox 5">
          <a:extLst>
            <a:ext uri="{FF2B5EF4-FFF2-40B4-BE49-F238E27FC236}">
              <a16:creationId xmlns:a16="http://schemas.microsoft.com/office/drawing/2014/main" id="{4FFB1658-9EB3-23D8-FA54-3115BDD179D2}"/>
            </a:ext>
          </a:extLst>
        </xdr:cNvPr>
        <xdr:cNvSpPr txBox="1"/>
      </xdr:nvSpPr>
      <xdr:spPr>
        <a:xfrm>
          <a:off x="4295510" y="16124684"/>
          <a:ext cx="3724576" cy="6202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4000" b="1">
              <a:solidFill>
                <a:srgbClr val="0070C0"/>
              </a:solidFill>
              <a:latin typeface="Times New Roman" panose="02020603050405020304" pitchFamily="18" charset="0"/>
              <a:cs typeface="Times New Roman" panose="02020603050405020304" pitchFamily="18" charset="0"/>
            </a:rPr>
            <a:t>Summary Table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298450</xdr:colOff>
      <xdr:row>1</xdr:row>
      <xdr:rowOff>95250</xdr:rowOff>
    </xdr:from>
    <xdr:to>
      <xdr:col>9</xdr:col>
      <xdr:colOff>742950</xdr:colOff>
      <xdr:row>14</xdr:row>
      <xdr:rowOff>196850</xdr:rowOff>
    </xdr:to>
    <xdr:graphicFrame macro="">
      <xdr:nvGraphicFramePr>
        <xdr:cNvPr id="4" name="Forecasted vs Actual Revenue by SKU">
          <a:extLst>
            <a:ext uri="{FF2B5EF4-FFF2-40B4-BE49-F238E27FC236}">
              <a16:creationId xmlns:a16="http://schemas.microsoft.com/office/drawing/2014/main" id="{9EC4EEA9-96EC-AFD4-E2CB-486412A1C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406400</xdr:colOff>
      <xdr:row>13</xdr:row>
      <xdr:rowOff>101600</xdr:rowOff>
    </xdr:from>
    <xdr:to>
      <xdr:col>21</xdr:col>
      <xdr:colOff>328133</xdr:colOff>
      <xdr:row>40</xdr:row>
      <xdr:rowOff>165986</xdr:rowOff>
    </xdr:to>
    <xdr:graphicFrame macro="">
      <xdr:nvGraphicFramePr>
        <xdr:cNvPr id="5" name="Chart 4">
          <a:extLst>
            <a:ext uri="{FF2B5EF4-FFF2-40B4-BE49-F238E27FC236}">
              <a16:creationId xmlns:a16="http://schemas.microsoft.com/office/drawing/2014/main" id="{1F1B4311-3F0C-3246-8B1C-21C55D4FC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495300</xdr:colOff>
      <xdr:row>19</xdr:row>
      <xdr:rowOff>139700</xdr:rowOff>
    </xdr:from>
    <xdr:to>
      <xdr:col>12</xdr:col>
      <xdr:colOff>144154</xdr:colOff>
      <xdr:row>33</xdr:row>
      <xdr:rowOff>84175</xdr:rowOff>
    </xdr:to>
    <xdr:graphicFrame macro="">
      <xdr:nvGraphicFramePr>
        <xdr:cNvPr id="6" name="Chart 5">
          <a:extLst>
            <a:ext uri="{FF2B5EF4-FFF2-40B4-BE49-F238E27FC236}">
              <a16:creationId xmlns:a16="http://schemas.microsoft.com/office/drawing/2014/main" id="{523AACEB-92BC-4D43-A8EC-3A9A4218C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520700</xdr:colOff>
      <xdr:row>19</xdr:row>
      <xdr:rowOff>139700</xdr:rowOff>
    </xdr:from>
    <xdr:to>
      <xdr:col>6</xdr:col>
      <xdr:colOff>190567</xdr:colOff>
      <xdr:row>33</xdr:row>
      <xdr:rowOff>76359</xdr:rowOff>
    </xdr:to>
    <xdr:graphicFrame macro="">
      <xdr:nvGraphicFramePr>
        <xdr:cNvPr id="7" name="Monthly Cash Realization – SKU_B">
          <a:extLst>
            <a:ext uri="{FF2B5EF4-FFF2-40B4-BE49-F238E27FC236}">
              <a16:creationId xmlns:a16="http://schemas.microsoft.com/office/drawing/2014/main" id="{87C217A6-DCB5-1E48-8A36-0D7D3A409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63501</xdr:colOff>
      <xdr:row>8</xdr:row>
      <xdr:rowOff>1</xdr:rowOff>
    </xdr:from>
    <xdr:to>
      <xdr:col>2</xdr:col>
      <xdr:colOff>1524001</xdr:colOff>
      <xdr:row>19</xdr:row>
      <xdr:rowOff>38101</xdr:rowOff>
    </xdr:to>
    <xdr:graphicFrame macro="">
      <xdr:nvGraphicFramePr>
        <xdr:cNvPr id="8" name="Chart 7">
          <a:extLst>
            <a:ext uri="{FF2B5EF4-FFF2-40B4-BE49-F238E27FC236}">
              <a16:creationId xmlns:a16="http://schemas.microsoft.com/office/drawing/2014/main" id="{9EADC7A1-BF2D-D64B-B57E-82F94BBF9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95250</xdr:colOff>
      <xdr:row>11</xdr:row>
      <xdr:rowOff>19050</xdr:rowOff>
    </xdr:from>
    <xdr:to>
      <xdr:col>6</xdr:col>
      <xdr:colOff>920750</xdr:colOff>
      <xdr:row>24</xdr:row>
      <xdr:rowOff>120650</xdr:rowOff>
    </xdr:to>
    <xdr:graphicFrame macro="">
      <xdr:nvGraphicFramePr>
        <xdr:cNvPr id="3" name="Chart 2">
          <a:extLst>
            <a:ext uri="{FF2B5EF4-FFF2-40B4-BE49-F238E27FC236}">
              <a16:creationId xmlns:a16="http://schemas.microsoft.com/office/drawing/2014/main" id="{27C2155E-69FA-6341-77CC-0ADDBF3EA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Ugbechie" refreshedDate="45853.952147800926" createdVersion="8" refreshedVersion="8" minRefreshableVersion="3" recordCount="72" xr:uid="{3AB3E654-F2EF-3043-A7DC-3E690857B9D3}">
  <cacheSource type="worksheet">
    <worksheetSource name="ForecastData"/>
  </cacheSource>
  <cacheFields count="11">
    <cacheField name="Month" numFmtId="14">
      <sharedItems containsSemiMixedTypes="0" containsNonDate="0" containsDate="1" containsString="0" minDate="2023-01-01T00:00:00" maxDate="2024-12-02T00:00:00" count="24">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sharedItems>
      <fieldGroup par="10"/>
    </cacheField>
    <cacheField name="SKU" numFmtId="49">
      <sharedItems count="3">
        <s v="SKU_A"/>
        <s v="SKU_B"/>
        <s v="SKU_C"/>
      </sharedItems>
    </cacheField>
    <cacheField name="Forecast" numFmtId="2">
      <sharedItems containsSemiMixedTypes="0" containsString="0" containsNumber="1" containsInteger="1" minValue="429" maxValue="632"/>
    </cacheField>
    <cacheField name="Actual" numFmtId="2">
      <sharedItems containsSemiMixedTypes="0" containsString="0" containsNumber="1" containsInteger="1" minValue="455" maxValue="606"/>
    </cacheField>
    <cacheField name="Error" numFmtId="2">
      <sharedItems containsSemiMixedTypes="0" containsString="0" containsNumber="1" containsInteger="1" minValue="-58" maxValue="91"/>
    </cacheField>
    <cacheField name="Abs_Error" numFmtId="0">
      <sharedItems containsSemiMixedTypes="0" containsString="0" containsNumber="1" containsInteger="1" minValue="0" maxValue="91"/>
    </cacheField>
    <cacheField name="APE" numFmtId="168">
      <sharedItems containsSemiMixedTypes="0" containsString="0" containsNumber="1" minValue="0" maxValue="0.17234848484848486"/>
    </cacheField>
    <cacheField name="APE_Value" numFmtId="2">
      <sharedItems containsSemiMixedTypes="0" containsString="0" containsNumber="1" minValue="0" maxValue="0.17234848484848486"/>
    </cacheField>
    <cacheField name="Months (Month)" numFmtId="0" databaseField="0">
      <fieldGroup base="0">
        <rangePr groupBy="months" startDate="2023-01-01T00:00:00" endDate="2024-12-02T00:00:00"/>
        <groupItems count="14">
          <s v="&lt;1/1/23"/>
          <s v="Jan"/>
          <s v="Feb"/>
          <s v="Mar"/>
          <s v="Apr"/>
          <s v="May"/>
          <s v="Jun"/>
          <s v="Jul"/>
          <s v="Aug"/>
          <s v="Sep"/>
          <s v="Oct"/>
          <s v="Nov"/>
          <s v="Dec"/>
          <s v="&gt;12/2/24"/>
        </groupItems>
      </fieldGroup>
    </cacheField>
    <cacheField name="Quarters (Month)" numFmtId="0" databaseField="0">
      <fieldGroup base="0">
        <rangePr groupBy="quarters" startDate="2023-01-01T00:00:00" endDate="2024-12-02T00:00:00"/>
        <groupItems count="6">
          <s v="&lt;1/1/23"/>
          <s v="Qtr1"/>
          <s v="Qtr2"/>
          <s v="Qtr3"/>
          <s v="Qtr4"/>
          <s v="&gt;12/2/24"/>
        </groupItems>
      </fieldGroup>
    </cacheField>
    <cacheField name="Years (Month)" numFmtId="0" databaseField="0">
      <fieldGroup base="0">
        <rangePr groupBy="years" startDate="2023-01-01T00:00:00" endDate="2024-12-02T00:00:00"/>
        <groupItems count="4">
          <s v="&lt;1/1/23"/>
          <s v="2023"/>
          <s v="2024"/>
          <s v="&gt;12/2/24"/>
        </groupItems>
      </fieldGroup>
    </cacheField>
  </cacheFields>
  <extLst>
    <ext xmlns:x14="http://schemas.microsoft.com/office/spreadsheetml/2009/9/main" uri="{725AE2AE-9491-48be-B2B4-4EB974FC3084}">
      <x14:pivotCacheDefinition pivotCacheId="7248329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Ugbechie" refreshedDate="45855.609224189815" createdVersion="8" refreshedVersion="8" minRefreshableVersion="3" recordCount="72" xr:uid="{6F91666B-87CC-FD40-9204-8944CF3B70AA}">
  <cacheSource type="worksheet">
    <worksheetSource name="Inventory_Holding_Cost"/>
  </cacheSource>
  <cacheFields count="9">
    <cacheField name="Month" numFmtId="14">
      <sharedItems containsSemiMixedTypes="0" containsNonDate="0" containsDate="1" containsString="0" minDate="2023-01-01T00:00:00" maxDate="2024-12-02T00:00:00" count="24">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sharedItems>
      <fieldGroup par="8"/>
    </cacheField>
    <cacheField name="SKU" numFmtId="0">
      <sharedItems count="3">
        <s v="SKU_A"/>
        <s v="SKU_B"/>
        <s v="SKU_C"/>
      </sharedItems>
    </cacheField>
    <cacheField name="Forecast" numFmtId="0">
      <sharedItems containsSemiMixedTypes="0" containsString="0" containsNumber="1" containsInteger="1" minValue="478" maxValue="683"/>
    </cacheField>
    <cacheField name="Actual" numFmtId="0">
      <sharedItems containsSemiMixedTypes="0" containsString="0" containsNumber="1" containsInteger="1" minValue="503" maxValue="646"/>
    </cacheField>
    <cacheField name="Inventory Overhang" numFmtId="0">
      <sharedItems containsSemiMixedTypes="0" containsString="0" containsNumber="1" containsInteger="1" minValue="0" maxValue="83"/>
    </cacheField>
    <cacheField name="Holding Cost ($)" numFmtId="0">
      <sharedItems containsSemiMixedTypes="0" containsString="0" containsNumber="1" containsInteger="1" minValue="0" maxValue="166"/>
    </cacheField>
    <cacheField name="Months (Month)" numFmtId="0" databaseField="0">
      <fieldGroup base="0">
        <rangePr groupBy="months" startDate="2023-01-01T00:00:00" endDate="2024-12-02T00:00:00"/>
        <groupItems count="14">
          <s v="&lt;1/1/23"/>
          <s v="Jan"/>
          <s v="Feb"/>
          <s v="Mar"/>
          <s v="Apr"/>
          <s v="May"/>
          <s v="Jun"/>
          <s v="Jul"/>
          <s v="Aug"/>
          <s v="Sep"/>
          <s v="Oct"/>
          <s v="Nov"/>
          <s v="Dec"/>
          <s v="&gt;12/2/24"/>
        </groupItems>
      </fieldGroup>
    </cacheField>
    <cacheField name="Quarters (Month)" numFmtId="0" databaseField="0">
      <fieldGroup base="0">
        <rangePr groupBy="quarters" startDate="2023-01-01T00:00:00" endDate="2024-12-02T00:00:00"/>
        <groupItems count="6">
          <s v="&lt;1/1/23"/>
          <s v="Qtr1"/>
          <s v="Qtr2"/>
          <s v="Qtr3"/>
          <s v="Qtr4"/>
          <s v="&gt;12/2/24"/>
        </groupItems>
      </fieldGroup>
    </cacheField>
    <cacheField name="Years (Month)" numFmtId="0" databaseField="0">
      <fieldGroup base="0">
        <rangePr groupBy="years" startDate="2023-01-01T00:00:00" endDate="2024-12-02T00:00:00"/>
        <groupItems count="4">
          <s v="&lt;1/1/23"/>
          <s v="2023"/>
          <s v="2024"/>
          <s v="&gt;12/2/24"/>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Ugbechie" refreshedDate="45855.876502314815" createdVersion="8" refreshedVersion="8" minRefreshableVersion="3" recordCount="72" xr:uid="{9D28889F-86EC-4741-9466-0FED725C43B8}">
  <cacheSource type="worksheet">
    <worksheetSource name="Scenario_E_Demand_Shock_Simulation"/>
  </cacheSource>
  <cacheFields count="7">
    <cacheField name="Month" numFmtId="14">
      <sharedItems containsSemiMixedTypes="0" containsNonDate="0" containsDate="1" containsString="0" minDate="2023-01-01T00:00:00" maxDate="2024-12-02T00:00:00"/>
    </cacheField>
    <cacheField name="SKU" numFmtId="0">
      <sharedItems count="3">
        <s v="SKU_A"/>
        <s v="SKU_B"/>
        <s v="SKU_C"/>
      </sharedItems>
    </cacheField>
    <cacheField name="Forecast" numFmtId="0">
      <sharedItems containsSemiMixedTypes="0" containsString="0" containsNumber="1" containsInteger="1" minValue="339" maxValue="759"/>
    </cacheField>
    <cacheField name="Actual" numFmtId="0">
      <sharedItems containsSemiMixedTypes="0" containsString="0" containsNumber="1" containsInteger="1" minValue="329" maxValue="764"/>
    </cacheField>
    <cacheField name="Error" numFmtId="0">
      <sharedItems containsSemiMixedTypes="0" containsString="0" containsNumber="1" containsInteger="1" minValue="-62" maxValue="111"/>
    </cacheField>
    <cacheField name="APE" numFmtId="0">
      <sharedItems containsSemiMixedTypes="0" containsString="0" containsNumber="1" minValue="0" maxValue="0.18690000000000001"/>
    </cacheField>
    <cacheField name="Period" numFmtId="0">
      <sharedItems count="2">
        <s v="Before Shock"/>
        <s v="After Shock"/>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Ugbechie" refreshedDate="45856.299655787036" createdVersion="8" refreshedVersion="8" minRefreshableVersion="3" recordCount="72" xr:uid="{AB355016-171F-DB40-B2B5-67EA8037DF20}">
  <cacheSource type="worksheet">
    <worksheetSource name="Scenario_F_Forecast_to_Cash"/>
  </cacheSource>
  <cacheFields count="9">
    <cacheField name="Month" numFmtId="14">
      <sharedItems containsSemiMixedTypes="0" containsNonDate="0" containsDate="1" containsString="0" minDate="2023-01-01T00:00:00" maxDate="2024-12-02T00:00:00"/>
    </cacheField>
    <cacheField name="SKU" numFmtId="0">
      <sharedItems count="3">
        <s v="SKU_A"/>
        <s v="SKU_B"/>
        <s v="SKU_C"/>
      </sharedItems>
    </cacheField>
    <cacheField name="Forecast" numFmtId="0">
      <sharedItems containsSemiMixedTypes="0" containsString="0" containsNumber="1" containsInteger="1" minValue="500" maxValue="599"/>
    </cacheField>
    <cacheField name="Actual" numFmtId="0">
      <sharedItems containsSemiMixedTypes="0" containsString="0" containsNumber="1" containsInteger="1" minValue="441" maxValue="638"/>
    </cacheField>
    <cacheField name="Unit_Price" numFmtId="0">
      <sharedItems containsSemiMixedTypes="0" containsString="0" containsNumber="1" containsInteger="1" minValue="10" maxValue="15"/>
    </cacheField>
    <cacheField name="Forecast_Revenue" numFmtId="0">
      <sharedItems containsSemiMixedTypes="0" containsString="0" containsNumber="1" containsInteger="1" minValue="5010" maxValue="8925"/>
    </cacheField>
    <cacheField name="Actual_Revenue" numFmtId="0">
      <sharedItems containsSemiMixedTypes="0" containsString="0" containsNumber="1" containsInteger="1" minValue="4410" maxValue="8970"/>
    </cacheField>
    <cacheField name="Revenue_Variance" numFmtId="0">
      <sharedItems containsSemiMixedTypes="0" containsString="0" containsNumber="1" containsInteger="1" minValue="-840" maxValue="730"/>
    </cacheField>
    <cacheField name="Cash_Realized" numFmtId="0">
      <sharedItems containsSemiMixedTypes="0" containsString="0" containsNumber="1" containsInteger="1" minValue="0" maxValue="897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n v="530"/>
    <n v="523"/>
    <n v="7"/>
    <n v="7"/>
    <n v="1.338432122370937E-2"/>
    <n v="1.338432122370937E-2"/>
  </r>
  <r>
    <x v="1"/>
    <x v="0"/>
    <n v="571"/>
    <n v="522"/>
    <n v="49"/>
    <n v="49"/>
    <n v="9.3869731800766285E-2"/>
    <n v="9.3869731800766285E-2"/>
  </r>
  <r>
    <x v="2"/>
    <x v="0"/>
    <n v="511"/>
    <n v="498"/>
    <n v="13"/>
    <n v="13"/>
    <n v="2.6104417670682729E-2"/>
    <n v="2.6104417670682729E-2"/>
  </r>
  <r>
    <x v="3"/>
    <x v="0"/>
    <n v="501"/>
    <n v="499"/>
    <n v="2"/>
    <n v="2"/>
    <n v="4.0080160320641279E-3"/>
    <n v="4.0080160320641279E-3"/>
  </r>
  <r>
    <x v="4"/>
    <x v="0"/>
    <n v="429"/>
    <n v="474"/>
    <n v="-45"/>
    <n v="45"/>
    <n v="9.49367088607595E-2"/>
    <n v="9.49367088607595E-2"/>
  </r>
  <r>
    <x v="5"/>
    <x v="0"/>
    <n v="476"/>
    <n v="455"/>
    <n v="21"/>
    <n v="21"/>
    <n v="4.6153846153846156E-2"/>
    <n v="4.6153846153846156E-2"/>
  </r>
  <r>
    <x v="6"/>
    <x v="0"/>
    <n v="522"/>
    <n v="547"/>
    <n v="-25"/>
    <n v="25"/>
    <n v="4.5703839122486288E-2"/>
    <n v="4.5703839122486288E-2"/>
  </r>
  <r>
    <x v="7"/>
    <x v="0"/>
    <n v="494"/>
    <n v="509"/>
    <n v="-15"/>
    <n v="15"/>
    <n v="2.9469548133595286E-2"/>
    <n v="2.9469548133595286E-2"/>
  </r>
  <r>
    <x v="8"/>
    <x v="0"/>
    <n v="494"/>
    <n v="495"/>
    <n v="-1"/>
    <n v="1"/>
    <n v="2.0202020202020202E-3"/>
    <n v="2.0202020202020202E-3"/>
  </r>
  <r>
    <x v="9"/>
    <x v="0"/>
    <n v="458"/>
    <n v="466"/>
    <n v="-8"/>
    <n v="8"/>
    <n v="1.7167381974248927E-2"/>
    <n v="1.7167381974248927E-2"/>
  </r>
  <r>
    <x v="10"/>
    <x v="0"/>
    <n v="448"/>
    <n v="494"/>
    <n v="-46"/>
    <n v="46"/>
    <n v="9.3117408906882596E-2"/>
    <n v="9.3117408906882596E-2"/>
  </r>
  <r>
    <x v="11"/>
    <x v="0"/>
    <n v="477"/>
    <n v="500"/>
    <n v="-23"/>
    <n v="23"/>
    <n v="4.5999999999999999E-2"/>
    <n v="4.5999999999999999E-2"/>
  </r>
  <r>
    <x v="12"/>
    <x v="0"/>
    <n v="541"/>
    <n v="514"/>
    <n v="27"/>
    <n v="27"/>
    <n v="5.2529182879377433E-2"/>
    <n v="5.2529182879377433E-2"/>
  </r>
  <r>
    <x v="13"/>
    <x v="0"/>
    <n v="526"/>
    <n v="506"/>
    <n v="20"/>
    <n v="20"/>
    <n v="3.9525691699604744E-2"/>
    <n v="3.9525691699604744E-2"/>
  </r>
  <r>
    <x v="14"/>
    <x v="0"/>
    <n v="504"/>
    <n v="484"/>
    <n v="20"/>
    <n v="20"/>
    <n v="4.1322314049586778E-2"/>
    <n v="4.1322314049586778E-2"/>
  </r>
  <r>
    <x v="15"/>
    <x v="0"/>
    <n v="514"/>
    <n v="509"/>
    <n v="5"/>
    <n v="5"/>
    <n v="9.823182711198428E-3"/>
    <n v="9.823182711198428E-3"/>
  </r>
  <r>
    <x v="16"/>
    <x v="0"/>
    <n v="497"/>
    <n v="478"/>
    <n v="19"/>
    <n v="19"/>
    <n v="3.9748953974895397E-2"/>
    <n v="3.9748953974895397E-2"/>
  </r>
  <r>
    <x v="17"/>
    <x v="0"/>
    <n v="486"/>
    <n v="479"/>
    <n v="7"/>
    <n v="7"/>
    <n v="1.4613778705636743E-2"/>
    <n v="1.4613778705636743E-2"/>
  </r>
  <r>
    <x v="18"/>
    <x v="0"/>
    <n v="492"/>
    <n v="497"/>
    <n v="-5"/>
    <n v="5"/>
    <n v="1.0060362173038229E-2"/>
    <n v="1.0060362173038229E-2"/>
  </r>
  <r>
    <x v="19"/>
    <x v="0"/>
    <n v="540"/>
    <n v="506"/>
    <n v="34"/>
    <n v="34"/>
    <n v="6.7193675889328064E-2"/>
    <n v="6.7193675889328064E-2"/>
  </r>
  <r>
    <x v="20"/>
    <x v="0"/>
    <n v="521"/>
    <n v="528"/>
    <n v="-7"/>
    <n v="7"/>
    <n v="1.3257575757575758E-2"/>
    <n v="1.3257575757575758E-2"/>
  </r>
  <r>
    <x v="21"/>
    <x v="0"/>
    <n v="472"/>
    <n v="495"/>
    <n v="-23"/>
    <n v="23"/>
    <n v="4.6464646464646465E-2"/>
    <n v="4.6464646464646465E-2"/>
  </r>
  <r>
    <x v="22"/>
    <x v="0"/>
    <n v="553"/>
    <n v="517"/>
    <n v="36"/>
    <n v="36"/>
    <n v="6.9632495164410058E-2"/>
    <n v="6.9632495164410058E-2"/>
  </r>
  <r>
    <x v="23"/>
    <x v="0"/>
    <n v="543"/>
    <n v="506"/>
    <n v="37"/>
    <n v="37"/>
    <n v="7.3122529644268769E-2"/>
    <n v="7.3122529644268769E-2"/>
  </r>
  <r>
    <x v="0"/>
    <x v="1"/>
    <n v="552"/>
    <n v="580"/>
    <n v="-28"/>
    <n v="28"/>
    <n v="4.8275862068965517E-2"/>
    <n v="4.8275862068965517E-2"/>
  </r>
  <r>
    <x v="1"/>
    <x v="1"/>
    <n v="611"/>
    <n v="569"/>
    <n v="42"/>
    <n v="42"/>
    <n v="7.3813708260105443E-2"/>
    <n v="7.3813708260105443E-2"/>
  </r>
  <r>
    <x v="2"/>
    <x v="1"/>
    <n v="586"/>
    <n v="586"/>
    <n v="0"/>
    <n v="0"/>
    <n v="0"/>
    <n v="0"/>
  </r>
  <r>
    <x v="3"/>
    <x v="1"/>
    <n v="525"/>
    <n v="575"/>
    <n v="-50"/>
    <n v="50"/>
    <n v="8.6956521739130432E-2"/>
    <n v="8.6956521739130432E-2"/>
  </r>
  <r>
    <x v="4"/>
    <x v="1"/>
    <n v="539"/>
    <n v="571"/>
    <n v="-32"/>
    <n v="32"/>
    <n v="5.6042031523642732E-2"/>
    <n v="5.6042031523642732E-2"/>
  </r>
  <r>
    <x v="5"/>
    <x v="1"/>
    <n v="537"/>
    <n v="566"/>
    <n v="-29"/>
    <n v="29"/>
    <n v="5.1236749116607777E-2"/>
    <n v="5.1236749116607777E-2"/>
  </r>
  <r>
    <x v="6"/>
    <x v="1"/>
    <n v="539"/>
    <n v="536"/>
    <n v="3"/>
    <n v="3"/>
    <n v="5.597014925373134E-3"/>
    <n v="5.597014925373134E-3"/>
  </r>
  <r>
    <x v="7"/>
    <x v="1"/>
    <n v="568"/>
    <n v="580"/>
    <n v="-12"/>
    <n v="12"/>
    <n v="2.0689655172413793E-2"/>
    <n v="2.0689655172413793E-2"/>
  </r>
  <r>
    <x v="8"/>
    <x v="1"/>
    <n v="553"/>
    <n v="572"/>
    <n v="-19"/>
    <n v="19"/>
    <n v="3.3216783216783216E-2"/>
    <n v="3.3216783216783216E-2"/>
  </r>
  <r>
    <x v="9"/>
    <x v="1"/>
    <n v="553"/>
    <n v="553"/>
    <n v="0"/>
    <n v="0"/>
    <n v="0"/>
    <n v="0"/>
  </r>
  <r>
    <x v="10"/>
    <x v="1"/>
    <n v="604"/>
    <n v="590"/>
    <n v="14"/>
    <n v="14"/>
    <n v="2.3728813559322035E-2"/>
    <n v="2.3728813559322035E-2"/>
  </r>
  <r>
    <x v="11"/>
    <x v="1"/>
    <n v="522"/>
    <n v="529"/>
    <n v="-7"/>
    <n v="7"/>
    <n v="1.3232514177693762E-2"/>
    <n v="1.3232514177693762E-2"/>
  </r>
  <r>
    <x v="12"/>
    <x v="1"/>
    <n v="578"/>
    <n v="595"/>
    <n v="-17"/>
    <n v="17"/>
    <n v="2.8571428571428571E-2"/>
    <n v="2.8571428571428571E-2"/>
  </r>
  <r>
    <x v="13"/>
    <x v="1"/>
    <n v="590"/>
    <n v="602"/>
    <n v="-12"/>
    <n v="12"/>
    <n v="1.9933554817275746E-2"/>
    <n v="1.9933554817275746E-2"/>
  </r>
  <r>
    <x v="14"/>
    <x v="1"/>
    <n v="557"/>
    <n v="547"/>
    <n v="10"/>
    <n v="10"/>
    <n v="1.8281535648994516E-2"/>
    <n v="1.8281535648994516E-2"/>
  </r>
  <r>
    <x v="15"/>
    <x v="1"/>
    <n v="574"/>
    <n v="574"/>
    <n v="0"/>
    <n v="0"/>
    <n v="0"/>
    <n v="0"/>
  </r>
  <r>
    <x v="16"/>
    <x v="1"/>
    <n v="629"/>
    <n v="606"/>
    <n v="23"/>
    <n v="23"/>
    <n v="3.7953795379537955E-2"/>
    <n v="3.7953795379537955E-2"/>
  </r>
  <r>
    <x v="17"/>
    <x v="1"/>
    <n v="503"/>
    <n v="537"/>
    <n v="-34"/>
    <n v="34"/>
    <n v="6.3314711359404099E-2"/>
    <n v="6.3314711359404099E-2"/>
  </r>
  <r>
    <x v="18"/>
    <x v="1"/>
    <n v="543"/>
    <n v="566"/>
    <n v="-23"/>
    <n v="23"/>
    <n v="4.0636042402826852E-2"/>
    <n v="4.0636042402826852E-2"/>
  </r>
  <r>
    <x v="19"/>
    <x v="1"/>
    <n v="624"/>
    <n v="601"/>
    <n v="23"/>
    <n v="23"/>
    <n v="3.8269550748752081E-2"/>
    <n v="3.8269550748752081E-2"/>
  </r>
  <r>
    <x v="20"/>
    <x v="1"/>
    <n v="548"/>
    <n v="572"/>
    <n v="-24"/>
    <n v="24"/>
    <n v="4.195804195804196E-2"/>
    <n v="4.195804195804196E-2"/>
  </r>
  <r>
    <x v="21"/>
    <x v="1"/>
    <n v="591"/>
    <n v="550"/>
    <n v="41"/>
    <n v="41"/>
    <n v="7.454545454545454E-2"/>
    <n v="7.454545454545454E-2"/>
  </r>
  <r>
    <x v="22"/>
    <x v="1"/>
    <n v="602"/>
    <n v="560"/>
    <n v="42"/>
    <n v="42"/>
    <n v="7.4999999999999997E-2"/>
    <n v="7.4999999999999997E-2"/>
  </r>
  <r>
    <x v="23"/>
    <x v="1"/>
    <n v="599"/>
    <n v="558"/>
    <n v="41"/>
    <n v="41"/>
    <n v="7.3476702508960573E-2"/>
    <n v="7.3476702508960573E-2"/>
  </r>
  <r>
    <x v="0"/>
    <x v="2"/>
    <n v="602"/>
    <n v="562"/>
    <n v="40"/>
    <n v="40"/>
    <n v="7.1174377224199295E-2"/>
    <n v="7.1174377224199295E-2"/>
  </r>
  <r>
    <x v="1"/>
    <x v="2"/>
    <n v="489"/>
    <n v="511"/>
    <n v="-22"/>
    <n v="22"/>
    <n v="4.3052837573385516E-2"/>
    <n v="4.3052837573385516E-2"/>
  </r>
  <r>
    <x v="2"/>
    <x v="2"/>
    <n v="523"/>
    <n v="551"/>
    <n v="-28"/>
    <n v="28"/>
    <n v="5.0816696914700546E-2"/>
    <n v="5.0816696914700546E-2"/>
  </r>
  <r>
    <x v="3"/>
    <x v="2"/>
    <n v="559"/>
    <n v="526"/>
    <n v="33"/>
    <n v="33"/>
    <n v="6.2737642585551326E-2"/>
    <n v="6.2737642585551326E-2"/>
  </r>
  <r>
    <x v="4"/>
    <x v="2"/>
    <n v="572"/>
    <n v="553"/>
    <n v="19"/>
    <n v="19"/>
    <n v="3.4358047016274866E-2"/>
    <n v="3.4358047016274866E-2"/>
  </r>
  <r>
    <x v="5"/>
    <x v="2"/>
    <n v="619"/>
    <n v="528"/>
    <n v="91"/>
    <n v="91"/>
    <n v="0.17234848484848486"/>
    <n v="0.17234848484848486"/>
  </r>
  <r>
    <x v="6"/>
    <x v="2"/>
    <n v="546"/>
    <n v="585"/>
    <n v="-39"/>
    <n v="39"/>
    <n v="6.6666666666666666E-2"/>
    <n v="6.6666666666666666E-2"/>
  </r>
  <r>
    <x v="7"/>
    <x v="2"/>
    <n v="560"/>
    <n v="539"/>
    <n v="21"/>
    <n v="21"/>
    <n v="3.896103896103896E-2"/>
    <n v="3.896103896103896E-2"/>
  </r>
  <r>
    <x v="8"/>
    <x v="2"/>
    <n v="559"/>
    <n v="550"/>
    <n v="9"/>
    <n v="9"/>
    <n v="1.6363636363636365E-2"/>
    <n v="1.6363636363636365E-2"/>
  </r>
  <r>
    <x v="9"/>
    <x v="2"/>
    <n v="518"/>
    <n v="517"/>
    <n v="1"/>
    <n v="1"/>
    <n v="1.9342359767891683E-3"/>
    <n v="1.9342359767891683E-3"/>
  </r>
  <r>
    <x v="10"/>
    <x v="2"/>
    <n v="578"/>
    <n v="551"/>
    <n v="27"/>
    <n v="27"/>
    <n v="4.9001814882032667E-2"/>
    <n v="4.9001814882032667E-2"/>
  </r>
  <r>
    <x v="11"/>
    <x v="2"/>
    <n v="539"/>
    <n v="539"/>
    <n v="0"/>
    <n v="0"/>
    <n v="0"/>
    <n v="0"/>
  </r>
  <r>
    <x v="12"/>
    <x v="2"/>
    <n v="484"/>
    <n v="542"/>
    <n v="-58"/>
    <n v="58"/>
    <n v="0.1070110701107011"/>
    <n v="0.1070110701107011"/>
  </r>
  <r>
    <x v="13"/>
    <x v="2"/>
    <n v="490"/>
    <n v="515"/>
    <n v="-25"/>
    <n v="25"/>
    <n v="4.8543689320388349E-2"/>
    <n v="4.8543689320388349E-2"/>
  </r>
  <r>
    <x v="14"/>
    <x v="2"/>
    <n v="592"/>
    <n v="552"/>
    <n v="40"/>
    <n v="40"/>
    <n v="7.2463768115942032E-2"/>
    <n v="7.2463768115942032E-2"/>
  </r>
  <r>
    <x v="15"/>
    <x v="2"/>
    <n v="601"/>
    <n v="566"/>
    <n v="35"/>
    <n v="35"/>
    <n v="6.1837455830388695E-2"/>
    <n v="6.1837455830388695E-2"/>
  </r>
  <r>
    <x v="16"/>
    <x v="2"/>
    <n v="560"/>
    <n v="571"/>
    <n v="-11"/>
    <n v="11"/>
    <n v="1.9264448336252189E-2"/>
    <n v="1.9264448336252189E-2"/>
  </r>
  <r>
    <x v="17"/>
    <x v="2"/>
    <n v="598"/>
    <n v="583"/>
    <n v="15"/>
    <n v="15"/>
    <n v="2.5728987993138937E-2"/>
    <n v="2.5728987993138937E-2"/>
  </r>
  <r>
    <x v="18"/>
    <x v="2"/>
    <n v="632"/>
    <n v="549"/>
    <n v="83"/>
    <n v="83"/>
    <n v="0.151183970856102"/>
    <n v="0.151183970856102"/>
  </r>
  <r>
    <x v="19"/>
    <x v="2"/>
    <n v="529"/>
    <n v="529"/>
    <n v="0"/>
    <n v="0"/>
    <n v="0"/>
    <n v="0"/>
  </r>
  <r>
    <x v="20"/>
    <x v="2"/>
    <n v="525"/>
    <n v="525"/>
    <n v="0"/>
    <n v="0"/>
    <n v="0"/>
    <n v="0"/>
  </r>
  <r>
    <x v="21"/>
    <x v="2"/>
    <n v="540"/>
    <n v="535"/>
    <n v="5"/>
    <n v="5"/>
    <n v="9.3457943925233638E-3"/>
    <n v="9.3457943925233638E-3"/>
  </r>
  <r>
    <x v="22"/>
    <x v="2"/>
    <n v="531"/>
    <n v="513"/>
    <n v="18"/>
    <n v="18"/>
    <n v="3.5087719298245612E-2"/>
    <n v="3.5087719298245612E-2"/>
  </r>
  <r>
    <x v="23"/>
    <x v="2"/>
    <n v="528"/>
    <n v="538"/>
    <n v="-10"/>
    <n v="10"/>
    <n v="1.858736059479554E-2"/>
    <n v="1.85873605947955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n v="581"/>
    <n v="574"/>
    <n v="7"/>
    <n v="14"/>
  </r>
  <r>
    <x v="1"/>
    <x v="0"/>
    <n v="621"/>
    <n v="572"/>
    <n v="49"/>
    <n v="98"/>
  </r>
  <r>
    <x v="2"/>
    <x v="0"/>
    <n v="561"/>
    <n v="548"/>
    <n v="13"/>
    <n v="26"/>
  </r>
  <r>
    <x v="3"/>
    <x v="0"/>
    <n v="551"/>
    <n v="549"/>
    <n v="2"/>
    <n v="4"/>
  </r>
  <r>
    <x v="4"/>
    <x v="0"/>
    <n v="478"/>
    <n v="523"/>
    <n v="0"/>
    <n v="0"/>
  </r>
  <r>
    <x v="5"/>
    <x v="0"/>
    <n v="524"/>
    <n v="503"/>
    <n v="21"/>
    <n v="42"/>
  </r>
  <r>
    <x v="6"/>
    <x v="0"/>
    <n v="574"/>
    <n v="599"/>
    <n v="0"/>
    <n v="0"/>
  </r>
  <r>
    <x v="7"/>
    <x v="0"/>
    <n v="544"/>
    <n v="559"/>
    <n v="0"/>
    <n v="0"/>
  </r>
  <r>
    <x v="8"/>
    <x v="0"/>
    <n v="544"/>
    <n v="545"/>
    <n v="0"/>
    <n v="0"/>
  </r>
  <r>
    <x v="9"/>
    <x v="0"/>
    <n v="506"/>
    <n v="514"/>
    <n v="0"/>
    <n v="0"/>
  </r>
  <r>
    <x v="10"/>
    <x v="0"/>
    <n v="498"/>
    <n v="544"/>
    <n v="0"/>
    <n v="0"/>
  </r>
  <r>
    <x v="11"/>
    <x v="0"/>
    <n v="527"/>
    <n v="550"/>
    <n v="0"/>
    <n v="0"/>
  </r>
  <r>
    <x v="12"/>
    <x v="0"/>
    <n v="591"/>
    <n v="564"/>
    <n v="27"/>
    <n v="54"/>
  </r>
  <r>
    <x v="13"/>
    <x v="0"/>
    <n v="576"/>
    <n v="556"/>
    <n v="20"/>
    <n v="40"/>
  </r>
  <r>
    <x v="14"/>
    <x v="0"/>
    <n v="553"/>
    <n v="533"/>
    <n v="20"/>
    <n v="40"/>
  </r>
  <r>
    <x v="15"/>
    <x v="0"/>
    <n v="564"/>
    <n v="559"/>
    <n v="5"/>
    <n v="10"/>
  </r>
  <r>
    <x v="16"/>
    <x v="0"/>
    <n v="546"/>
    <n v="527"/>
    <n v="19"/>
    <n v="38"/>
  </r>
  <r>
    <x v="17"/>
    <x v="0"/>
    <n v="535"/>
    <n v="528"/>
    <n v="7"/>
    <n v="14"/>
  </r>
  <r>
    <x v="18"/>
    <x v="0"/>
    <n v="542"/>
    <n v="547"/>
    <n v="0"/>
    <n v="0"/>
  </r>
  <r>
    <x v="19"/>
    <x v="0"/>
    <n v="590"/>
    <n v="556"/>
    <n v="34"/>
    <n v="68"/>
  </r>
  <r>
    <x v="20"/>
    <x v="0"/>
    <n v="572"/>
    <n v="579"/>
    <n v="0"/>
    <n v="0"/>
  </r>
  <r>
    <x v="21"/>
    <x v="0"/>
    <n v="522"/>
    <n v="545"/>
    <n v="0"/>
    <n v="0"/>
  </r>
  <r>
    <x v="22"/>
    <x v="0"/>
    <n v="604"/>
    <n v="568"/>
    <n v="36"/>
    <n v="72"/>
  </r>
  <r>
    <x v="23"/>
    <x v="0"/>
    <n v="594"/>
    <n v="557"/>
    <n v="37"/>
    <n v="74"/>
  </r>
  <r>
    <x v="0"/>
    <x v="1"/>
    <n v="569"/>
    <n v="537"/>
    <n v="32"/>
    <n v="64"/>
  </r>
  <r>
    <x v="1"/>
    <x v="1"/>
    <n v="575"/>
    <n v="545"/>
    <n v="30"/>
    <n v="60"/>
  </r>
  <r>
    <x v="2"/>
    <x v="1"/>
    <n v="568"/>
    <n v="581"/>
    <n v="0"/>
    <n v="0"/>
  </r>
  <r>
    <x v="3"/>
    <x v="1"/>
    <n v="532"/>
    <n v="534"/>
    <n v="0"/>
    <n v="0"/>
  </r>
  <r>
    <x v="4"/>
    <x v="1"/>
    <n v="556"/>
    <n v="519"/>
    <n v="37"/>
    <n v="74"/>
  </r>
  <r>
    <x v="5"/>
    <x v="1"/>
    <n v="489"/>
    <n v="531"/>
    <n v="0"/>
    <n v="0"/>
  </r>
  <r>
    <x v="6"/>
    <x v="1"/>
    <n v="561"/>
    <n v="551"/>
    <n v="10"/>
    <n v="20"/>
  </r>
  <r>
    <x v="7"/>
    <x v="1"/>
    <n v="626"/>
    <n v="567"/>
    <n v="59"/>
    <n v="118"/>
  </r>
  <r>
    <x v="8"/>
    <x v="1"/>
    <n v="618"/>
    <n v="560"/>
    <n v="58"/>
    <n v="116"/>
  </r>
  <r>
    <x v="9"/>
    <x v="1"/>
    <n v="502"/>
    <n v="560"/>
    <n v="0"/>
    <n v="0"/>
  </r>
  <r>
    <x v="10"/>
    <x v="1"/>
    <n v="563"/>
    <n v="585"/>
    <n v="0"/>
    <n v="0"/>
  </r>
  <r>
    <x v="11"/>
    <x v="1"/>
    <n v="544"/>
    <n v="539"/>
    <n v="5"/>
    <n v="10"/>
  </r>
  <r>
    <x v="12"/>
    <x v="1"/>
    <n v="511"/>
    <n v="550"/>
    <n v="0"/>
    <n v="0"/>
  </r>
  <r>
    <x v="13"/>
    <x v="1"/>
    <n v="527"/>
    <n v="547"/>
    <n v="0"/>
    <n v="0"/>
  </r>
  <r>
    <x v="14"/>
    <x v="1"/>
    <n v="537"/>
    <n v="541"/>
    <n v="0"/>
    <n v="0"/>
  </r>
  <r>
    <x v="15"/>
    <x v="1"/>
    <n v="585"/>
    <n v="543"/>
    <n v="42"/>
    <n v="84"/>
  </r>
  <r>
    <x v="16"/>
    <x v="1"/>
    <n v="536"/>
    <n v="537"/>
    <n v="0"/>
    <n v="0"/>
  </r>
  <r>
    <x v="17"/>
    <x v="1"/>
    <n v="545"/>
    <n v="539"/>
    <n v="6"/>
    <n v="12"/>
  </r>
  <r>
    <x v="18"/>
    <x v="1"/>
    <n v="570"/>
    <n v="555"/>
    <n v="15"/>
    <n v="30"/>
  </r>
  <r>
    <x v="19"/>
    <x v="1"/>
    <n v="582"/>
    <n v="566"/>
    <n v="16"/>
    <n v="32"/>
  </r>
  <r>
    <x v="20"/>
    <x v="1"/>
    <n v="534"/>
    <n v="534"/>
    <n v="0"/>
    <n v="0"/>
  </r>
  <r>
    <x v="21"/>
    <x v="1"/>
    <n v="497"/>
    <n v="532"/>
    <n v="0"/>
    <n v="0"/>
  </r>
  <r>
    <x v="22"/>
    <x v="1"/>
    <n v="569"/>
    <n v="546"/>
    <n v="23"/>
    <n v="46"/>
  </r>
  <r>
    <x v="23"/>
    <x v="1"/>
    <n v="547"/>
    <n v="535"/>
    <n v="12"/>
    <n v="24"/>
  </r>
  <r>
    <x v="0"/>
    <x v="2"/>
    <n v="638"/>
    <n v="611"/>
    <n v="27"/>
    <n v="54"/>
  </r>
  <r>
    <x v="1"/>
    <x v="2"/>
    <n v="585"/>
    <n v="585"/>
    <n v="0"/>
    <n v="0"/>
  </r>
  <r>
    <x v="2"/>
    <x v="2"/>
    <n v="588"/>
    <n v="646"/>
    <n v="0"/>
    <n v="0"/>
  </r>
  <r>
    <x v="3"/>
    <x v="2"/>
    <n v="572"/>
    <n v="597"/>
    <n v="0"/>
    <n v="0"/>
  </r>
  <r>
    <x v="4"/>
    <x v="2"/>
    <n v="649"/>
    <n v="609"/>
    <n v="40"/>
    <n v="80"/>
  </r>
  <r>
    <x v="5"/>
    <x v="2"/>
    <n v="609"/>
    <n v="574"/>
    <n v="35"/>
    <n v="70"/>
  </r>
  <r>
    <x v="6"/>
    <x v="2"/>
    <n v="599"/>
    <n v="610"/>
    <n v="0"/>
    <n v="0"/>
  </r>
  <r>
    <x v="7"/>
    <x v="2"/>
    <n v="612"/>
    <n v="597"/>
    <n v="15"/>
    <n v="30"/>
  </r>
  <r>
    <x v="8"/>
    <x v="2"/>
    <n v="683"/>
    <n v="600"/>
    <n v="83"/>
    <n v="166"/>
  </r>
  <r>
    <x v="9"/>
    <x v="2"/>
    <n v="571"/>
    <n v="571"/>
    <n v="0"/>
    <n v="0"/>
  </r>
  <r>
    <x v="10"/>
    <x v="2"/>
    <n v="610"/>
    <n v="610"/>
    <n v="0"/>
    <n v="0"/>
  </r>
  <r>
    <x v="11"/>
    <x v="2"/>
    <n v="631"/>
    <n v="626"/>
    <n v="5"/>
    <n v="10"/>
  </r>
  <r>
    <x v="12"/>
    <x v="2"/>
    <n v="649"/>
    <n v="631"/>
    <n v="18"/>
    <n v="36"/>
  </r>
  <r>
    <x v="13"/>
    <x v="2"/>
    <n v="634"/>
    <n v="644"/>
    <n v="0"/>
    <n v="0"/>
  </r>
  <r>
    <x v="14"/>
    <x v="2"/>
    <n v="626"/>
    <n v="608"/>
    <n v="18"/>
    <n v="36"/>
  </r>
  <r>
    <x v="15"/>
    <x v="2"/>
    <n v="529"/>
    <n v="587"/>
    <n v="0"/>
    <n v="0"/>
  </r>
  <r>
    <x v="16"/>
    <x v="2"/>
    <n v="592"/>
    <n v="582"/>
    <n v="10"/>
    <n v="20"/>
  </r>
  <r>
    <x v="17"/>
    <x v="2"/>
    <n v="571"/>
    <n v="570"/>
    <n v="1"/>
    <n v="2"/>
  </r>
  <r>
    <x v="18"/>
    <x v="2"/>
    <n v="590"/>
    <n v="596"/>
    <n v="0"/>
    <n v="0"/>
  </r>
  <r>
    <x v="19"/>
    <x v="2"/>
    <n v="572"/>
    <n v="586"/>
    <n v="0"/>
    <n v="0"/>
  </r>
  <r>
    <x v="20"/>
    <x v="2"/>
    <n v="594"/>
    <n v="612"/>
    <n v="0"/>
    <n v="0"/>
  </r>
  <r>
    <x v="21"/>
    <x v="2"/>
    <n v="575"/>
    <n v="599"/>
    <n v="0"/>
    <n v="0"/>
  </r>
  <r>
    <x v="22"/>
    <x v="2"/>
    <n v="537"/>
    <n v="606"/>
    <n v="0"/>
    <n v="0"/>
  </r>
  <r>
    <x v="23"/>
    <x v="2"/>
    <n v="594"/>
    <n v="602"/>
    <n v="0"/>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d v="2023-01-01T00:00:00"/>
    <x v="0"/>
    <n v="540"/>
    <n v="541"/>
    <n v="-1"/>
    <n v="1.8E-3"/>
    <x v="0"/>
  </r>
  <r>
    <d v="2023-02-01T00:00:00"/>
    <x v="0"/>
    <n v="549"/>
    <n v="537"/>
    <n v="12"/>
    <n v="2.23E-2"/>
    <x v="0"/>
  </r>
  <r>
    <d v="2023-03-01T00:00:00"/>
    <x v="0"/>
    <n v="450"/>
    <n v="481"/>
    <n v="-31"/>
    <n v="6.4399999999999999E-2"/>
    <x v="0"/>
  </r>
  <r>
    <d v="2023-04-01T00:00:00"/>
    <x v="0"/>
    <n v="571"/>
    <n v="523"/>
    <n v="48"/>
    <n v="9.1800000000000007E-2"/>
    <x v="0"/>
  </r>
  <r>
    <d v="2023-05-01T00:00:00"/>
    <x v="0"/>
    <n v="558"/>
    <n v="519"/>
    <n v="39"/>
    <n v="7.51E-2"/>
    <x v="0"/>
  </r>
  <r>
    <d v="2023-06-01T00:00:00"/>
    <x v="0"/>
    <n v="521"/>
    <n v="495"/>
    <n v="26"/>
    <n v="5.2499999999999998E-2"/>
    <x v="0"/>
  </r>
  <r>
    <d v="2023-07-01T00:00:00"/>
    <x v="0"/>
    <n v="493"/>
    <n v="499"/>
    <n v="-6"/>
    <n v="1.2E-2"/>
    <x v="0"/>
  </r>
  <r>
    <d v="2023-08-01T00:00:00"/>
    <x v="0"/>
    <n v="513"/>
    <n v="501"/>
    <n v="12"/>
    <n v="2.4E-2"/>
    <x v="0"/>
  </r>
  <r>
    <d v="2023-09-01T00:00:00"/>
    <x v="0"/>
    <n v="565"/>
    <n v="517"/>
    <n v="48"/>
    <n v="9.2799999999999994E-2"/>
    <x v="0"/>
  </r>
  <r>
    <d v="2023-10-01T00:00:00"/>
    <x v="0"/>
    <n v="474"/>
    <n v="503"/>
    <n v="-29"/>
    <n v="5.7700000000000001E-2"/>
    <x v="0"/>
  </r>
  <r>
    <d v="2023-11-01T00:00:00"/>
    <x v="0"/>
    <n v="594"/>
    <n v="501"/>
    <n v="93"/>
    <n v="0.18559999999999999"/>
    <x v="0"/>
  </r>
  <r>
    <d v="2023-12-01T00:00:00"/>
    <x v="0"/>
    <n v="473"/>
    <n v="516"/>
    <n v="-43"/>
    <n v="8.3299999999999999E-2"/>
    <x v="0"/>
  </r>
  <r>
    <d v="2024-01-01T00:00:00"/>
    <x v="0"/>
    <n v="351"/>
    <n v="343"/>
    <n v="8"/>
    <n v="2.3300000000000001E-2"/>
    <x v="1"/>
  </r>
  <r>
    <d v="2024-02-01T00:00:00"/>
    <x v="0"/>
    <n v="693"/>
    <n v="696"/>
    <n v="-3"/>
    <n v="4.3E-3"/>
    <x v="1"/>
  </r>
  <r>
    <d v="2024-03-01T00:00:00"/>
    <x v="0"/>
    <n v="351"/>
    <n v="329"/>
    <n v="22"/>
    <n v="6.6900000000000001E-2"/>
    <x v="1"/>
  </r>
  <r>
    <d v="2024-04-01T00:00:00"/>
    <x v="0"/>
    <n v="339"/>
    <n v="362"/>
    <n v="-23"/>
    <n v="6.3500000000000001E-2"/>
    <x v="1"/>
  </r>
  <r>
    <d v="2024-05-01T00:00:00"/>
    <x v="0"/>
    <n v="357"/>
    <n v="376"/>
    <n v="-19"/>
    <n v="5.0500000000000003E-2"/>
    <x v="1"/>
  </r>
  <r>
    <d v="2024-06-01T00:00:00"/>
    <x v="0"/>
    <n v="651"/>
    <n v="665"/>
    <n v="-14"/>
    <n v="2.1100000000000001E-2"/>
    <x v="1"/>
  </r>
  <r>
    <d v="2024-07-01T00:00:00"/>
    <x v="0"/>
    <n v="507"/>
    <n v="542"/>
    <n v="-35"/>
    <n v="6.4600000000000005E-2"/>
    <x v="1"/>
  </r>
  <r>
    <d v="2024-08-01T00:00:00"/>
    <x v="0"/>
    <n v="543"/>
    <n v="539"/>
    <n v="4"/>
    <n v="7.4000000000000003E-3"/>
    <x v="1"/>
  </r>
  <r>
    <d v="2024-09-01T00:00:00"/>
    <x v="0"/>
    <n v="604"/>
    <n v="568"/>
    <n v="36"/>
    <n v="6.3399999999999998E-2"/>
    <x v="1"/>
  </r>
  <r>
    <d v="2024-10-01T00:00:00"/>
    <x v="0"/>
    <n v="575"/>
    <n v="516"/>
    <n v="59"/>
    <n v="0.1143"/>
    <x v="1"/>
  </r>
  <r>
    <d v="2024-11-01T00:00:00"/>
    <x v="0"/>
    <n v="575"/>
    <n v="535"/>
    <n v="40"/>
    <n v="7.4800000000000005E-2"/>
    <x v="1"/>
  </r>
  <r>
    <d v="2024-12-01T00:00:00"/>
    <x v="0"/>
    <n v="425"/>
    <n v="469"/>
    <n v="-44"/>
    <n v="9.3799999999999994E-2"/>
    <x v="1"/>
  </r>
  <r>
    <d v="2023-01-01T00:00:00"/>
    <x v="1"/>
    <n v="557"/>
    <n v="518"/>
    <n v="39"/>
    <n v="7.5300000000000006E-2"/>
    <x v="0"/>
  </r>
  <r>
    <d v="2023-02-01T00:00:00"/>
    <x v="1"/>
    <n v="601"/>
    <n v="574"/>
    <n v="27"/>
    <n v="4.7E-2"/>
    <x v="0"/>
  </r>
  <r>
    <d v="2023-03-01T00:00:00"/>
    <x v="1"/>
    <n v="522"/>
    <n v="584"/>
    <n v="-62"/>
    <n v="0.1062"/>
    <x v="0"/>
  </r>
  <r>
    <d v="2023-04-01T00:00:00"/>
    <x v="1"/>
    <n v="546"/>
    <n v="553"/>
    <n v="-7"/>
    <n v="1.2699999999999999E-2"/>
    <x v="0"/>
  </r>
  <r>
    <d v="2023-05-01T00:00:00"/>
    <x v="1"/>
    <n v="617"/>
    <n v="587"/>
    <n v="30"/>
    <n v="5.11E-2"/>
    <x v="0"/>
  </r>
  <r>
    <d v="2023-06-01T00:00:00"/>
    <x v="1"/>
    <n v="537"/>
    <n v="546"/>
    <n v="-9"/>
    <n v="1.6500000000000001E-2"/>
    <x v="0"/>
  </r>
  <r>
    <d v="2023-07-01T00:00:00"/>
    <x v="1"/>
    <n v="592"/>
    <n v="560"/>
    <n v="32"/>
    <n v="5.7099999999999998E-2"/>
    <x v="0"/>
  </r>
  <r>
    <d v="2023-08-01T00:00:00"/>
    <x v="1"/>
    <n v="594"/>
    <n v="594"/>
    <n v="0"/>
    <n v="0"/>
    <x v="0"/>
  </r>
  <r>
    <d v="2023-09-01T00:00:00"/>
    <x v="1"/>
    <n v="634"/>
    <n v="559"/>
    <n v="75"/>
    <n v="0.13420000000000001"/>
    <x v="0"/>
  </r>
  <r>
    <d v="2023-10-01T00:00:00"/>
    <x v="1"/>
    <n v="523"/>
    <n v="528"/>
    <n v="-5"/>
    <n v="9.4999999999999998E-3"/>
    <x v="0"/>
  </r>
  <r>
    <d v="2023-11-01T00:00:00"/>
    <x v="1"/>
    <n v="508"/>
    <n v="533"/>
    <n v="-25"/>
    <n v="4.6899999999999997E-2"/>
    <x v="0"/>
  </r>
  <r>
    <d v="2023-12-01T00:00:00"/>
    <x v="1"/>
    <n v="564"/>
    <n v="562"/>
    <n v="2"/>
    <n v="3.5999999999999999E-3"/>
    <x v="0"/>
  </r>
  <r>
    <d v="2024-01-01T00:00:00"/>
    <x v="1"/>
    <n v="723"/>
    <n v="743"/>
    <n v="-20"/>
    <n v="2.69E-2"/>
    <x v="1"/>
  </r>
  <r>
    <d v="2024-02-01T00:00:00"/>
    <x v="1"/>
    <n v="406"/>
    <n v="415"/>
    <n v="-9"/>
    <n v="2.1700000000000001E-2"/>
    <x v="1"/>
  </r>
  <r>
    <d v="2024-03-01T00:00:00"/>
    <x v="1"/>
    <n v="736"/>
    <n v="754"/>
    <n v="-18"/>
    <n v="2.3900000000000001E-2"/>
    <x v="1"/>
  </r>
  <r>
    <d v="2024-04-01T00:00:00"/>
    <x v="1"/>
    <n v="694"/>
    <n v="725"/>
    <n v="-31"/>
    <n v="4.2799999999999998E-2"/>
    <x v="1"/>
  </r>
  <r>
    <d v="2024-05-01T00:00:00"/>
    <x v="1"/>
    <n v="410"/>
    <n v="379"/>
    <n v="31"/>
    <n v="8.1799999999999998E-2"/>
    <x v="1"/>
  </r>
  <r>
    <d v="2024-06-01T00:00:00"/>
    <x v="1"/>
    <n v="401"/>
    <n v="401"/>
    <n v="0"/>
    <n v="0"/>
    <x v="1"/>
  </r>
  <r>
    <d v="2024-07-01T00:00:00"/>
    <x v="1"/>
    <n v="621"/>
    <n v="615"/>
    <n v="6"/>
    <n v="9.7999999999999997E-3"/>
    <x v="1"/>
  </r>
  <r>
    <d v="2024-08-01T00:00:00"/>
    <x v="1"/>
    <n v="515"/>
    <n v="565"/>
    <n v="-50"/>
    <n v="8.8499999999999995E-2"/>
    <x v="1"/>
  </r>
  <r>
    <d v="2024-09-01T00:00:00"/>
    <x v="1"/>
    <n v="594"/>
    <n v="554"/>
    <n v="40"/>
    <n v="7.22E-2"/>
    <x v="1"/>
  </r>
  <r>
    <d v="2024-10-01T00:00:00"/>
    <x v="1"/>
    <n v="508"/>
    <n v="566"/>
    <n v="-58"/>
    <n v="0.10249999999999999"/>
    <x v="1"/>
  </r>
  <r>
    <d v="2024-11-01T00:00:00"/>
    <x v="1"/>
    <n v="527"/>
    <n v="533"/>
    <n v="-6"/>
    <n v="1.1299999999999999E-2"/>
    <x v="1"/>
  </r>
  <r>
    <d v="2024-12-01T00:00:00"/>
    <x v="1"/>
    <n v="539"/>
    <n v="538"/>
    <n v="1"/>
    <n v="1.9E-3"/>
    <x v="1"/>
  </r>
  <r>
    <d v="2023-01-01T00:00:00"/>
    <x v="2"/>
    <n v="531"/>
    <n v="546"/>
    <n v="-15"/>
    <n v="2.75E-2"/>
    <x v="0"/>
  </r>
  <r>
    <d v="2023-02-01T00:00:00"/>
    <x v="2"/>
    <n v="626"/>
    <n v="604"/>
    <n v="22"/>
    <n v="3.6400000000000002E-2"/>
    <x v="0"/>
  </r>
  <r>
    <d v="2023-03-01T00:00:00"/>
    <x v="2"/>
    <n v="517"/>
    <n v="558"/>
    <n v="-41"/>
    <n v="7.3499999999999996E-2"/>
    <x v="0"/>
  </r>
  <r>
    <d v="2023-04-01T00:00:00"/>
    <x v="2"/>
    <n v="650"/>
    <n v="580"/>
    <n v="70"/>
    <n v="0.1207"/>
    <x v="0"/>
  </r>
  <r>
    <d v="2023-05-01T00:00:00"/>
    <x v="2"/>
    <n v="512"/>
    <n v="531"/>
    <n v="-19"/>
    <n v="3.5799999999999998E-2"/>
    <x v="0"/>
  </r>
  <r>
    <d v="2023-06-01T00:00:00"/>
    <x v="2"/>
    <n v="569"/>
    <n v="561"/>
    <n v="8"/>
    <n v="1.43E-2"/>
    <x v="0"/>
  </r>
  <r>
    <d v="2023-07-01T00:00:00"/>
    <x v="2"/>
    <n v="542"/>
    <n v="531"/>
    <n v="11"/>
    <n v="2.07E-2"/>
    <x v="0"/>
  </r>
  <r>
    <d v="2023-08-01T00:00:00"/>
    <x v="2"/>
    <n v="617"/>
    <n v="571"/>
    <n v="46"/>
    <n v="8.0600000000000005E-2"/>
    <x v="0"/>
  </r>
  <r>
    <d v="2023-09-01T00:00:00"/>
    <x v="2"/>
    <n v="591"/>
    <n v="553"/>
    <n v="38"/>
    <n v="6.8699999999999997E-2"/>
    <x v="0"/>
  </r>
  <r>
    <d v="2023-10-01T00:00:00"/>
    <x v="2"/>
    <n v="592"/>
    <n v="564"/>
    <n v="28"/>
    <n v="4.9599999999999998E-2"/>
    <x v="0"/>
  </r>
  <r>
    <d v="2023-11-01T00:00:00"/>
    <x v="2"/>
    <n v="584"/>
    <n v="577"/>
    <n v="7"/>
    <n v="1.21E-2"/>
    <x v="0"/>
  </r>
  <r>
    <d v="2023-12-01T00:00:00"/>
    <x v="2"/>
    <n v="567"/>
    <n v="556"/>
    <n v="11"/>
    <n v="1.9800000000000002E-2"/>
    <x v="0"/>
  </r>
  <r>
    <d v="2024-01-01T00:00:00"/>
    <x v="2"/>
    <n v="717"/>
    <n v="709"/>
    <n v="8"/>
    <n v="1.1299999999999999E-2"/>
    <x v="1"/>
  </r>
  <r>
    <d v="2024-02-01T00:00:00"/>
    <x v="2"/>
    <n v="439"/>
    <n v="400"/>
    <n v="39"/>
    <n v="9.7500000000000003E-2"/>
    <x v="1"/>
  </r>
  <r>
    <d v="2024-03-01T00:00:00"/>
    <x v="2"/>
    <n v="759"/>
    <n v="748"/>
    <n v="11"/>
    <n v="1.47E-2"/>
    <x v="1"/>
  </r>
  <r>
    <d v="2024-04-01T00:00:00"/>
    <x v="2"/>
    <n v="739"/>
    <n v="764"/>
    <n v="-25"/>
    <n v="3.27E-2"/>
    <x v="1"/>
  </r>
  <r>
    <d v="2024-05-01T00:00:00"/>
    <x v="2"/>
    <n v="743"/>
    <n v="747"/>
    <n v="-4"/>
    <n v="5.4000000000000003E-3"/>
    <x v="1"/>
  </r>
  <r>
    <d v="2024-06-01T00:00:00"/>
    <x v="2"/>
    <n v="758"/>
    <n v="748"/>
    <n v="10"/>
    <n v="1.34E-2"/>
    <x v="1"/>
  </r>
  <r>
    <d v="2024-07-01T00:00:00"/>
    <x v="2"/>
    <n v="535"/>
    <n v="574"/>
    <n v="-39"/>
    <n v="6.7900000000000002E-2"/>
    <x v="1"/>
  </r>
  <r>
    <d v="2024-08-01T00:00:00"/>
    <x v="2"/>
    <n v="580"/>
    <n v="558"/>
    <n v="22"/>
    <n v="3.9399999999999998E-2"/>
    <x v="1"/>
  </r>
  <r>
    <d v="2024-09-01T00:00:00"/>
    <x v="2"/>
    <n v="600"/>
    <n v="580"/>
    <n v="20"/>
    <n v="3.4500000000000003E-2"/>
    <x v="1"/>
  </r>
  <r>
    <d v="2024-10-01T00:00:00"/>
    <x v="2"/>
    <n v="705"/>
    <n v="594"/>
    <n v="111"/>
    <n v="0.18690000000000001"/>
    <x v="1"/>
  </r>
  <r>
    <d v="2024-11-01T00:00:00"/>
    <x v="2"/>
    <n v="546"/>
    <n v="540"/>
    <n v="6"/>
    <n v="1.11E-2"/>
    <x v="1"/>
  </r>
  <r>
    <d v="2024-12-01T00:00:00"/>
    <x v="2"/>
    <n v="514"/>
    <n v="532"/>
    <n v="-18"/>
    <n v="3.3799999999999997E-2"/>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d v="2023-01-01T00:00:00"/>
    <x v="0"/>
    <n v="551"/>
    <n v="594"/>
    <n v="10"/>
    <n v="5510"/>
    <n v="5940"/>
    <n v="-430"/>
    <n v="0"/>
  </r>
  <r>
    <d v="2023-02-01T00:00:00"/>
    <x v="0"/>
    <n v="592"/>
    <n v="638"/>
    <n v="10"/>
    <n v="5920"/>
    <n v="6380"/>
    <n v="-460"/>
    <n v="5940"/>
  </r>
  <r>
    <d v="2023-03-01T00:00:00"/>
    <x v="0"/>
    <n v="514"/>
    <n v="441"/>
    <n v="10"/>
    <n v="5140"/>
    <n v="4410"/>
    <n v="730"/>
    <n v="6380"/>
  </r>
  <r>
    <d v="2023-04-01T00:00:00"/>
    <x v="0"/>
    <n v="571"/>
    <n v="589"/>
    <n v="10"/>
    <n v="5710"/>
    <n v="5890"/>
    <n v="-180"/>
    <n v="4410"/>
  </r>
  <r>
    <d v="2023-05-01T00:00:00"/>
    <x v="0"/>
    <n v="560"/>
    <n v="553"/>
    <n v="10"/>
    <n v="5600"/>
    <n v="5530"/>
    <n v="70"/>
    <n v="5890"/>
  </r>
  <r>
    <d v="2023-06-01T00:00:00"/>
    <x v="0"/>
    <n v="520"/>
    <n v="516"/>
    <n v="10"/>
    <n v="5200"/>
    <n v="5160"/>
    <n v="40"/>
    <n v="5530"/>
  </r>
  <r>
    <d v="2023-07-01T00:00:00"/>
    <x v="0"/>
    <n v="582"/>
    <n v="538"/>
    <n v="10"/>
    <n v="5820"/>
    <n v="5380"/>
    <n v="440"/>
    <n v="5160"/>
  </r>
  <r>
    <d v="2023-08-01T00:00:00"/>
    <x v="0"/>
    <n v="586"/>
    <n v="630"/>
    <n v="10"/>
    <n v="5860"/>
    <n v="6300"/>
    <n v="-440"/>
    <n v="5380"/>
  </r>
  <r>
    <d v="2023-09-01T00:00:00"/>
    <x v="0"/>
    <n v="574"/>
    <n v="574"/>
    <n v="10"/>
    <n v="5740"/>
    <n v="5740"/>
    <n v="0"/>
    <n v="6300"/>
  </r>
  <r>
    <d v="2023-10-01T00:00:00"/>
    <x v="0"/>
    <n v="574"/>
    <n v="584"/>
    <n v="10"/>
    <n v="5740"/>
    <n v="5840"/>
    <n v="-100"/>
    <n v="5740"/>
  </r>
  <r>
    <d v="2023-11-01T00:00:00"/>
    <x v="0"/>
    <n v="587"/>
    <n v="599"/>
    <n v="10"/>
    <n v="5870"/>
    <n v="5990"/>
    <n v="-120"/>
    <n v="5840"/>
  </r>
  <r>
    <d v="2023-12-01T00:00:00"/>
    <x v="0"/>
    <n v="599"/>
    <n v="623"/>
    <n v="10"/>
    <n v="5990"/>
    <n v="6230"/>
    <n v="-240"/>
    <n v="5990"/>
  </r>
  <r>
    <d v="2024-01-01T00:00:00"/>
    <x v="0"/>
    <n v="523"/>
    <n v="515"/>
    <n v="10"/>
    <n v="5230"/>
    <n v="5150"/>
    <n v="80"/>
    <n v="6230"/>
  </r>
  <r>
    <d v="2024-02-01T00:00:00"/>
    <x v="0"/>
    <n v="502"/>
    <n v="502"/>
    <n v="10"/>
    <n v="5020"/>
    <n v="5020"/>
    <n v="0"/>
    <n v="5150"/>
  </r>
  <r>
    <d v="2024-03-01T00:00:00"/>
    <x v="0"/>
    <n v="521"/>
    <n v="523"/>
    <n v="10"/>
    <n v="5210"/>
    <n v="5230"/>
    <n v="-20"/>
    <n v="5020"/>
  </r>
  <r>
    <d v="2024-04-01T00:00:00"/>
    <x v="0"/>
    <n v="552"/>
    <n v="571"/>
    <n v="10"/>
    <n v="5520"/>
    <n v="5710"/>
    <n v="-190"/>
    <n v="5230"/>
  </r>
  <r>
    <d v="2024-05-01T00:00:00"/>
    <x v="0"/>
    <n v="501"/>
    <n v="497"/>
    <n v="10"/>
    <n v="5010"/>
    <n v="4970"/>
    <n v="40"/>
    <n v="5710"/>
  </r>
  <r>
    <d v="2024-06-01T00:00:00"/>
    <x v="0"/>
    <n v="587"/>
    <n v="587"/>
    <n v="10"/>
    <n v="5870"/>
    <n v="5870"/>
    <n v="0"/>
    <n v="4970"/>
  </r>
  <r>
    <d v="2024-07-01T00:00:00"/>
    <x v="0"/>
    <n v="529"/>
    <n v="507"/>
    <n v="10"/>
    <n v="5290"/>
    <n v="5070"/>
    <n v="220"/>
    <n v="5870"/>
  </r>
  <r>
    <d v="2024-08-01T00:00:00"/>
    <x v="0"/>
    <n v="537"/>
    <n v="514"/>
    <n v="10"/>
    <n v="5370"/>
    <n v="5140"/>
    <n v="230"/>
    <n v="5070"/>
  </r>
  <r>
    <d v="2024-09-01T00:00:00"/>
    <x v="0"/>
    <n v="501"/>
    <n v="529"/>
    <n v="10"/>
    <n v="5010"/>
    <n v="5290"/>
    <n v="-280"/>
    <n v="5140"/>
  </r>
  <r>
    <d v="2024-10-01T00:00:00"/>
    <x v="0"/>
    <n v="563"/>
    <n v="610"/>
    <n v="10"/>
    <n v="5630"/>
    <n v="6100"/>
    <n v="-470"/>
    <n v="5290"/>
  </r>
  <r>
    <d v="2024-11-01T00:00:00"/>
    <x v="0"/>
    <n v="559"/>
    <n v="548"/>
    <n v="10"/>
    <n v="5590"/>
    <n v="5480"/>
    <n v="110"/>
    <n v="6100"/>
  </r>
  <r>
    <d v="2024-12-01T00:00:00"/>
    <x v="0"/>
    <n v="520"/>
    <n v="531"/>
    <n v="10"/>
    <n v="5200"/>
    <n v="5310"/>
    <n v="-110"/>
    <n v="5480"/>
  </r>
  <r>
    <d v="2023-01-01T00:00:00"/>
    <x v="1"/>
    <n v="580"/>
    <n v="550"/>
    <n v="12"/>
    <n v="6960"/>
    <n v="6600"/>
    <n v="360"/>
    <n v="0"/>
  </r>
  <r>
    <d v="2023-02-01T00:00:00"/>
    <x v="1"/>
    <n v="535"/>
    <n v="488"/>
    <n v="12"/>
    <n v="6420"/>
    <n v="5856"/>
    <n v="564"/>
    <n v="6600"/>
  </r>
  <r>
    <d v="2023-03-01T00:00:00"/>
    <x v="1"/>
    <n v="549"/>
    <n v="572"/>
    <n v="12"/>
    <n v="6588"/>
    <n v="6864"/>
    <n v="-276"/>
    <n v="5856"/>
  </r>
  <r>
    <d v="2023-04-01T00:00:00"/>
    <x v="1"/>
    <n v="503"/>
    <n v="487"/>
    <n v="12"/>
    <n v="6036"/>
    <n v="5844"/>
    <n v="192"/>
    <n v="6864"/>
  </r>
  <r>
    <d v="2023-05-01T00:00:00"/>
    <x v="1"/>
    <n v="501"/>
    <n v="461"/>
    <n v="12"/>
    <n v="6012"/>
    <n v="5532"/>
    <n v="480"/>
    <n v="5844"/>
  </r>
  <r>
    <d v="2023-06-01T00:00:00"/>
    <x v="1"/>
    <n v="505"/>
    <n v="479"/>
    <n v="12"/>
    <n v="6060"/>
    <n v="5748"/>
    <n v="312"/>
    <n v="5532"/>
  </r>
  <r>
    <d v="2023-07-01T00:00:00"/>
    <x v="1"/>
    <n v="553"/>
    <n v="520"/>
    <n v="12"/>
    <n v="6636"/>
    <n v="6240"/>
    <n v="396"/>
    <n v="5748"/>
  </r>
  <r>
    <d v="2023-08-01T00:00:00"/>
    <x v="1"/>
    <n v="503"/>
    <n v="507"/>
    <n v="12"/>
    <n v="6036"/>
    <n v="6084"/>
    <n v="-48"/>
    <n v="6240"/>
  </r>
  <r>
    <d v="2023-09-01T00:00:00"/>
    <x v="1"/>
    <n v="553"/>
    <n v="570"/>
    <n v="12"/>
    <n v="6636"/>
    <n v="6840"/>
    <n v="-204"/>
    <n v="6084"/>
  </r>
  <r>
    <d v="2023-10-01T00:00:00"/>
    <x v="1"/>
    <n v="592"/>
    <n v="618"/>
    <n v="12"/>
    <n v="7104"/>
    <n v="7416"/>
    <n v="-312"/>
    <n v="6840"/>
  </r>
  <r>
    <d v="2023-11-01T00:00:00"/>
    <x v="1"/>
    <n v="562"/>
    <n v="588"/>
    <n v="12"/>
    <n v="6744"/>
    <n v="7056"/>
    <n v="-312"/>
    <n v="7416"/>
  </r>
  <r>
    <d v="2023-12-01T00:00:00"/>
    <x v="1"/>
    <n v="517"/>
    <n v="539"/>
    <n v="12"/>
    <n v="6204"/>
    <n v="6468"/>
    <n v="-264"/>
    <n v="7056"/>
  </r>
  <r>
    <d v="2024-01-01T00:00:00"/>
    <x v="1"/>
    <n v="589"/>
    <n v="583"/>
    <n v="12"/>
    <n v="7068"/>
    <n v="6996"/>
    <n v="72"/>
    <n v="6468"/>
  </r>
  <r>
    <d v="2024-02-01T00:00:00"/>
    <x v="1"/>
    <n v="543"/>
    <n v="525"/>
    <n v="12"/>
    <n v="6516"/>
    <n v="6300"/>
    <n v="216"/>
    <n v="6996"/>
  </r>
  <r>
    <d v="2024-03-01T00:00:00"/>
    <x v="1"/>
    <n v="533"/>
    <n v="488"/>
    <n v="12"/>
    <n v="6396"/>
    <n v="5856"/>
    <n v="540"/>
    <n v="6300"/>
  </r>
  <r>
    <d v="2024-04-01T00:00:00"/>
    <x v="1"/>
    <n v="573"/>
    <n v="605"/>
    <n v="12"/>
    <n v="6876"/>
    <n v="7260"/>
    <n v="-384"/>
    <n v="5856"/>
  </r>
  <r>
    <d v="2024-05-01T00:00:00"/>
    <x v="1"/>
    <n v="561"/>
    <n v="556"/>
    <n v="12"/>
    <n v="6732"/>
    <n v="6672"/>
    <n v="60"/>
    <n v="7260"/>
  </r>
  <r>
    <d v="2024-06-01T00:00:00"/>
    <x v="1"/>
    <n v="599"/>
    <n v="587"/>
    <n v="12"/>
    <n v="7188"/>
    <n v="7044"/>
    <n v="144"/>
    <n v="6672"/>
  </r>
  <r>
    <d v="2024-07-01T00:00:00"/>
    <x v="1"/>
    <n v="513"/>
    <n v="548"/>
    <n v="12"/>
    <n v="6156"/>
    <n v="6576"/>
    <n v="-420"/>
    <n v="7044"/>
  </r>
  <r>
    <d v="2024-08-01T00:00:00"/>
    <x v="1"/>
    <n v="594"/>
    <n v="568"/>
    <n v="12"/>
    <n v="7128"/>
    <n v="6816"/>
    <n v="312"/>
    <n v="6576"/>
  </r>
  <r>
    <d v="2024-09-01T00:00:00"/>
    <x v="1"/>
    <n v="547"/>
    <n v="572"/>
    <n v="12"/>
    <n v="6564"/>
    <n v="6864"/>
    <n v="-300"/>
    <n v="6816"/>
  </r>
  <r>
    <d v="2024-10-01T00:00:00"/>
    <x v="1"/>
    <n v="514"/>
    <n v="522"/>
    <n v="12"/>
    <n v="6168"/>
    <n v="6264"/>
    <n v="-96"/>
    <n v="6864"/>
  </r>
  <r>
    <d v="2024-11-01T00:00:00"/>
    <x v="1"/>
    <n v="571"/>
    <n v="540"/>
    <n v="12"/>
    <n v="6852"/>
    <n v="6480"/>
    <n v="372"/>
    <n v="6264"/>
  </r>
  <r>
    <d v="2024-12-01T00:00:00"/>
    <x v="1"/>
    <n v="577"/>
    <n v="575"/>
    <n v="12"/>
    <n v="6924"/>
    <n v="6900"/>
    <n v="24"/>
    <n v="6480"/>
  </r>
  <r>
    <d v="2023-01-01T00:00:00"/>
    <x v="2"/>
    <n v="577"/>
    <n v="553"/>
    <n v="15"/>
    <n v="8655"/>
    <n v="8295"/>
    <n v="360"/>
    <n v="0"/>
  </r>
  <r>
    <d v="2023-02-01T00:00:00"/>
    <x v="2"/>
    <n v="502"/>
    <n v="487"/>
    <n v="15"/>
    <n v="7530"/>
    <n v="7305"/>
    <n v="225"/>
    <n v="8295"/>
  </r>
  <r>
    <d v="2023-03-01T00:00:00"/>
    <x v="2"/>
    <n v="500"/>
    <n v="527"/>
    <n v="15"/>
    <n v="7500"/>
    <n v="7905"/>
    <n v="-405"/>
    <n v="7305"/>
  </r>
  <r>
    <d v="2023-04-01T00:00:00"/>
    <x v="2"/>
    <n v="504"/>
    <n v="513"/>
    <n v="15"/>
    <n v="7560"/>
    <n v="7695"/>
    <n v="-135"/>
    <n v="7905"/>
  </r>
  <r>
    <d v="2023-05-01T00:00:00"/>
    <x v="2"/>
    <n v="589"/>
    <n v="574"/>
    <n v="15"/>
    <n v="8835"/>
    <n v="8610"/>
    <n v="225"/>
    <n v="7695"/>
  </r>
  <r>
    <d v="2023-06-01T00:00:00"/>
    <x v="2"/>
    <n v="513"/>
    <n v="528"/>
    <n v="15"/>
    <n v="7695"/>
    <n v="7920"/>
    <n v="-225"/>
    <n v="8610"/>
  </r>
  <r>
    <d v="2023-07-01T00:00:00"/>
    <x v="2"/>
    <n v="526"/>
    <n v="528"/>
    <n v="15"/>
    <n v="7890"/>
    <n v="7920"/>
    <n v="-30"/>
    <n v="7920"/>
  </r>
  <r>
    <d v="2023-08-01T00:00:00"/>
    <x v="2"/>
    <n v="508"/>
    <n v="537"/>
    <n v="15"/>
    <n v="7620"/>
    <n v="8055"/>
    <n v="-435"/>
    <n v="7920"/>
  </r>
  <r>
    <d v="2023-09-01T00:00:00"/>
    <x v="2"/>
    <n v="578"/>
    <n v="557"/>
    <n v="15"/>
    <n v="8670"/>
    <n v="8355"/>
    <n v="315"/>
    <n v="8055"/>
  </r>
  <r>
    <d v="2023-10-01T00:00:00"/>
    <x v="2"/>
    <n v="514"/>
    <n v="505"/>
    <n v="15"/>
    <n v="7710"/>
    <n v="7575"/>
    <n v="135"/>
    <n v="8355"/>
  </r>
  <r>
    <d v="2023-11-01T00:00:00"/>
    <x v="2"/>
    <n v="589"/>
    <n v="578"/>
    <n v="15"/>
    <n v="8835"/>
    <n v="8670"/>
    <n v="165"/>
    <n v="7575"/>
  </r>
  <r>
    <d v="2023-12-01T00:00:00"/>
    <x v="2"/>
    <n v="541"/>
    <n v="498"/>
    <n v="15"/>
    <n v="8115"/>
    <n v="7470"/>
    <n v="645"/>
    <n v="8670"/>
  </r>
  <r>
    <d v="2024-01-01T00:00:00"/>
    <x v="2"/>
    <n v="576"/>
    <n v="584"/>
    <n v="15"/>
    <n v="8640"/>
    <n v="8760"/>
    <n v="-120"/>
    <n v="7470"/>
  </r>
  <r>
    <d v="2024-02-01T00:00:00"/>
    <x v="2"/>
    <n v="550"/>
    <n v="557"/>
    <n v="15"/>
    <n v="8250"/>
    <n v="8355"/>
    <n v="-105"/>
    <n v="8760"/>
  </r>
  <r>
    <d v="2024-03-01T00:00:00"/>
    <x v="2"/>
    <n v="562"/>
    <n v="562"/>
    <n v="15"/>
    <n v="8430"/>
    <n v="8430"/>
    <n v="0"/>
    <n v="8355"/>
  </r>
  <r>
    <d v="2024-04-01T00:00:00"/>
    <x v="2"/>
    <n v="595"/>
    <n v="588"/>
    <n v="15"/>
    <n v="8925"/>
    <n v="8820"/>
    <n v="105"/>
    <n v="8430"/>
  </r>
  <r>
    <d v="2024-05-01T00:00:00"/>
    <x v="2"/>
    <n v="551"/>
    <n v="509"/>
    <n v="15"/>
    <n v="8265"/>
    <n v="7635"/>
    <n v="630"/>
    <n v="8820"/>
  </r>
  <r>
    <d v="2024-06-01T00:00:00"/>
    <x v="2"/>
    <n v="595"/>
    <n v="583"/>
    <n v="15"/>
    <n v="8925"/>
    <n v="8745"/>
    <n v="180"/>
    <n v="7635"/>
  </r>
  <r>
    <d v="2024-07-01T00:00:00"/>
    <x v="2"/>
    <n v="503"/>
    <n v="493"/>
    <n v="15"/>
    <n v="7545"/>
    <n v="7395"/>
    <n v="150"/>
    <n v="8745"/>
  </r>
  <r>
    <d v="2024-08-01T00:00:00"/>
    <x v="2"/>
    <n v="593"/>
    <n v="569"/>
    <n v="15"/>
    <n v="8895"/>
    <n v="8535"/>
    <n v="360"/>
    <n v="7395"/>
  </r>
  <r>
    <d v="2024-09-01T00:00:00"/>
    <x v="2"/>
    <n v="522"/>
    <n v="518"/>
    <n v="15"/>
    <n v="7830"/>
    <n v="7770"/>
    <n v="60"/>
    <n v="8535"/>
  </r>
  <r>
    <d v="2024-10-01T00:00:00"/>
    <x v="2"/>
    <n v="514"/>
    <n v="526"/>
    <n v="15"/>
    <n v="7710"/>
    <n v="7890"/>
    <n v="-180"/>
    <n v="7770"/>
  </r>
  <r>
    <d v="2024-11-01T00:00:00"/>
    <x v="2"/>
    <n v="542"/>
    <n v="598"/>
    <n v="15"/>
    <n v="8130"/>
    <n v="8970"/>
    <n v="-840"/>
    <n v="7890"/>
  </r>
  <r>
    <d v="2024-12-01T00:00:00"/>
    <x v="2"/>
    <n v="528"/>
    <n v="533"/>
    <n v="15"/>
    <n v="7920"/>
    <n v="7995"/>
    <n v="-75"/>
    <n v="89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EE9661-37CA-BF4A-9C1A-979C35B444EC}"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4:B50" firstHeaderRow="1" firstDataRow="1" firstDataCol="1"/>
  <pivotFields count="11">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4">
        <item x="0"/>
        <item x="1"/>
        <item x="2"/>
        <item t="default"/>
      </items>
    </pivotField>
    <pivotField numFmtId="2" showAll="0"/>
    <pivotField numFmtId="2" showAll="0"/>
    <pivotField numFmtId="2" showAll="0"/>
    <pivotField showAll="0"/>
    <pivotField numFmtId="168" showAll="0"/>
    <pivotField dataField="1" numFmtId="2"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5">
    <field x="1"/>
    <field x="9"/>
    <field x="10"/>
    <field x="8"/>
    <field x="0"/>
  </rowFields>
  <rowItems count="16">
    <i>
      <x/>
    </i>
    <i r="1">
      <x v="1"/>
    </i>
    <i r="1">
      <x v="2"/>
    </i>
    <i r="1">
      <x v="3"/>
    </i>
    <i r="1">
      <x v="4"/>
    </i>
    <i>
      <x v="1"/>
    </i>
    <i r="1">
      <x v="1"/>
    </i>
    <i r="1">
      <x v="2"/>
    </i>
    <i r="1">
      <x v="3"/>
    </i>
    <i r="1">
      <x v="4"/>
    </i>
    <i>
      <x v="2"/>
    </i>
    <i r="1">
      <x v="1"/>
    </i>
    <i r="1">
      <x v="2"/>
    </i>
    <i r="1">
      <x v="3"/>
    </i>
    <i r="1">
      <x v="4"/>
    </i>
    <i t="grand">
      <x/>
    </i>
  </rowItems>
  <colItems count="1">
    <i/>
  </colItems>
  <dataFields count="1">
    <dataField name="Average of APE_Value" fld="7" subtotal="average"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808257-3A39-B744-BDBE-CE413E3D9F49}"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6" firstHeaderRow="0" firstDataRow="1" firstDataCol="1" rowPageCount="1" colPageCount="1"/>
  <pivotFields count="11">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Page" multipleItemSelectionAllowed="1" showAll="0">
      <items count="4">
        <item x="0"/>
        <item x="1"/>
        <item x="2"/>
        <item t="default"/>
      </items>
    </pivotField>
    <pivotField dataField="1" numFmtId="2" showAll="0"/>
    <pivotField dataField="1" numFmtId="2" showAll="0"/>
    <pivotField numFmtId="2" showAll="0"/>
    <pivotField showAll="0"/>
    <pivotField numFmtId="168" showAll="0"/>
    <pivotField numFmtId="2"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0"/>
    <field x="9"/>
    <field x="8"/>
    <field x="0"/>
  </rowFields>
  <rowItems count="3">
    <i>
      <x v="1"/>
    </i>
    <i>
      <x v="2"/>
    </i>
    <i t="grand">
      <x/>
    </i>
  </rowItems>
  <colFields count="1">
    <field x="-2"/>
  </colFields>
  <colItems count="2">
    <i>
      <x/>
    </i>
    <i i="1">
      <x v="1"/>
    </i>
  </colItems>
  <pageFields count="1">
    <pageField fld="1" hier="-1"/>
  </pageFields>
  <dataFields count="2">
    <dataField name="Average of Forecast" fld="2" subtotal="average" baseField="0" baseItem="0" numFmtId="2"/>
    <dataField name="Average of Actual" fld="3"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E62FCE-A8A3-4644-8C7E-8F938EC01DDE}"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B29" firstHeaderRow="1" firstDataRow="1" firstDataCol="1"/>
  <pivotFields count="9">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4">
        <item x="0"/>
        <item x="1"/>
        <item x="2"/>
        <item t="default"/>
      </items>
    </pivotField>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5">
    <field x="1"/>
    <field x="8"/>
    <field x="7"/>
    <field x="6"/>
    <field x="0"/>
  </rowFields>
  <rowItems count="10">
    <i>
      <x/>
    </i>
    <i r="1">
      <x v="1"/>
    </i>
    <i r="1">
      <x v="2"/>
    </i>
    <i>
      <x v="1"/>
    </i>
    <i r="1">
      <x v="1"/>
    </i>
    <i r="1">
      <x v="2"/>
    </i>
    <i>
      <x v="2"/>
    </i>
    <i r="1">
      <x v="1"/>
    </i>
    <i r="1">
      <x v="2"/>
    </i>
    <i t="grand">
      <x/>
    </i>
  </rowItems>
  <colItems count="1">
    <i/>
  </colItems>
  <dataFields count="1">
    <dataField name="Sum of Inventory Overhang"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7F235B-12C9-EB4B-9E76-CBE1DE2C9C5F}"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9">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4">
        <item x="0"/>
        <item x="1"/>
        <item x="2"/>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4">
    <i>
      <x/>
    </i>
    <i>
      <x v="1"/>
    </i>
    <i>
      <x v="2"/>
    </i>
    <i t="grand">
      <x/>
    </i>
  </rowItems>
  <colItems count="1">
    <i/>
  </colItems>
  <dataFields count="1">
    <dataField name="Sum of Holding Cost ($)" fld="5"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BDE311-47B3-B94D-AF4A-AC2A9415559F}" name="PivotTable9"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3" firstHeaderRow="0" firstDataRow="1" firstDataCol="1"/>
  <pivotFields count="7">
    <pivotField numFmtId="14" showAll="0"/>
    <pivotField axis="axisRow" showAll="0">
      <items count="4">
        <item x="0"/>
        <item x="1"/>
        <item x="2"/>
        <item t="default"/>
      </items>
    </pivotField>
    <pivotField showAll="0"/>
    <pivotField showAll="0"/>
    <pivotField dataField="1" showAll="0"/>
    <pivotField dataField="1" showAll="0"/>
    <pivotField axis="axisRow" showAll="0">
      <items count="3">
        <item x="1"/>
        <item x="0"/>
        <item t="default"/>
      </items>
    </pivotField>
  </pivotFields>
  <rowFields count="2">
    <field x="1"/>
    <field x="6"/>
  </rowFields>
  <rowItems count="10">
    <i>
      <x/>
    </i>
    <i r="1">
      <x/>
    </i>
    <i r="1">
      <x v="1"/>
    </i>
    <i>
      <x v="1"/>
    </i>
    <i r="1">
      <x/>
    </i>
    <i r="1">
      <x v="1"/>
    </i>
    <i>
      <x v="2"/>
    </i>
    <i r="1">
      <x/>
    </i>
    <i r="1">
      <x v="1"/>
    </i>
    <i t="grand">
      <x/>
    </i>
  </rowItems>
  <colFields count="1">
    <field x="-2"/>
  </colFields>
  <colItems count="2">
    <i>
      <x/>
    </i>
    <i i="1">
      <x v="1"/>
    </i>
  </colItems>
  <dataFields count="2">
    <dataField name="Sum of APE" fld="5" baseField="0" baseItem="0"/>
    <dataField name="Sum of Erro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8E9DF4-AD31-5E4C-92A0-CC7FCE9ABFF3}" name="PivotTable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0" firstDataRow="1" firstDataCol="1"/>
  <pivotFields count="9">
    <pivotField numFmtId="14" showAll="0"/>
    <pivotField axis="axisRow" showAll="0">
      <items count="4">
        <item x="0"/>
        <item x="1"/>
        <item x="2"/>
        <item t="default"/>
      </items>
    </pivotField>
    <pivotField showAll="0"/>
    <pivotField showAll="0"/>
    <pivotField showAll="0"/>
    <pivotField dataField="1" showAll="0"/>
    <pivotField dataField="1" showAll="0"/>
    <pivotField dataField="1" showAll="0"/>
    <pivotField showAll="0"/>
  </pivotFields>
  <rowFields count="1">
    <field x="1"/>
  </rowFields>
  <rowItems count="4">
    <i>
      <x/>
    </i>
    <i>
      <x v="1"/>
    </i>
    <i>
      <x v="2"/>
    </i>
    <i t="grand">
      <x/>
    </i>
  </rowItems>
  <colFields count="1">
    <field x="-2"/>
  </colFields>
  <colItems count="3">
    <i>
      <x/>
    </i>
    <i i="1">
      <x v="1"/>
    </i>
    <i i="2">
      <x v="2"/>
    </i>
  </colItems>
  <dataFields count="3">
    <dataField name="Sum of Forecast_Revenue" fld="5" baseField="0" baseItem="0" numFmtId="171"/>
    <dataField name="Sum of Actual_Revenue" fld="6" baseField="0" baseItem="0" numFmtId="171"/>
    <dataField name="Sum of Revenue_Variance" fld="7" baseField="0" baseItem="0"/>
  </dataFields>
  <formats count="4">
    <format dxfId="19">
      <pivotArea outline="0" collapsedLevelsAreSubtotals="1" fieldPosition="0">
        <references count="1">
          <reference field="4294967294" count="1" selected="0">
            <x v="0"/>
          </reference>
        </references>
      </pivotArea>
    </format>
    <format dxfId="18">
      <pivotArea dataOnly="0" labelOnly="1" outline="0" fieldPosition="0">
        <references count="1">
          <reference field="4294967294" count="1">
            <x v="0"/>
          </reference>
        </references>
      </pivotArea>
    </format>
    <format dxfId="17">
      <pivotArea outline="0" collapsedLevelsAreSubtotals="1" fieldPosition="0">
        <references count="1">
          <reference field="4294967294" count="1" selected="0">
            <x v="1"/>
          </reference>
        </references>
      </pivotArea>
    </format>
    <format dxfId="16">
      <pivotArea dataOnly="0" labelOnly="1" outline="0" fieldPosition="0">
        <references count="1">
          <reference field="4294967294" count="1">
            <x v="1"/>
          </reference>
        </references>
      </pivotArea>
    </format>
  </format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80BD745-8627-B946-8E31-7C618C985D57}" autoFormatId="16" applyNumberFormats="0" applyBorderFormats="0" applyFontFormats="0" applyPatternFormats="0" applyAlignmentFormats="0" applyWidthHeightFormats="0">
  <queryTableRefresh nextId="7">
    <queryTableFields count="6">
      <queryTableField id="1" name="Month" tableColumnId="1"/>
      <queryTableField id="2" name="SKU" tableColumnId="2"/>
      <queryTableField id="3" name="Forecast" tableColumnId="3"/>
      <queryTableField id="4" name="Actual" tableColumnId="4"/>
      <queryTableField id="5" name="Inventory Overhang" tableColumnId="5"/>
      <queryTableField id="6" name="Holding Cost ($)"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D7AD19D-04FA-D543-81D9-94E5F1611908}" autoFormatId="16" applyNumberFormats="0" applyBorderFormats="0" applyFontFormats="0" applyPatternFormats="0" applyAlignmentFormats="0" applyWidthHeightFormats="0">
  <queryTableRefresh nextId="10">
    <queryTableFields count="7">
      <queryTableField id="1" name="Month" tableColumnId="1"/>
      <queryTableField id="2" name="SKU" tableColumnId="2"/>
      <queryTableField id="3" name="Forecast" tableColumnId="3"/>
      <queryTableField id="4" name="Actual" tableColumnId="4"/>
      <queryTableField id="5" name="Error" tableColumnId="5"/>
      <queryTableField id="7" dataBound="0" tableColumnId="8"/>
      <queryTableField id="6" name="AP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CB865123-9F7F-6441-89CF-F0EBE85168D4}" autoFormatId="16" applyNumberFormats="0" applyBorderFormats="0" applyFontFormats="0" applyPatternFormats="0" applyAlignmentFormats="0" applyWidthHeightFormats="0">
  <queryTableRefresh nextId="10">
    <queryTableFields count="9">
      <queryTableField id="1" name="Month" tableColumnId="1"/>
      <queryTableField id="2" name="SKU" tableColumnId="2"/>
      <queryTableField id="3" name="Forecast" tableColumnId="3"/>
      <queryTableField id="4" name="Actual" tableColumnId="4"/>
      <queryTableField id="5" name="Unit_Price" tableColumnId="5"/>
      <queryTableField id="6" name="Forecast_Revenue" tableColumnId="6"/>
      <queryTableField id="7" name="Actual_Revenue" tableColumnId="7"/>
      <queryTableField id="8" name="Revenue_Variance" tableColumnId="8"/>
      <queryTableField id="9" name="Cash_Realized"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U" xr10:uid="{98963989-9E6F-674A-9621-77333B82EAF1}" sourceName="SKU">
  <pivotTables>
    <pivotTable tabId="5" name="PivotTable3"/>
  </pivotTables>
  <data>
    <tabular pivotCacheId="72483290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U1" xr10:uid="{2C1A0CC3-B4CA-574C-AA7C-9FE7AA50BFA5}" sourceName="SKU">
  <pivotTables>
    <pivotTable tabId="5" name="PivotTable5"/>
  </pivotTables>
  <data>
    <tabular pivotCacheId="72483290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KU" xr10:uid="{55630B2B-B750-134D-B9BA-90B6600CF284}" cache="Slicer_SKU" caption="SKU" rowHeight="251883"/>
  <slicer name="SKU 1" xr10:uid="{D0697C31-33A4-AE43-9133-CD110553136F}" cache="Slicer_SKU1" caption="SKU" rowHeight="251883"/>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37DEAD-542B-A346-8242-B3DF036AF4EA}" name="ForecastData" displayName="ForecastData" ref="A1:J73" totalsRowShown="0" dataDxfId="48">
  <autoFilter ref="A1:J73" xr:uid="{9637DEAD-542B-A346-8242-B3DF036AF4EA}"/>
  <tableColumns count="10">
    <tableColumn id="1" xr3:uid="{DD3D69FF-5525-A346-96C4-B535E16DC98B}" name="Month" dataDxfId="47"/>
    <tableColumn id="2" xr3:uid="{E1B9B3FA-2849-B140-B8DB-207DA0D26BD1}" name="SKU" dataDxfId="46"/>
    <tableColumn id="3" xr3:uid="{9C553EDB-6EB9-6942-9F37-AA04EA1C0AF5}" name="Forecast" dataDxfId="45"/>
    <tableColumn id="4" xr3:uid="{C92D0AAC-5D48-2C4D-A046-2B78D666DD76}" name="Actual" dataDxfId="44"/>
    <tableColumn id="5" xr3:uid="{782B5AB0-6364-2C4A-B9E4-9FDB39F097A0}" name="Error" dataDxfId="43">
      <calculatedColumnFormula>C2-D2</calculatedColumnFormula>
    </tableColumn>
    <tableColumn id="6" xr3:uid="{B01A45ED-BD97-E64D-A4CF-DE83BD3D423B}" name="Abs_Error" dataDxfId="42">
      <calculatedColumnFormula>ABS(E2)</calculatedColumnFormula>
    </tableColumn>
    <tableColumn id="7" xr3:uid="{4256B4CE-130E-6D40-B40B-B7E00E0E4D10}" name="APE" dataDxfId="32" dataCellStyle="Percent">
      <calculatedColumnFormula>F2/D2</calculatedColumnFormula>
    </tableColumn>
    <tableColumn id="13" xr3:uid="{BDC3307D-37BC-6E45-82A7-B2BECFF0DDF1}" name="Emissions (kg)" dataDxfId="31" dataCellStyle="Percent">
      <calculatedColumnFormula>ForecastData[[#This Row],[Forecast]]*0.5</calculatedColumnFormula>
    </tableColumn>
    <tableColumn id="12" xr3:uid="{05F7E126-7760-054D-9D50-3F6BDDCE3DCC}" name="Carbon Cost ($)" dataDxfId="29" dataCellStyle="Percent">
      <calculatedColumnFormula>H2 * 0.05</calculatedColumnFormula>
    </tableColumn>
    <tableColumn id="8" xr3:uid="{19E43358-9F87-0A4B-B517-087871E1C2D8}" name="APE_Value" dataDxfId="30">
      <calculatedColumnFormula>F2/D2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5F4E1E-BDAD-1840-897E-1C2530E336CA}" name="ScenarioBData" displayName="ScenarioBData" ref="A1:H73" totalsRowShown="0" dataDxfId="41">
  <autoFilter ref="A1:H73" xr:uid="{3E5F4E1E-BDAD-1840-897E-1C2530E336CA}">
    <filterColumn colId="1">
      <filters>
        <filter val="SKU_B"/>
      </filters>
    </filterColumn>
  </autoFilter>
  <tableColumns count="8">
    <tableColumn id="1" xr3:uid="{B7781B49-A4B2-B442-AA52-A0CECCBC510E}" name="Month" dataDxfId="40"/>
    <tableColumn id="2" xr3:uid="{8FBD4F9E-CAF9-EE40-AFC4-B8FC4CE6763B}" name="SKU" dataDxfId="39"/>
    <tableColumn id="3" xr3:uid="{C26F39A1-8DDF-9041-BC98-9303473CDDA8}" name="Forecast" dataDxfId="38"/>
    <tableColumn id="4" xr3:uid="{5E3A0667-DF24-9A44-A55C-4772E4E9B7A0}" name="Actual" dataDxfId="33"/>
    <tableColumn id="5" xr3:uid="{B907F963-FEC6-4149-9E69-3ECF0C3DFD56}" name="Error" dataDxfId="37">
      <calculatedColumnFormula>C2-D2</calculatedColumnFormula>
    </tableColumn>
    <tableColumn id="6" xr3:uid="{4DBC1795-8374-5C48-BE22-3CE2EEBFC17F}" name="Abs_Error" dataDxfId="36">
      <calculatedColumnFormula>ABS(E2)</calculatedColumnFormula>
    </tableColumn>
    <tableColumn id="7" xr3:uid="{D0EDACD3-D424-E04E-9D08-76AF8B2415FD}" name="APE" dataDxfId="35" dataCellStyle="Percent">
      <calculatedColumnFormula>F2/D2</calculatedColumnFormula>
    </tableColumn>
    <tableColumn id="8" xr3:uid="{BF7A5D26-A04C-664D-A337-420FB63F32F1}" name="APE_Value" dataDxfId="34">
      <calculatedColumnFormula>F2/D2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CE5FF8-3DE8-CD49-B073-F17128BC940A}" name="Inventory_Holding_Cost" displayName="Inventory_Holding_Cost" ref="A1:F73" tableType="queryTable" totalsRowShown="0">
  <autoFilter ref="A1:F73" xr:uid="{69CE5FF8-3DE8-CD49-B073-F17128BC940A}"/>
  <tableColumns count="6">
    <tableColumn id="1" xr3:uid="{D41D1325-6A4B-1D45-91C6-9B1C47A68F2B}" uniqueName="1" name="Month" queryTableFieldId="1" dataDxfId="28"/>
    <tableColumn id="2" xr3:uid="{4E7BB7DA-7804-FA48-8CE1-12E7D92FA410}" uniqueName="2" name="SKU" queryTableFieldId="2" dataDxfId="27"/>
    <tableColumn id="3" xr3:uid="{B4915D88-6795-9049-9785-53A3CFE67966}" uniqueName="3" name="Forecast" queryTableFieldId="3"/>
    <tableColumn id="4" xr3:uid="{C5DD68E3-D3F5-7140-B48C-E963CE9B2631}" uniqueName="4" name="Actual" queryTableFieldId="4"/>
    <tableColumn id="5" xr3:uid="{B6C0551C-C063-044B-AC1F-5200D68C06AE}" uniqueName="5" name="Inventory Overhang" queryTableFieldId="5"/>
    <tableColumn id="6" xr3:uid="{22D728CE-EACB-E244-B2F1-1962A9B07BAA}" uniqueName="6" name="Holding Cost ($)"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4A4D8AF-3301-BE4A-9A73-10FA06EF99AF}" name="Scenario_E_Demand_Shock_Simulation" displayName="Scenario_E_Demand_Shock_Simulation" ref="A1:G73" tableType="queryTable" totalsRowShown="0">
  <autoFilter ref="A1:G73" xr:uid="{44A4D8AF-3301-BE4A-9A73-10FA06EF99AF}"/>
  <tableColumns count="7">
    <tableColumn id="1" xr3:uid="{F86C11CD-749F-344D-AD29-497E223FE23E}" uniqueName="1" name="Month" queryTableFieldId="1" dataDxfId="26"/>
    <tableColumn id="2" xr3:uid="{087C7C42-D301-6241-9618-A82DE98020AE}" uniqueName="2" name="SKU" queryTableFieldId="2" dataDxfId="25"/>
    <tableColumn id="3" xr3:uid="{FDED9FAB-0188-454D-962A-DDB56D690F24}" uniqueName="3" name="Forecast" queryTableFieldId="3" dataDxfId="24"/>
    <tableColumn id="4" xr3:uid="{3137C01B-CF0E-8942-9C64-51988E3BC2E0}" uniqueName="4" name="Actual" queryTableFieldId="4" dataDxfId="23"/>
    <tableColumn id="5" xr3:uid="{5309EDC5-C3B5-E346-BE51-122CB0E7DD3E}" uniqueName="5" name="Error" queryTableFieldId="5" dataDxfId="22"/>
    <tableColumn id="8" xr3:uid="{D84173B0-85EC-EC45-868E-2E9D26CDC36F}" uniqueName="8" name="APE" queryTableFieldId="7" dataDxfId="21"/>
    <tableColumn id="6" xr3:uid="{94C98CE0-EB0F-A546-8CD4-570DE60F1744}" uniqueName="6" name="Period" queryTableFieldId="6" dataDxfId="2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E2088A9-FDA8-4F47-99C6-79BB6513E74D}" name="Scenario_F_Forecast_to_Cash" displayName="Scenario_F_Forecast_to_Cash" ref="A1:I73" tableType="queryTable" totalsRowShown="0">
  <autoFilter ref="A1:I73" xr:uid="{CE2088A9-FDA8-4F47-99C6-79BB6513E74D}"/>
  <tableColumns count="9">
    <tableColumn id="1" xr3:uid="{7F1C6C09-E3AC-844D-965C-001E58E800DE}" uniqueName="1" name="Month" queryTableFieldId="1" dataDxfId="15"/>
    <tableColumn id="2" xr3:uid="{6ADBEB36-4591-5C48-9146-F90711EBCE7D}" uniqueName="2" name="SKU" queryTableFieldId="2" dataDxfId="14"/>
    <tableColumn id="3" xr3:uid="{2B045D97-D966-8646-9973-C13DF8E4CB84}" uniqueName="3" name="Forecast" queryTableFieldId="3" dataDxfId="13"/>
    <tableColumn id="4" xr3:uid="{E5B048D0-9722-4E40-800F-5A5976735374}" uniqueName="4" name="Actual" queryTableFieldId="4" dataDxfId="12"/>
    <tableColumn id="5" xr3:uid="{83C5CFFD-8F03-E244-88DF-3FF906FC9B76}" uniqueName="5" name="Unit_Price" queryTableFieldId="5" dataDxfId="11"/>
    <tableColumn id="6" xr3:uid="{FE119C70-1127-E241-BF3A-20A12FED82FE}" uniqueName="6" name="Forecast_Revenue" queryTableFieldId="6" dataDxfId="10"/>
    <tableColumn id="7" xr3:uid="{E104CF5C-281D-2548-A521-5222CFF291E4}" uniqueName="7" name="Actual_Revenue" queryTableFieldId="7" dataDxfId="9"/>
    <tableColumn id="8" xr3:uid="{74F66615-4869-E541-AA7C-CA76695ED1BE}" uniqueName="8" name="Revenue_Variance" queryTableFieldId="8" dataDxfId="8"/>
    <tableColumn id="9" xr3:uid="{9E39E63F-E6C3-1E4C-A969-74F02A2694B8}" uniqueName="9" name="Cash_Realized" queryTableFieldId="9" dataDxf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4FDA09F-EB89-154F-82AB-F1E90EA60993}" name="Table8" displayName="Table8" ref="E83:I86" totalsRowShown="0" headerRowDxfId="0" dataDxfId="1">
  <autoFilter ref="E83:I86" xr:uid="{B4FDA09F-EB89-154F-82AB-F1E90EA60993}"/>
  <tableColumns count="5">
    <tableColumn id="1" xr3:uid="{7B4522F5-1754-4A4E-91AE-BCE0946F0423}" name="SKU" dataDxfId="6"/>
    <tableColumn id="2" xr3:uid="{38817532-876E-0A42-8B53-441C48F36DAB}" name="Total Forecast Revenue" dataDxfId="5"/>
    <tableColumn id="3" xr3:uid="{C8A716BC-686B-8646-9B24-628AEA0F8F44}" name="Total Actual Revenue" dataDxfId="4"/>
    <tableColumn id="4" xr3:uid="{FFBE99FC-EB84-1849-8410-923E36C37FAB}" name="Revenue Variance" dataDxfId="3"/>
    <tableColumn id="5" xr3:uid="{FB08EC90-464E-C24B-8F30-42A5C44C5EA1}" name="Total Cash Realized"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B909-380D-7745-887D-2F8F9DF26383}">
  <dimension ref="A1:M73"/>
  <sheetViews>
    <sheetView zoomScaleNormal="83" workbookViewId="0">
      <selection activeCell="M29" sqref="M29"/>
    </sheetView>
  </sheetViews>
  <sheetFormatPr baseColWidth="10" defaultRowHeight="16"/>
  <cols>
    <col min="1" max="1" width="10.83203125" style="3"/>
    <col min="2" max="2" width="13.83203125" style="4" customWidth="1"/>
    <col min="3" max="3" width="14.5" style="5" customWidth="1"/>
    <col min="4" max="4" width="14.33203125" style="5" customWidth="1"/>
    <col min="5" max="5" width="15.83203125" style="6" customWidth="1"/>
    <col min="6" max="6" width="16" style="6" customWidth="1"/>
    <col min="7" max="7" width="17.1640625" style="9" customWidth="1"/>
    <col min="8" max="8" width="18.83203125" style="15" customWidth="1"/>
    <col min="9" max="9" width="24.5" style="16" customWidth="1"/>
    <col min="10" max="10" width="16.6640625" style="2" customWidth="1"/>
  </cols>
  <sheetData>
    <row r="1" spans="1:10" ht="17">
      <c r="A1" s="3" t="s">
        <v>0</v>
      </c>
      <c r="B1" s="4" t="s">
        <v>1</v>
      </c>
      <c r="C1" s="5" t="s">
        <v>2</v>
      </c>
      <c r="D1" s="5" t="s">
        <v>3</v>
      </c>
      <c r="E1" s="6" t="s">
        <v>7</v>
      </c>
      <c r="F1" s="6" t="s">
        <v>8</v>
      </c>
      <c r="G1" s="9" t="s">
        <v>9</v>
      </c>
      <c r="H1" s="15" t="s">
        <v>29</v>
      </c>
      <c r="I1" s="16" t="s">
        <v>30</v>
      </c>
      <c r="J1" s="10" t="s">
        <v>13</v>
      </c>
    </row>
    <row r="2" spans="1:10">
      <c r="A2" s="3">
        <v>44927</v>
      </c>
      <c r="B2" s="4" t="s">
        <v>4</v>
      </c>
      <c r="C2" s="5">
        <v>530</v>
      </c>
      <c r="D2" s="5">
        <v>523</v>
      </c>
      <c r="E2" s="5">
        <f>C2-D2</f>
        <v>7</v>
      </c>
      <c r="F2" s="6">
        <f>ABS(E2)</f>
        <v>7</v>
      </c>
      <c r="G2" s="9">
        <f>F2/D2</f>
        <v>1.338432122370937E-2</v>
      </c>
      <c r="H2" s="15">
        <f>ForecastData[[#This Row],[Forecast]]*0.5</f>
        <v>265</v>
      </c>
      <c r="I2" s="16">
        <f t="shared" ref="I2:I33" si="0">H2 * 0.05</f>
        <v>13.25</v>
      </c>
      <c r="J2" s="5">
        <f>F2/D2</f>
        <v>1.338432122370937E-2</v>
      </c>
    </row>
    <row r="3" spans="1:10">
      <c r="A3" s="3">
        <v>44958</v>
      </c>
      <c r="B3" s="4" t="s">
        <v>4</v>
      </c>
      <c r="C3" s="5">
        <v>571</v>
      </c>
      <c r="D3" s="5">
        <v>522</v>
      </c>
      <c r="E3" s="5">
        <f t="shared" ref="E3:E66" si="1">C3-D3</f>
        <v>49</v>
      </c>
      <c r="F3" s="6">
        <f t="shared" ref="F3:F66" si="2">ABS(E3)</f>
        <v>49</v>
      </c>
      <c r="G3" s="9">
        <f t="shared" ref="G3:G66" si="3">F3/D3</f>
        <v>9.3869731800766285E-2</v>
      </c>
      <c r="H3" s="15">
        <f>ForecastData[[#This Row],[Forecast]]*0.5</f>
        <v>285.5</v>
      </c>
      <c r="I3" s="16">
        <f t="shared" si="0"/>
        <v>14.275</v>
      </c>
      <c r="J3" s="5">
        <f t="shared" ref="J3:J66" si="4">F3/D3</f>
        <v>9.3869731800766285E-2</v>
      </c>
    </row>
    <row r="4" spans="1:10">
      <c r="A4" s="3">
        <v>44986</v>
      </c>
      <c r="B4" s="4" t="s">
        <v>4</v>
      </c>
      <c r="C4" s="5">
        <v>511</v>
      </c>
      <c r="D4" s="5">
        <v>498</v>
      </c>
      <c r="E4" s="5">
        <f t="shared" si="1"/>
        <v>13</v>
      </c>
      <c r="F4" s="6">
        <f t="shared" si="2"/>
        <v>13</v>
      </c>
      <c r="G4" s="9">
        <f t="shared" si="3"/>
        <v>2.6104417670682729E-2</v>
      </c>
      <c r="H4" s="15">
        <f>ForecastData[[#This Row],[Forecast]]*0.5</f>
        <v>255.5</v>
      </c>
      <c r="I4" s="16">
        <f t="shared" si="0"/>
        <v>12.775</v>
      </c>
      <c r="J4" s="5">
        <f t="shared" si="4"/>
        <v>2.6104417670682729E-2</v>
      </c>
    </row>
    <row r="5" spans="1:10">
      <c r="A5" s="3">
        <v>45017</v>
      </c>
      <c r="B5" s="4" t="s">
        <v>4</v>
      </c>
      <c r="C5" s="5">
        <v>501</v>
      </c>
      <c r="D5" s="5">
        <v>499</v>
      </c>
      <c r="E5" s="5">
        <f t="shared" si="1"/>
        <v>2</v>
      </c>
      <c r="F5" s="6">
        <f t="shared" si="2"/>
        <v>2</v>
      </c>
      <c r="G5" s="9">
        <f t="shared" si="3"/>
        <v>4.0080160320641279E-3</v>
      </c>
      <c r="H5" s="15">
        <f>ForecastData[[#This Row],[Forecast]]*0.5</f>
        <v>250.5</v>
      </c>
      <c r="I5" s="16">
        <f t="shared" si="0"/>
        <v>12.525</v>
      </c>
      <c r="J5" s="5">
        <f t="shared" si="4"/>
        <v>4.0080160320641279E-3</v>
      </c>
    </row>
    <row r="6" spans="1:10">
      <c r="A6" s="3">
        <v>45047</v>
      </c>
      <c r="B6" s="4" t="s">
        <v>4</v>
      </c>
      <c r="C6" s="5">
        <v>429</v>
      </c>
      <c r="D6" s="5">
        <v>474</v>
      </c>
      <c r="E6" s="5">
        <f t="shared" si="1"/>
        <v>-45</v>
      </c>
      <c r="F6" s="6">
        <f t="shared" si="2"/>
        <v>45</v>
      </c>
      <c r="G6" s="9">
        <f t="shared" si="3"/>
        <v>9.49367088607595E-2</v>
      </c>
      <c r="H6" s="15">
        <f>ForecastData[[#This Row],[Forecast]]*0.5</f>
        <v>214.5</v>
      </c>
      <c r="I6" s="16">
        <f t="shared" si="0"/>
        <v>10.725000000000001</v>
      </c>
      <c r="J6" s="5">
        <f t="shared" si="4"/>
        <v>9.49367088607595E-2</v>
      </c>
    </row>
    <row r="7" spans="1:10">
      <c r="A7" s="3">
        <v>45078</v>
      </c>
      <c r="B7" s="4" t="s">
        <v>4</v>
      </c>
      <c r="C7" s="5">
        <v>476</v>
      </c>
      <c r="D7" s="5">
        <v>455</v>
      </c>
      <c r="E7" s="5">
        <f t="shared" si="1"/>
        <v>21</v>
      </c>
      <c r="F7" s="6">
        <f t="shared" si="2"/>
        <v>21</v>
      </c>
      <c r="G7" s="9">
        <f t="shared" si="3"/>
        <v>4.6153846153846156E-2</v>
      </c>
      <c r="H7" s="15">
        <f>ForecastData[[#This Row],[Forecast]]*0.5</f>
        <v>238</v>
      </c>
      <c r="I7" s="16">
        <f t="shared" si="0"/>
        <v>11.9</v>
      </c>
      <c r="J7" s="5">
        <f t="shared" si="4"/>
        <v>4.6153846153846156E-2</v>
      </c>
    </row>
    <row r="8" spans="1:10">
      <c r="A8" s="3">
        <v>45108</v>
      </c>
      <c r="B8" s="4" t="s">
        <v>4</v>
      </c>
      <c r="C8" s="5">
        <v>522</v>
      </c>
      <c r="D8" s="5">
        <v>547</v>
      </c>
      <c r="E8" s="5">
        <f t="shared" si="1"/>
        <v>-25</v>
      </c>
      <c r="F8" s="6">
        <f t="shared" si="2"/>
        <v>25</v>
      </c>
      <c r="G8" s="9">
        <f t="shared" si="3"/>
        <v>4.5703839122486288E-2</v>
      </c>
      <c r="H8" s="15">
        <f>ForecastData[[#This Row],[Forecast]]*0.5</f>
        <v>261</v>
      </c>
      <c r="I8" s="16">
        <f t="shared" si="0"/>
        <v>13.05</v>
      </c>
      <c r="J8" s="5">
        <f t="shared" si="4"/>
        <v>4.5703839122486288E-2</v>
      </c>
    </row>
    <row r="9" spans="1:10">
      <c r="A9" s="3">
        <v>45139</v>
      </c>
      <c r="B9" s="4" t="s">
        <v>4</v>
      </c>
      <c r="C9" s="5">
        <v>494</v>
      </c>
      <c r="D9" s="5">
        <v>509</v>
      </c>
      <c r="E9" s="5">
        <f t="shared" si="1"/>
        <v>-15</v>
      </c>
      <c r="F9" s="6">
        <f t="shared" si="2"/>
        <v>15</v>
      </c>
      <c r="G9" s="9">
        <f t="shared" si="3"/>
        <v>2.9469548133595286E-2</v>
      </c>
      <c r="H9" s="15">
        <f>ForecastData[[#This Row],[Forecast]]*0.5</f>
        <v>247</v>
      </c>
      <c r="I9" s="16">
        <f t="shared" si="0"/>
        <v>12.350000000000001</v>
      </c>
      <c r="J9" s="5">
        <f t="shared" si="4"/>
        <v>2.9469548133595286E-2</v>
      </c>
    </row>
    <row r="10" spans="1:10">
      <c r="A10" s="3">
        <v>45170</v>
      </c>
      <c r="B10" s="4" t="s">
        <v>4</v>
      </c>
      <c r="C10" s="5">
        <v>494</v>
      </c>
      <c r="D10" s="5">
        <v>495</v>
      </c>
      <c r="E10" s="5">
        <f t="shared" si="1"/>
        <v>-1</v>
      </c>
      <c r="F10" s="6">
        <f t="shared" si="2"/>
        <v>1</v>
      </c>
      <c r="G10" s="9">
        <f t="shared" si="3"/>
        <v>2.0202020202020202E-3</v>
      </c>
      <c r="H10" s="15">
        <f>ForecastData[[#This Row],[Forecast]]*0.5</f>
        <v>247</v>
      </c>
      <c r="I10" s="16">
        <f t="shared" si="0"/>
        <v>12.350000000000001</v>
      </c>
      <c r="J10" s="5">
        <f t="shared" si="4"/>
        <v>2.0202020202020202E-3</v>
      </c>
    </row>
    <row r="11" spans="1:10">
      <c r="A11" s="3">
        <v>45200</v>
      </c>
      <c r="B11" s="4" t="s">
        <v>4</v>
      </c>
      <c r="C11" s="5">
        <v>458</v>
      </c>
      <c r="D11" s="5">
        <v>466</v>
      </c>
      <c r="E11" s="5">
        <f t="shared" si="1"/>
        <v>-8</v>
      </c>
      <c r="F11" s="6">
        <f t="shared" si="2"/>
        <v>8</v>
      </c>
      <c r="G11" s="9">
        <f t="shared" si="3"/>
        <v>1.7167381974248927E-2</v>
      </c>
      <c r="H11" s="15">
        <f>ForecastData[[#This Row],[Forecast]]*0.5</f>
        <v>229</v>
      </c>
      <c r="I11" s="16">
        <f t="shared" si="0"/>
        <v>11.450000000000001</v>
      </c>
      <c r="J11" s="5">
        <f t="shared" si="4"/>
        <v>1.7167381974248927E-2</v>
      </c>
    </row>
    <row r="12" spans="1:10">
      <c r="A12" s="3">
        <v>45231</v>
      </c>
      <c r="B12" s="4" t="s">
        <v>4</v>
      </c>
      <c r="C12" s="5">
        <v>448</v>
      </c>
      <c r="D12" s="5">
        <v>494</v>
      </c>
      <c r="E12" s="5">
        <f t="shared" si="1"/>
        <v>-46</v>
      </c>
      <c r="F12" s="6">
        <f t="shared" si="2"/>
        <v>46</v>
      </c>
      <c r="G12" s="9">
        <f t="shared" si="3"/>
        <v>9.3117408906882596E-2</v>
      </c>
      <c r="H12" s="15">
        <f>ForecastData[[#This Row],[Forecast]]*0.5</f>
        <v>224</v>
      </c>
      <c r="I12" s="16">
        <f t="shared" si="0"/>
        <v>11.200000000000001</v>
      </c>
      <c r="J12" s="5">
        <f t="shared" si="4"/>
        <v>9.3117408906882596E-2</v>
      </c>
    </row>
    <row r="13" spans="1:10">
      <c r="A13" s="3">
        <v>45261</v>
      </c>
      <c r="B13" s="4" t="s">
        <v>4</v>
      </c>
      <c r="C13" s="5">
        <v>477</v>
      </c>
      <c r="D13" s="5">
        <v>500</v>
      </c>
      <c r="E13" s="5">
        <f t="shared" si="1"/>
        <v>-23</v>
      </c>
      <c r="F13" s="6">
        <f t="shared" si="2"/>
        <v>23</v>
      </c>
      <c r="G13" s="9">
        <f t="shared" si="3"/>
        <v>4.5999999999999999E-2</v>
      </c>
      <c r="H13" s="15">
        <f>ForecastData[[#This Row],[Forecast]]*0.5</f>
        <v>238.5</v>
      </c>
      <c r="I13" s="16">
        <f t="shared" si="0"/>
        <v>11.925000000000001</v>
      </c>
      <c r="J13" s="5">
        <f t="shared" si="4"/>
        <v>4.5999999999999999E-2</v>
      </c>
    </row>
    <row r="14" spans="1:10">
      <c r="A14" s="3">
        <v>45292</v>
      </c>
      <c r="B14" s="4" t="s">
        <v>4</v>
      </c>
      <c r="C14" s="5">
        <v>541</v>
      </c>
      <c r="D14" s="5">
        <v>514</v>
      </c>
      <c r="E14" s="5">
        <f t="shared" si="1"/>
        <v>27</v>
      </c>
      <c r="F14" s="6">
        <f t="shared" si="2"/>
        <v>27</v>
      </c>
      <c r="G14" s="9">
        <f t="shared" si="3"/>
        <v>5.2529182879377433E-2</v>
      </c>
      <c r="H14" s="15">
        <f>ForecastData[[#This Row],[Forecast]]*0.5</f>
        <v>270.5</v>
      </c>
      <c r="I14" s="16">
        <f t="shared" si="0"/>
        <v>13.525</v>
      </c>
      <c r="J14" s="5">
        <f t="shared" si="4"/>
        <v>5.2529182879377433E-2</v>
      </c>
    </row>
    <row r="15" spans="1:10">
      <c r="A15" s="3">
        <v>45323</v>
      </c>
      <c r="B15" s="4" t="s">
        <v>4</v>
      </c>
      <c r="C15" s="5">
        <v>526</v>
      </c>
      <c r="D15" s="5">
        <v>506</v>
      </c>
      <c r="E15" s="5">
        <f t="shared" si="1"/>
        <v>20</v>
      </c>
      <c r="F15" s="6">
        <f t="shared" si="2"/>
        <v>20</v>
      </c>
      <c r="G15" s="9">
        <f t="shared" si="3"/>
        <v>3.9525691699604744E-2</v>
      </c>
      <c r="H15" s="15">
        <f>ForecastData[[#This Row],[Forecast]]*0.5</f>
        <v>263</v>
      </c>
      <c r="I15" s="16">
        <f t="shared" si="0"/>
        <v>13.15</v>
      </c>
      <c r="J15" s="5">
        <f t="shared" si="4"/>
        <v>3.9525691699604744E-2</v>
      </c>
    </row>
    <row r="16" spans="1:10">
      <c r="A16" s="3">
        <v>45352</v>
      </c>
      <c r="B16" s="4" t="s">
        <v>4</v>
      </c>
      <c r="C16" s="5">
        <v>504</v>
      </c>
      <c r="D16" s="5">
        <v>484</v>
      </c>
      <c r="E16" s="5">
        <f t="shared" si="1"/>
        <v>20</v>
      </c>
      <c r="F16" s="6">
        <f t="shared" si="2"/>
        <v>20</v>
      </c>
      <c r="G16" s="9">
        <f t="shared" si="3"/>
        <v>4.1322314049586778E-2</v>
      </c>
      <c r="H16" s="15">
        <f>ForecastData[[#This Row],[Forecast]]*0.5</f>
        <v>252</v>
      </c>
      <c r="I16" s="16">
        <f t="shared" si="0"/>
        <v>12.600000000000001</v>
      </c>
      <c r="J16" s="5">
        <f t="shared" si="4"/>
        <v>4.1322314049586778E-2</v>
      </c>
    </row>
    <row r="17" spans="1:13">
      <c r="A17" s="3">
        <v>45383</v>
      </c>
      <c r="B17" s="4" t="s">
        <v>4</v>
      </c>
      <c r="C17" s="5">
        <v>514</v>
      </c>
      <c r="D17" s="5">
        <v>509</v>
      </c>
      <c r="E17" s="5">
        <f t="shared" si="1"/>
        <v>5</v>
      </c>
      <c r="F17" s="6">
        <f t="shared" si="2"/>
        <v>5</v>
      </c>
      <c r="G17" s="9">
        <f t="shared" si="3"/>
        <v>9.823182711198428E-3</v>
      </c>
      <c r="H17" s="15">
        <f>ForecastData[[#This Row],[Forecast]]*0.5</f>
        <v>257</v>
      </c>
      <c r="I17" s="16">
        <f t="shared" si="0"/>
        <v>12.850000000000001</v>
      </c>
      <c r="J17" s="5">
        <f t="shared" si="4"/>
        <v>9.823182711198428E-3</v>
      </c>
    </row>
    <row r="18" spans="1:13">
      <c r="A18" s="3">
        <v>45413</v>
      </c>
      <c r="B18" s="4" t="s">
        <v>4</v>
      </c>
      <c r="C18" s="5">
        <v>497</v>
      </c>
      <c r="D18" s="5">
        <v>478</v>
      </c>
      <c r="E18" s="5">
        <f t="shared" si="1"/>
        <v>19</v>
      </c>
      <c r="F18" s="6">
        <f t="shared" si="2"/>
        <v>19</v>
      </c>
      <c r="G18" s="9">
        <f t="shared" si="3"/>
        <v>3.9748953974895397E-2</v>
      </c>
      <c r="H18" s="15">
        <f>ForecastData[[#This Row],[Forecast]]*0.5</f>
        <v>248.5</v>
      </c>
      <c r="I18" s="16">
        <f t="shared" si="0"/>
        <v>12.425000000000001</v>
      </c>
      <c r="J18" s="5">
        <f t="shared" si="4"/>
        <v>3.9748953974895397E-2</v>
      </c>
    </row>
    <row r="19" spans="1:13">
      <c r="A19" s="3">
        <v>45444</v>
      </c>
      <c r="B19" s="4" t="s">
        <v>4</v>
      </c>
      <c r="C19" s="5">
        <v>486</v>
      </c>
      <c r="D19" s="5">
        <v>479</v>
      </c>
      <c r="E19" s="5">
        <f t="shared" si="1"/>
        <v>7</v>
      </c>
      <c r="F19" s="6">
        <f t="shared" si="2"/>
        <v>7</v>
      </c>
      <c r="G19" s="9">
        <f t="shared" si="3"/>
        <v>1.4613778705636743E-2</v>
      </c>
      <c r="H19" s="15">
        <f>ForecastData[[#This Row],[Forecast]]*0.5</f>
        <v>243</v>
      </c>
      <c r="I19" s="16">
        <f t="shared" si="0"/>
        <v>12.15</v>
      </c>
      <c r="J19" s="5">
        <f t="shared" si="4"/>
        <v>1.4613778705636743E-2</v>
      </c>
    </row>
    <row r="20" spans="1:13">
      <c r="A20" s="3">
        <v>45474</v>
      </c>
      <c r="B20" s="4" t="s">
        <v>4</v>
      </c>
      <c r="C20" s="5">
        <v>492</v>
      </c>
      <c r="D20" s="5">
        <v>497</v>
      </c>
      <c r="E20" s="5">
        <f t="shared" si="1"/>
        <v>-5</v>
      </c>
      <c r="F20" s="6">
        <f t="shared" si="2"/>
        <v>5</v>
      </c>
      <c r="G20" s="9">
        <f t="shared" si="3"/>
        <v>1.0060362173038229E-2</v>
      </c>
      <c r="H20" s="15">
        <f>ForecastData[[#This Row],[Forecast]]*0.5</f>
        <v>246</v>
      </c>
      <c r="I20" s="16">
        <f t="shared" si="0"/>
        <v>12.3</v>
      </c>
      <c r="J20" s="5">
        <f t="shared" si="4"/>
        <v>1.0060362173038229E-2</v>
      </c>
    </row>
    <row r="21" spans="1:13">
      <c r="A21" s="3">
        <v>45505</v>
      </c>
      <c r="B21" s="4" t="s">
        <v>4</v>
      </c>
      <c r="C21" s="5">
        <v>540</v>
      </c>
      <c r="D21" s="5">
        <v>506</v>
      </c>
      <c r="E21" s="5">
        <f t="shared" si="1"/>
        <v>34</v>
      </c>
      <c r="F21" s="6">
        <f t="shared" si="2"/>
        <v>34</v>
      </c>
      <c r="G21" s="9">
        <f t="shared" si="3"/>
        <v>6.7193675889328064E-2</v>
      </c>
      <c r="H21" s="15">
        <f>ForecastData[[#This Row],[Forecast]]*0.5</f>
        <v>270</v>
      </c>
      <c r="I21" s="16">
        <f t="shared" si="0"/>
        <v>13.5</v>
      </c>
      <c r="J21" s="5">
        <f t="shared" si="4"/>
        <v>6.7193675889328064E-2</v>
      </c>
    </row>
    <row r="22" spans="1:13">
      <c r="A22" s="3">
        <v>45536</v>
      </c>
      <c r="B22" s="4" t="s">
        <v>4</v>
      </c>
      <c r="C22" s="5">
        <v>521</v>
      </c>
      <c r="D22" s="5">
        <v>528</v>
      </c>
      <c r="E22" s="5">
        <f t="shared" si="1"/>
        <v>-7</v>
      </c>
      <c r="F22" s="6">
        <f t="shared" si="2"/>
        <v>7</v>
      </c>
      <c r="G22" s="9">
        <f t="shared" si="3"/>
        <v>1.3257575757575758E-2</v>
      </c>
      <c r="H22" s="15">
        <f>ForecastData[[#This Row],[Forecast]]*0.5</f>
        <v>260.5</v>
      </c>
      <c r="I22" s="16">
        <f t="shared" si="0"/>
        <v>13.025</v>
      </c>
      <c r="J22" s="5">
        <f t="shared" si="4"/>
        <v>1.3257575757575758E-2</v>
      </c>
    </row>
    <row r="23" spans="1:13">
      <c r="A23" s="3">
        <v>45566</v>
      </c>
      <c r="B23" s="4" t="s">
        <v>4</v>
      </c>
      <c r="C23" s="5">
        <v>472</v>
      </c>
      <c r="D23" s="5">
        <v>495</v>
      </c>
      <c r="E23" s="5">
        <f t="shared" si="1"/>
        <v>-23</v>
      </c>
      <c r="F23" s="6">
        <f t="shared" si="2"/>
        <v>23</v>
      </c>
      <c r="G23" s="9">
        <f t="shared" si="3"/>
        <v>4.6464646464646465E-2</v>
      </c>
      <c r="H23" s="15">
        <f>ForecastData[[#This Row],[Forecast]]*0.5</f>
        <v>236</v>
      </c>
      <c r="I23" s="16">
        <f t="shared" si="0"/>
        <v>11.8</v>
      </c>
      <c r="J23" s="5">
        <f t="shared" si="4"/>
        <v>4.6464646464646465E-2</v>
      </c>
    </row>
    <row r="24" spans="1:13">
      <c r="A24" s="3">
        <v>45597</v>
      </c>
      <c r="B24" s="4" t="s">
        <v>4</v>
      </c>
      <c r="C24" s="5">
        <v>553</v>
      </c>
      <c r="D24" s="5">
        <v>517</v>
      </c>
      <c r="E24" s="5">
        <f t="shared" si="1"/>
        <v>36</v>
      </c>
      <c r="F24" s="6">
        <f t="shared" si="2"/>
        <v>36</v>
      </c>
      <c r="G24" s="9">
        <f t="shared" si="3"/>
        <v>6.9632495164410058E-2</v>
      </c>
      <c r="H24" s="15">
        <f>ForecastData[[#This Row],[Forecast]]*0.5</f>
        <v>276.5</v>
      </c>
      <c r="I24" s="16">
        <f t="shared" si="0"/>
        <v>13.825000000000001</v>
      </c>
      <c r="J24" s="5">
        <f t="shared" si="4"/>
        <v>6.9632495164410058E-2</v>
      </c>
    </row>
    <row r="25" spans="1:13">
      <c r="A25" s="3">
        <v>45627</v>
      </c>
      <c r="B25" s="4" t="s">
        <v>4</v>
      </c>
      <c r="C25" s="5">
        <v>543</v>
      </c>
      <c r="D25" s="5">
        <v>506</v>
      </c>
      <c r="E25" s="5">
        <f t="shared" si="1"/>
        <v>37</v>
      </c>
      <c r="F25" s="6">
        <f t="shared" si="2"/>
        <v>37</v>
      </c>
      <c r="G25" s="9">
        <f t="shared" si="3"/>
        <v>7.3122529644268769E-2</v>
      </c>
      <c r="H25" s="15">
        <f>ForecastData[[#This Row],[Forecast]]*0.5</f>
        <v>271.5</v>
      </c>
      <c r="I25" s="16">
        <f t="shared" si="0"/>
        <v>13.575000000000001</v>
      </c>
      <c r="J25" s="5">
        <f t="shared" si="4"/>
        <v>7.3122529644268769E-2</v>
      </c>
    </row>
    <row r="26" spans="1:13">
      <c r="A26" s="3">
        <v>44927</v>
      </c>
      <c r="B26" s="4" t="s">
        <v>5</v>
      </c>
      <c r="C26" s="5">
        <v>552</v>
      </c>
      <c r="D26" s="5">
        <v>580</v>
      </c>
      <c r="E26" s="5">
        <f t="shared" si="1"/>
        <v>-28</v>
      </c>
      <c r="F26" s="6">
        <f t="shared" si="2"/>
        <v>28</v>
      </c>
      <c r="G26" s="9">
        <f t="shared" si="3"/>
        <v>4.8275862068965517E-2</v>
      </c>
      <c r="H26" s="15">
        <f>ForecastData[[#This Row],[Forecast]]*0.5</f>
        <v>276</v>
      </c>
      <c r="I26" s="16">
        <f t="shared" si="0"/>
        <v>13.8</v>
      </c>
      <c r="J26" s="5">
        <f t="shared" si="4"/>
        <v>4.8275862068965517E-2</v>
      </c>
    </row>
    <row r="27" spans="1:13">
      <c r="A27" s="3">
        <v>44958</v>
      </c>
      <c r="B27" s="4" t="s">
        <v>5</v>
      </c>
      <c r="C27" s="5">
        <v>611</v>
      </c>
      <c r="D27" s="5">
        <v>569</v>
      </c>
      <c r="E27" s="5">
        <f t="shared" si="1"/>
        <v>42</v>
      </c>
      <c r="F27" s="6">
        <f t="shared" si="2"/>
        <v>42</v>
      </c>
      <c r="G27" s="9">
        <f t="shared" si="3"/>
        <v>7.3813708260105443E-2</v>
      </c>
      <c r="H27" s="15">
        <f>ForecastData[[#This Row],[Forecast]]*0.5</f>
        <v>305.5</v>
      </c>
      <c r="I27" s="16">
        <f t="shared" si="0"/>
        <v>15.275</v>
      </c>
      <c r="J27" s="5">
        <f t="shared" si="4"/>
        <v>7.3813708260105443E-2</v>
      </c>
      <c r="M27" s="2">
        <f>SUM(ForecastData[Forecast])</f>
        <v>39001</v>
      </c>
    </row>
    <row r="28" spans="1:13">
      <c r="A28" s="3">
        <v>44986</v>
      </c>
      <c r="B28" s="4" t="s">
        <v>5</v>
      </c>
      <c r="C28" s="5">
        <v>586</v>
      </c>
      <c r="D28" s="5">
        <v>586</v>
      </c>
      <c r="E28" s="5">
        <f t="shared" si="1"/>
        <v>0</v>
      </c>
      <c r="F28" s="6">
        <f t="shared" si="2"/>
        <v>0</v>
      </c>
      <c r="G28" s="9">
        <f t="shared" si="3"/>
        <v>0</v>
      </c>
      <c r="H28" s="15">
        <f>ForecastData[[#This Row],[Forecast]]*0.5</f>
        <v>293</v>
      </c>
      <c r="I28" s="16">
        <f t="shared" si="0"/>
        <v>14.65</v>
      </c>
      <c r="J28" s="5">
        <f t="shared" si="4"/>
        <v>0</v>
      </c>
      <c r="M28" s="2">
        <f>SUM(ForecastData[Actual])</f>
        <v>38706</v>
      </c>
    </row>
    <row r="29" spans="1:13">
      <c r="A29" s="3">
        <v>45017</v>
      </c>
      <c r="B29" s="4" t="s">
        <v>5</v>
      </c>
      <c r="C29" s="5">
        <v>525</v>
      </c>
      <c r="D29" s="5">
        <v>575</v>
      </c>
      <c r="E29" s="5">
        <f t="shared" si="1"/>
        <v>-50</v>
      </c>
      <c r="F29" s="6">
        <f t="shared" si="2"/>
        <v>50</v>
      </c>
      <c r="G29" s="9">
        <f t="shared" si="3"/>
        <v>8.6956521739130432E-2</v>
      </c>
      <c r="H29" s="15">
        <f>ForecastData[[#This Row],[Forecast]]*0.5</f>
        <v>262.5</v>
      </c>
      <c r="I29" s="16">
        <f t="shared" si="0"/>
        <v>13.125</v>
      </c>
      <c r="J29" s="5">
        <f t="shared" si="4"/>
        <v>8.6956521739130432E-2</v>
      </c>
    </row>
    <row r="30" spans="1:13">
      <c r="A30" s="3">
        <v>45047</v>
      </c>
      <c r="B30" s="4" t="s">
        <v>5</v>
      </c>
      <c r="C30" s="5">
        <v>539</v>
      </c>
      <c r="D30" s="5">
        <v>571</v>
      </c>
      <c r="E30" s="5">
        <f t="shared" si="1"/>
        <v>-32</v>
      </c>
      <c r="F30" s="6">
        <f t="shared" si="2"/>
        <v>32</v>
      </c>
      <c r="G30" s="9">
        <f t="shared" si="3"/>
        <v>5.6042031523642732E-2</v>
      </c>
      <c r="H30" s="15">
        <f>ForecastData[[#This Row],[Forecast]]*0.5</f>
        <v>269.5</v>
      </c>
      <c r="I30" s="16">
        <f t="shared" si="0"/>
        <v>13.475000000000001</v>
      </c>
      <c r="J30" s="5">
        <f t="shared" si="4"/>
        <v>5.6042031523642732E-2</v>
      </c>
    </row>
    <row r="31" spans="1:13">
      <c r="A31" s="3">
        <v>45078</v>
      </c>
      <c r="B31" s="4" t="s">
        <v>5</v>
      </c>
      <c r="C31" s="5">
        <v>537</v>
      </c>
      <c r="D31" s="5">
        <v>566</v>
      </c>
      <c r="E31" s="5">
        <f t="shared" si="1"/>
        <v>-29</v>
      </c>
      <c r="F31" s="6">
        <f t="shared" si="2"/>
        <v>29</v>
      </c>
      <c r="G31" s="9">
        <f t="shared" si="3"/>
        <v>5.1236749116607777E-2</v>
      </c>
      <c r="H31" s="15">
        <f>ForecastData[[#This Row],[Forecast]]*0.5</f>
        <v>268.5</v>
      </c>
      <c r="I31" s="16">
        <f t="shared" si="0"/>
        <v>13.425000000000001</v>
      </c>
      <c r="J31" s="5">
        <f t="shared" si="4"/>
        <v>5.1236749116607777E-2</v>
      </c>
    </row>
    <row r="32" spans="1:13">
      <c r="A32" s="3">
        <v>45108</v>
      </c>
      <c r="B32" s="4" t="s">
        <v>5</v>
      </c>
      <c r="C32" s="5">
        <v>539</v>
      </c>
      <c r="D32" s="5">
        <v>536</v>
      </c>
      <c r="E32" s="5">
        <f t="shared" si="1"/>
        <v>3</v>
      </c>
      <c r="F32" s="6">
        <f t="shared" si="2"/>
        <v>3</v>
      </c>
      <c r="G32" s="9">
        <f t="shared" si="3"/>
        <v>5.597014925373134E-3</v>
      </c>
      <c r="H32" s="15">
        <f>ForecastData[[#This Row],[Forecast]]*0.5</f>
        <v>269.5</v>
      </c>
      <c r="I32" s="16">
        <f t="shared" si="0"/>
        <v>13.475000000000001</v>
      </c>
      <c r="J32" s="5">
        <f t="shared" si="4"/>
        <v>5.597014925373134E-3</v>
      </c>
    </row>
    <row r="33" spans="1:10">
      <c r="A33" s="3">
        <v>45139</v>
      </c>
      <c r="B33" s="4" t="s">
        <v>5</v>
      </c>
      <c r="C33" s="5">
        <v>568</v>
      </c>
      <c r="D33" s="5">
        <v>580</v>
      </c>
      <c r="E33" s="5">
        <f t="shared" si="1"/>
        <v>-12</v>
      </c>
      <c r="F33" s="6">
        <f t="shared" si="2"/>
        <v>12</v>
      </c>
      <c r="G33" s="9">
        <f t="shared" si="3"/>
        <v>2.0689655172413793E-2</v>
      </c>
      <c r="H33" s="15">
        <f>ForecastData[[#This Row],[Forecast]]*0.5</f>
        <v>284</v>
      </c>
      <c r="I33" s="16">
        <f t="shared" si="0"/>
        <v>14.200000000000001</v>
      </c>
      <c r="J33" s="5">
        <f t="shared" si="4"/>
        <v>2.0689655172413793E-2</v>
      </c>
    </row>
    <row r="34" spans="1:10">
      <c r="A34" s="3">
        <v>45170</v>
      </c>
      <c r="B34" s="4" t="s">
        <v>5</v>
      </c>
      <c r="C34" s="5">
        <v>553</v>
      </c>
      <c r="D34" s="5">
        <v>572</v>
      </c>
      <c r="E34" s="5">
        <f t="shared" si="1"/>
        <v>-19</v>
      </c>
      <c r="F34" s="6">
        <f t="shared" si="2"/>
        <v>19</v>
      </c>
      <c r="G34" s="9">
        <f t="shared" si="3"/>
        <v>3.3216783216783216E-2</v>
      </c>
      <c r="H34" s="15">
        <f>ForecastData[[#This Row],[Forecast]]*0.5</f>
        <v>276.5</v>
      </c>
      <c r="I34" s="16">
        <f t="shared" ref="I34:I65" si="5">H34 * 0.05</f>
        <v>13.825000000000001</v>
      </c>
      <c r="J34" s="5">
        <f t="shared" si="4"/>
        <v>3.3216783216783216E-2</v>
      </c>
    </row>
    <row r="35" spans="1:10">
      <c r="A35" s="3">
        <v>45200</v>
      </c>
      <c r="B35" s="4" t="s">
        <v>5</v>
      </c>
      <c r="C35" s="5">
        <v>553</v>
      </c>
      <c r="D35" s="5">
        <v>553</v>
      </c>
      <c r="E35" s="5">
        <f t="shared" si="1"/>
        <v>0</v>
      </c>
      <c r="F35" s="6">
        <f t="shared" si="2"/>
        <v>0</v>
      </c>
      <c r="G35" s="9">
        <f t="shared" si="3"/>
        <v>0</v>
      </c>
      <c r="H35" s="15">
        <f>ForecastData[[#This Row],[Forecast]]*0.5</f>
        <v>276.5</v>
      </c>
      <c r="I35" s="16">
        <f t="shared" si="5"/>
        <v>13.825000000000001</v>
      </c>
      <c r="J35" s="5">
        <f t="shared" si="4"/>
        <v>0</v>
      </c>
    </row>
    <row r="36" spans="1:10">
      <c r="A36" s="3">
        <v>45231</v>
      </c>
      <c r="B36" s="4" t="s">
        <v>5</v>
      </c>
      <c r="C36" s="5">
        <v>604</v>
      </c>
      <c r="D36" s="5">
        <v>590</v>
      </c>
      <c r="E36" s="5">
        <f t="shared" si="1"/>
        <v>14</v>
      </c>
      <c r="F36" s="6">
        <f t="shared" si="2"/>
        <v>14</v>
      </c>
      <c r="G36" s="9">
        <f t="shared" si="3"/>
        <v>2.3728813559322035E-2</v>
      </c>
      <c r="H36" s="15">
        <f>ForecastData[[#This Row],[Forecast]]*0.5</f>
        <v>302</v>
      </c>
      <c r="I36" s="16">
        <f t="shared" si="5"/>
        <v>15.100000000000001</v>
      </c>
      <c r="J36" s="5">
        <f t="shared" si="4"/>
        <v>2.3728813559322035E-2</v>
      </c>
    </row>
    <row r="37" spans="1:10">
      <c r="A37" s="3">
        <v>45261</v>
      </c>
      <c r="B37" s="4" t="s">
        <v>5</v>
      </c>
      <c r="C37" s="5">
        <v>522</v>
      </c>
      <c r="D37" s="5">
        <v>529</v>
      </c>
      <c r="E37" s="5">
        <f t="shared" si="1"/>
        <v>-7</v>
      </c>
      <c r="F37" s="6">
        <f t="shared" si="2"/>
        <v>7</v>
      </c>
      <c r="G37" s="9">
        <f t="shared" si="3"/>
        <v>1.3232514177693762E-2</v>
      </c>
      <c r="H37" s="15">
        <f>ForecastData[[#This Row],[Forecast]]*0.5</f>
        <v>261</v>
      </c>
      <c r="I37" s="16">
        <f t="shared" si="5"/>
        <v>13.05</v>
      </c>
      <c r="J37" s="5">
        <f t="shared" si="4"/>
        <v>1.3232514177693762E-2</v>
      </c>
    </row>
    <row r="38" spans="1:10">
      <c r="A38" s="3">
        <v>45292</v>
      </c>
      <c r="B38" s="4" t="s">
        <v>5</v>
      </c>
      <c r="C38" s="5">
        <v>578</v>
      </c>
      <c r="D38" s="5">
        <v>595</v>
      </c>
      <c r="E38" s="5">
        <f t="shared" si="1"/>
        <v>-17</v>
      </c>
      <c r="F38" s="6">
        <f t="shared" si="2"/>
        <v>17</v>
      </c>
      <c r="G38" s="9">
        <f t="shared" si="3"/>
        <v>2.8571428571428571E-2</v>
      </c>
      <c r="H38" s="15">
        <f>ForecastData[[#This Row],[Forecast]]*0.5</f>
        <v>289</v>
      </c>
      <c r="I38" s="16">
        <f t="shared" si="5"/>
        <v>14.450000000000001</v>
      </c>
      <c r="J38" s="5">
        <f t="shared" si="4"/>
        <v>2.8571428571428571E-2</v>
      </c>
    </row>
    <row r="39" spans="1:10">
      <c r="A39" s="3">
        <v>45323</v>
      </c>
      <c r="B39" s="4" t="s">
        <v>5</v>
      </c>
      <c r="C39" s="5">
        <v>590</v>
      </c>
      <c r="D39" s="5">
        <v>602</v>
      </c>
      <c r="E39" s="5">
        <f t="shared" si="1"/>
        <v>-12</v>
      </c>
      <c r="F39" s="6">
        <f t="shared" si="2"/>
        <v>12</v>
      </c>
      <c r="G39" s="9">
        <f t="shared" si="3"/>
        <v>1.9933554817275746E-2</v>
      </c>
      <c r="H39" s="15">
        <f>ForecastData[[#This Row],[Forecast]]*0.5</f>
        <v>295</v>
      </c>
      <c r="I39" s="16">
        <f t="shared" si="5"/>
        <v>14.75</v>
      </c>
      <c r="J39" s="5">
        <f t="shared" si="4"/>
        <v>1.9933554817275746E-2</v>
      </c>
    </row>
    <row r="40" spans="1:10">
      <c r="A40" s="3">
        <v>45352</v>
      </c>
      <c r="B40" s="4" t="s">
        <v>5</v>
      </c>
      <c r="C40" s="5">
        <v>557</v>
      </c>
      <c r="D40" s="5">
        <v>547</v>
      </c>
      <c r="E40" s="5">
        <f t="shared" si="1"/>
        <v>10</v>
      </c>
      <c r="F40" s="6">
        <f t="shared" si="2"/>
        <v>10</v>
      </c>
      <c r="G40" s="9">
        <f t="shared" si="3"/>
        <v>1.8281535648994516E-2</v>
      </c>
      <c r="H40" s="15">
        <f>ForecastData[[#This Row],[Forecast]]*0.5</f>
        <v>278.5</v>
      </c>
      <c r="I40" s="16">
        <f t="shared" si="5"/>
        <v>13.925000000000001</v>
      </c>
      <c r="J40" s="5">
        <f t="shared" si="4"/>
        <v>1.8281535648994516E-2</v>
      </c>
    </row>
    <row r="41" spans="1:10">
      <c r="A41" s="3">
        <v>45383</v>
      </c>
      <c r="B41" s="4" t="s">
        <v>5</v>
      </c>
      <c r="C41" s="5">
        <v>574</v>
      </c>
      <c r="D41" s="5">
        <v>574</v>
      </c>
      <c r="E41" s="5">
        <f t="shared" si="1"/>
        <v>0</v>
      </c>
      <c r="F41" s="6">
        <f t="shared" si="2"/>
        <v>0</v>
      </c>
      <c r="G41" s="9">
        <f t="shared" si="3"/>
        <v>0</v>
      </c>
      <c r="H41" s="15">
        <f>ForecastData[[#This Row],[Forecast]]*0.5</f>
        <v>287</v>
      </c>
      <c r="I41" s="16">
        <f t="shared" si="5"/>
        <v>14.350000000000001</v>
      </c>
      <c r="J41" s="5">
        <f t="shared" si="4"/>
        <v>0</v>
      </c>
    </row>
    <row r="42" spans="1:10">
      <c r="A42" s="3">
        <v>45413</v>
      </c>
      <c r="B42" s="4" t="s">
        <v>5</v>
      </c>
      <c r="C42" s="5">
        <v>629</v>
      </c>
      <c r="D42" s="5">
        <v>606</v>
      </c>
      <c r="E42" s="5">
        <f t="shared" si="1"/>
        <v>23</v>
      </c>
      <c r="F42" s="6">
        <f t="shared" si="2"/>
        <v>23</v>
      </c>
      <c r="G42" s="9">
        <f t="shared" si="3"/>
        <v>3.7953795379537955E-2</v>
      </c>
      <c r="H42" s="15">
        <f>ForecastData[[#This Row],[Forecast]]*0.5</f>
        <v>314.5</v>
      </c>
      <c r="I42" s="16">
        <f t="shared" si="5"/>
        <v>15.725000000000001</v>
      </c>
      <c r="J42" s="5">
        <f t="shared" si="4"/>
        <v>3.7953795379537955E-2</v>
      </c>
    </row>
    <row r="43" spans="1:10">
      <c r="A43" s="3">
        <v>45444</v>
      </c>
      <c r="B43" s="4" t="s">
        <v>5</v>
      </c>
      <c r="C43" s="5">
        <v>503</v>
      </c>
      <c r="D43" s="5">
        <v>537</v>
      </c>
      <c r="E43" s="5">
        <f t="shared" si="1"/>
        <v>-34</v>
      </c>
      <c r="F43" s="6">
        <f t="shared" si="2"/>
        <v>34</v>
      </c>
      <c r="G43" s="9">
        <f t="shared" si="3"/>
        <v>6.3314711359404099E-2</v>
      </c>
      <c r="H43" s="15">
        <f>ForecastData[[#This Row],[Forecast]]*0.5</f>
        <v>251.5</v>
      </c>
      <c r="I43" s="16">
        <f t="shared" si="5"/>
        <v>12.575000000000001</v>
      </c>
      <c r="J43" s="5">
        <f t="shared" si="4"/>
        <v>6.3314711359404099E-2</v>
      </c>
    </row>
    <row r="44" spans="1:10">
      <c r="A44" s="3">
        <v>45474</v>
      </c>
      <c r="B44" s="4" t="s">
        <v>5</v>
      </c>
      <c r="C44" s="5">
        <v>543</v>
      </c>
      <c r="D44" s="5">
        <v>566</v>
      </c>
      <c r="E44" s="5">
        <f t="shared" si="1"/>
        <v>-23</v>
      </c>
      <c r="F44" s="6">
        <f t="shared" si="2"/>
        <v>23</v>
      </c>
      <c r="G44" s="9">
        <f t="shared" si="3"/>
        <v>4.0636042402826852E-2</v>
      </c>
      <c r="H44" s="15">
        <f>ForecastData[[#This Row],[Forecast]]*0.5</f>
        <v>271.5</v>
      </c>
      <c r="I44" s="16">
        <f t="shared" si="5"/>
        <v>13.575000000000001</v>
      </c>
      <c r="J44" s="5">
        <f t="shared" si="4"/>
        <v>4.0636042402826852E-2</v>
      </c>
    </row>
    <row r="45" spans="1:10">
      <c r="A45" s="3">
        <v>45505</v>
      </c>
      <c r="B45" s="4" t="s">
        <v>5</v>
      </c>
      <c r="C45" s="5">
        <v>624</v>
      </c>
      <c r="D45" s="5">
        <v>601</v>
      </c>
      <c r="E45" s="5">
        <f t="shared" si="1"/>
        <v>23</v>
      </c>
      <c r="F45" s="6">
        <f t="shared" si="2"/>
        <v>23</v>
      </c>
      <c r="G45" s="9">
        <f t="shared" si="3"/>
        <v>3.8269550748752081E-2</v>
      </c>
      <c r="H45" s="15">
        <f>ForecastData[[#This Row],[Forecast]]*0.5</f>
        <v>312</v>
      </c>
      <c r="I45" s="16">
        <f t="shared" si="5"/>
        <v>15.600000000000001</v>
      </c>
      <c r="J45" s="5">
        <f t="shared" si="4"/>
        <v>3.8269550748752081E-2</v>
      </c>
    </row>
    <row r="46" spans="1:10">
      <c r="A46" s="3">
        <v>45536</v>
      </c>
      <c r="B46" s="4" t="s">
        <v>5</v>
      </c>
      <c r="C46" s="5">
        <v>548</v>
      </c>
      <c r="D46" s="5">
        <v>572</v>
      </c>
      <c r="E46" s="5">
        <f t="shared" si="1"/>
        <v>-24</v>
      </c>
      <c r="F46" s="6">
        <f t="shared" si="2"/>
        <v>24</v>
      </c>
      <c r="G46" s="9">
        <f t="shared" si="3"/>
        <v>4.195804195804196E-2</v>
      </c>
      <c r="H46" s="15">
        <f>ForecastData[[#This Row],[Forecast]]*0.5</f>
        <v>274</v>
      </c>
      <c r="I46" s="16">
        <f t="shared" si="5"/>
        <v>13.700000000000001</v>
      </c>
      <c r="J46" s="5">
        <f t="shared" si="4"/>
        <v>4.195804195804196E-2</v>
      </c>
    </row>
    <row r="47" spans="1:10">
      <c r="A47" s="3">
        <v>45566</v>
      </c>
      <c r="B47" s="4" t="s">
        <v>5</v>
      </c>
      <c r="C47" s="5">
        <v>591</v>
      </c>
      <c r="D47" s="5">
        <v>550</v>
      </c>
      <c r="E47" s="5">
        <f t="shared" si="1"/>
        <v>41</v>
      </c>
      <c r="F47" s="6">
        <f t="shared" si="2"/>
        <v>41</v>
      </c>
      <c r="G47" s="9">
        <f t="shared" si="3"/>
        <v>7.454545454545454E-2</v>
      </c>
      <c r="H47" s="15">
        <f>ForecastData[[#This Row],[Forecast]]*0.5</f>
        <v>295.5</v>
      </c>
      <c r="I47" s="16">
        <f t="shared" si="5"/>
        <v>14.775</v>
      </c>
      <c r="J47" s="5">
        <f t="shared" si="4"/>
        <v>7.454545454545454E-2</v>
      </c>
    </row>
    <row r="48" spans="1:10">
      <c r="A48" s="3">
        <v>45597</v>
      </c>
      <c r="B48" s="4" t="s">
        <v>5</v>
      </c>
      <c r="C48" s="5">
        <v>602</v>
      </c>
      <c r="D48" s="5">
        <v>560</v>
      </c>
      <c r="E48" s="5">
        <f t="shared" si="1"/>
        <v>42</v>
      </c>
      <c r="F48" s="6">
        <f t="shared" si="2"/>
        <v>42</v>
      </c>
      <c r="G48" s="9">
        <f t="shared" si="3"/>
        <v>7.4999999999999997E-2</v>
      </c>
      <c r="H48" s="15">
        <f>ForecastData[[#This Row],[Forecast]]*0.5</f>
        <v>301</v>
      </c>
      <c r="I48" s="16">
        <f t="shared" si="5"/>
        <v>15.05</v>
      </c>
      <c r="J48" s="5">
        <f t="shared" si="4"/>
        <v>7.4999999999999997E-2</v>
      </c>
    </row>
    <row r="49" spans="1:10">
      <c r="A49" s="3">
        <v>45627</v>
      </c>
      <c r="B49" s="4" t="s">
        <v>5</v>
      </c>
      <c r="C49" s="5">
        <v>599</v>
      </c>
      <c r="D49" s="5">
        <v>558</v>
      </c>
      <c r="E49" s="5">
        <f t="shared" si="1"/>
        <v>41</v>
      </c>
      <c r="F49" s="6">
        <f t="shared" si="2"/>
        <v>41</v>
      </c>
      <c r="G49" s="9">
        <f t="shared" si="3"/>
        <v>7.3476702508960573E-2</v>
      </c>
      <c r="H49" s="15">
        <f>ForecastData[[#This Row],[Forecast]]*0.5</f>
        <v>299.5</v>
      </c>
      <c r="I49" s="16">
        <f t="shared" si="5"/>
        <v>14.975000000000001</v>
      </c>
      <c r="J49" s="5">
        <f t="shared" si="4"/>
        <v>7.3476702508960573E-2</v>
      </c>
    </row>
    <row r="50" spans="1:10">
      <c r="A50" s="3">
        <v>44927</v>
      </c>
      <c r="B50" s="4" t="s">
        <v>6</v>
      </c>
      <c r="C50" s="5">
        <v>602</v>
      </c>
      <c r="D50" s="5">
        <v>562</v>
      </c>
      <c r="E50" s="5">
        <f t="shared" si="1"/>
        <v>40</v>
      </c>
      <c r="F50" s="6">
        <f t="shared" si="2"/>
        <v>40</v>
      </c>
      <c r="G50" s="9">
        <f t="shared" si="3"/>
        <v>7.1174377224199295E-2</v>
      </c>
      <c r="H50" s="15">
        <f>ForecastData[[#This Row],[Forecast]]*0.5</f>
        <v>301</v>
      </c>
      <c r="I50" s="16">
        <f t="shared" si="5"/>
        <v>15.05</v>
      </c>
      <c r="J50" s="5">
        <f t="shared" si="4"/>
        <v>7.1174377224199295E-2</v>
      </c>
    </row>
    <row r="51" spans="1:10">
      <c r="A51" s="3">
        <v>44958</v>
      </c>
      <c r="B51" s="4" t="s">
        <v>6</v>
      </c>
      <c r="C51" s="5">
        <v>489</v>
      </c>
      <c r="D51" s="5">
        <v>511</v>
      </c>
      <c r="E51" s="5">
        <f t="shared" si="1"/>
        <v>-22</v>
      </c>
      <c r="F51" s="6">
        <f t="shared" si="2"/>
        <v>22</v>
      </c>
      <c r="G51" s="9">
        <f t="shared" si="3"/>
        <v>4.3052837573385516E-2</v>
      </c>
      <c r="H51" s="15">
        <f>ForecastData[[#This Row],[Forecast]]*0.5</f>
        <v>244.5</v>
      </c>
      <c r="I51" s="16">
        <f t="shared" si="5"/>
        <v>12.225000000000001</v>
      </c>
      <c r="J51" s="5">
        <f t="shared" si="4"/>
        <v>4.3052837573385516E-2</v>
      </c>
    </row>
    <row r="52" spans="1:10">
      <c r="A52" s="3">
        <v>44986</v>
      </c>
      <c r="B52" s="4" t="s">
        <v>6</v>
      </c>
      <c r="C52" s="5">
        <v>523</v>
      </c>
      <c r="D52" s="5">
        <v>551</v>
      </c>
      <c r="E52" s="5">
        <f t="shared" si="1"/>
        <v>-28</v>
      </c>
      <c r="F52" s="6">
        <f t="shared" si="2"/>
        <v>28</v>
      </c>
      <c r="G52" s="9">
        <f t="shared" si="3"/>
        <v>5.0816696914700546E-2</v>
      </c>
      <c r="H52" s="15">
        <f>ForecastData[[#This Row],[Forecast]]*0.5</f>
        <v>261.5</v>
      </c>
      <c r="I52" s="16">
        <f t="shared" si="5"/>
        <v>13.075000000000001</v>
      </c>
      <c r="J52" s="5">
        <f t="shared" si="4"/>
        <v>5.0816696914700546E-2</v>
      </c>
    </row>
    <row r="53" spans="1:10">
      <c r="A53" s="3">
        <v>45017</v>
      </c>
      <c r="B53" s="4" t="s">
        <v>6</v>
      </c>
      <c r="C53" s="5">
        <v>559</v>
      </c>
      <c r="D53" s="5">
        <v>526</v>
      </c>
      <c r="E53" s="5">
        <f t="shared" si="1"/>
        <v>33</v>
      </c>
      <c r="F53" s="6">
        <f t="shared" si="2"/>
        <v>33</v>
      </c>
      <c r="G53" s="9">
        <f t="shared" si="3"/>
        <v>6.2737642585551326E-2</v>
      </c>
      <c r="H53" s="15">
        <f>ForecastData[[#This Row],[Forecast]]*0.5</f>
        <v>279.5</v>
      </c>
      <c r="I53" s="16">
        <f t="shared" si="5"/>
        <v>13.975000000000001</v>
      </c>
      <c r="J53" s="5">
        <f t="shared" si="4"/>
        <v>6.2737642585551326E-2</v>
      </c>
    </row>
    <row r="54" spans="1:10">
      <c r="A54" s="3">
        <v>45047</v>
      </c>
      <c r="B54" s="4" t="s">
        <v>6</v>
      </c>
      <c r="C54" s="5">
        <v>572</v>
      </c>
      <c r="D54" s="5">
        <v>553</v>
      </c>
      <c r="E54" s="5">
        <f t="shared" si="1"/>
        <v>19</v>
      </c>
      <c r="F54" s="6">
        <f t="shared" si="2"/>
        <v>19</v>
      </c>
      <c r="G54" s="9">
        <f t="shared" si="3"/>
        <v>3.4358047016274866E-2</v>
      </c>
      <c r="H54" s="15">
        <f>ForecastData[[#This Row],[Forecast]]*0.5</f>
        <v>286</v>
      </c>
      <c r="I54" s="16">
        <f t="shared" si="5"/>
        <v>14.3</v>
      </c>
      <c r="J54" s="5">
        <f t="shared" si="4"/>
        <v>3.4358047016274866E-2</v>
      </c>
    </row>
    <row r="55" spans="1:10">
      <c r="A55" s="3">
        <v>45078</v>
      </c>
      <c r="B55" s="4" t="s">
        <v>6</v>
      </c>
      <c r="C55" s="5">
        <v>619</v>
      </c>
      <c r="D55" s="5">
        <v>528</v>
      </c>
      <c r="E55" s="5">
        <f t="shared" si="1"/>
        <v>91</v>
      </c>
      <c r="F55" s="6">
        <f t="shared" si="2"/>
        <v>91</v>
      </c>
      <c r="G55" s="9">
        <f t="shared" si="3"/>
        <v>0.17234848484848486</v>
      </c>
      <c r="H55" s="15">
        <f>ForecastData[[#This Row],[Forecast]]*0.5</f>
        <v>309.5</v>
      </c>
      <c r="I55" s="16">
        <f t="shared" si="5"/>
        <v>15.475000000000001</v>
      </c>
      <c r="J55" s="5">
        <f t="shared" si="4"/>
        <v>0.17234848484848486</v>
      </c>
    </row>
    <row r="56" spans="1:10">
      <c r="A56" s="3">
        <v>45108</v>
      </c>
      <c r="B56" s="4" t="s">
        <v>6</v>
      </c>
      <c r="C56" s="5">
        <v>546</v>
      </c>
      <c r="D56" s="5">
        <v>585</v>
      </c>
      <c r="E56" s="5">
        <f t="shared" si="1"/>
        <v>-39</v>
      </c>
      <c r="F56" s="6">
        <f t="shared" si="2"/>
        <v>39</v>
      </c>
      <c r="G56" s="9">
        <f t="shared" si="3"/>
        <v>6.6666666666666666E-2</v>
      </c>
      <c r="H56" s="15">
        <f>ForecastData[[#This Row],[Forecast]]*0.5</f>
        <v>273</v>
      </c>
      <c r="I56" s="16">
        <f t="shared" si="5"/>
        <v>13.65</v>
      </c>
      <c r="J56" s="5">
        <f t="shared" si="4"/>
        <v>6.6666666666666666E-2</v>
      </c>
    </row>
    <row r="57" spans="1:10">
      <c r="A57" s="3">
        <v>45139</v>
      </c>
      <c r="B57" s="4" t="s">
        <v>6</v>
      </c>
      <c r="C57" s="5">
        <v>560</v>
      </c>
      <c r="D57" s="5">
        <v>539</v>
      </c>
      <c r="E57" s="5">
        <f t="shared" si="1"/>
        <v>21</v>
      </c>
      <c r="F57" s="6">
        <f t="shared" si="2"/>
        <v>21</v>
      </c>
      <c r="G57" s="9">
        <f t="shared" si="3"/>
        <v>3.896103896103896E-2</v>
      </c>
      <c r="H57" s="15">
        <f>ForecastData[[#This Row],[Forecast]]*0.5</f>
        <v>280</v>
      </c>
      <c r="I57" s="16">
        <f t="shared" si="5"/>
        <v>14</v>
      </c>
      <c r="J57" s="5">
        <f t="shared" si="4"/>
        <v>3.896103896103896E-2</v>
      </c>
    </row>
    <row r="58" spans="1:10">
      <c r="A58" s="3">
        <v>45170</v>
      </c>
      <c r="B58" s="4" t="s">
        <v>6</v>
      </c>
      <c r="C58" s="5">
        <v>559</v>
      </c>
      <c r="D58" s="5">
        <v>550</v>
      </c>
      <c r="E58" s="5">
        <f t="shared" si="1"/>
        <v>9</v>
      </c>
      <c r="F58" s="6">
        <f t="shared" si="2"/>
        <v>9</v>
      </c>
      <c r="G58" s="9">
        <f t="shared" si="3"/>
        <v>1.6363636363636365E-2</v>
      </c>
      <c r="H58" s="15">
        <f>ForecastData[[#This Row],[Forecast]]*0.5</f>
        <v>279.5</v>
      </c>
      <c r="I58" s="16">
        <f t="shared" si="5"/>
        <v>13.975000000000001</v>
      </c>
      <c r="J58" s="5">
        <f t="shared" si="4"/>
        <v>1.6363636363636365E-2</v>
      </c>
    </row>
    <row r="59" spans="1:10">
      <c r="A59" s="3">
        <v>45200</v>
      </c>
      <c r="B59" s="4" t="s">
        <v>6</v>
      </c>
      <c r="C59" s="5">
        <v>518</v>
      </c>
      <c r="D59" s="5">
        <v>517</v>
      </c>
      <c r="E59" s="5">
        <f t="shared" si="1"/>
        <v>1</v>
      </c>
      <c r="F59" s="6">
        <f t="shared" si="2"/>
        <v>1</v>
      </c>
      <c r="G59" s="9">
        <f t="shared" si="3"/>
        <v>1.9342359767891683E-3</v>
      </c>
      <c r="H59" s="15">
        <f>ForecastData[[#This Row],[Forecast]]*0.5</f>
        <v>259</v>
      </c>
      <c r="I59" s="16">
        <f t="shared" si="5"/>
        <v>12.950000000000001</v>
      </c>
      <c r="J59" s="5">
        <f t="shared" si="4"/>
        <v>1.9342359767891683E-3</v>
      </c>
    </row>
    <row r="60" spans="1:10">
      <c r="A60" s="3">
        <v>45231</v>
      </c>
      <c r="B60" s="4" t="s">
        <v>6</v>
      </c>
      <c r="C60" s="5">
        <v>578</v>
      </c>
      <c r="D60" s="5">
        <v>551</v>
      </c>
      <c r="E60" s="5">
        <f t="shared" si="1"/>
        <v>27</v>
      </c>
      <c r="F60" s="6">
        <f t="shared" si="2"/>
        <v>27</v>
      </c>
      <c r="G60" s="9">
        <f t="shared" si="3"/>
        <v>4.9001814882032667E-2</v>
      </c>
      <c r="H60" s="15">
        <f>ForecastData[[#This Row],[Forecast]]*0.5</f>
        <v>289</v>
      </c>
      <c r="I60" s="16">
        <f t="shared" si="5"/>
        <v>14.450000000000001</v>
      </c>
      <c r="J60" s="5">
        <f t="shared" si="4"/>
        <v>4.9001814882032667E-2</v>
      </c>
    </row>
    <row r="61" spans="1:10">
      <c r="A61" s="3">
        <v>45261</v>
      </c>
      <c r="B61" s="4" t="s">
        <v>6</v>
      </c>
      <c r="C61" s="5">
        <v>539</v>
      </c>
      <c r="D61" s="5">
        <v>539</v>
      </c>
      <c r="E61" s="5">
        <f t="shared" si="1"/>
        <v>0</v>
      </c>
      <c r="F61" s="6">
        <f t="shared" si="2"/>
        <v>0</v>
      </c>
      <c r="G61" s="9">
        <f t="shared" si="3"/>
        <v>0</v>
      </c>
      <c r="H61" s="15">
        <f>ForecastData[[#This Row],[Forecast]]*0.5</f>
        <v>269.5</v>
      </c>
      <c r="I61" s="16">
        <f t="shared" si="5"/>
        <v>13.475000000000001</v>
      </c>
      <c r="J61" s="5">
        <f t="shared" si="4"/>
        <v>0</v>
      </c>
    </row>
    <row r="62" spans="1:10">
      <c r="A62" s="3">
        <v>45292</v>
      </c>
      <c r="B62" s="4" t="s">
        <v>6</v>
      </c>
      <c r="C62" s="5">
        <v>484</v>
      </c>
      <c r="D62" s="5">
        <v>542</v>
      </c>
      <c r="E62" s="5">
        <f t="shared" si="1"/>
        <v>-58</v>
      </c>
      <c r="F62" s="6">
        <f t="shared" si="2"/>
        <v>58</v>
      </c>
      <c r="G62" s="9">
        <f t="shared" si="3"/>
        <v>0.1070110701107011</v>
      </c>
      <c r="H62" s="15">
        <f>ForecastData[[#This Row],[Forecast]]*0.5</f>
        <v>242</v>
      </c>
      <c r="I62" s="16">
        <f t="shared" si="5"/>
        <v>12.100000000000001</v>
      </c>
      <c r="J62" s="5">
        <f t="shared" si="4"/>
        <v>0.1070110701107011</v>
      </c>
    </row>
    <row r="63" spans="1:10">
      <c r="A63" s="3">
        <v>45323</v>
      </c>
      <c r="B63" s="4" t="s">
        <v>6</v>
      </c>
      <c r="C63" s="5">
        <v>490</v>
      </c>
      <c r="D63" s="5">
        <v>515</v>
      </c>
      <c r="E63" s="5">
        <f t="shared" si="1"/>
        <v>-25</v>
      </c>
      <c r="F63" s="6">
        <f t="shared" si="2"/>
        <v>25</v>
      </c>
      <c r="G63" s="9">
        <f t="shared" si="3"/>
        <v>4.8543689320388349E-2</v>
      </c>
      <c r="H63" s="15">
        <f>ForecastData[[#This Row],[Forecast]]*0.5</f>
        <v>245</v>
      </c>
      <c r="I63" s="16">
        <f t="shared" si="5"/>
        <v>12.25</v>
      </c>
      <c r="J63" s="5">
        <f t="shared" si="4"/>
        <v>4.8543689320388349E-2</v>
      </c>
    </row>
    <row r="64" spans="1:10">
      <c r="A64" s="3">
        <v>45352</v>
      </c>
      <c r="B64" s="4" t="s">
        <v>6</v>
      </c>
      <c r="C64" s="5">
        <v>592</v>
      </c>
      <c r="D64" s="5">
        <v>552</v>
      </c>
      <c r="E64" s="5">
        <f t="shared" si="1"/>
        <v>40</v>
      </c>
      <c r="F64" s="6">
        <f t="shared" si="2"/>
        <v>40</v>
      </c>
      <c r="G64" s="9">
        <f t="shared" si="3"/>
        <v>7.2463768115942032E-2</v>
      </c>
      <c r="H64" s="15">
        <f>ForecastData[[#This Row],[Forecast]]*0.5</f>
        <v>296</v>
      </c>
      <c r="I64" s="16">
        <f t="shared" si="5"/>
        <v>14.8</v>
      </c>
      <c r="J64" s="5">
        <f t="shared" si="4"/>
        <v>7.2463768115942032E-2</v>
      </c>
    </row>
    <row r="65" spans="1:10">
      <c r="A65" s="3">
        <v>45383</v>
      </c>
      <c r="B65" s="4" t="s">
        <v>6</v>
      </c>
      <c r="C65" s="5">
        <v>601</v>
      </c>
      <c r="D65" s="5">
        <v>566</v>
      </c>
      <c r="E65" s="5">
        <f t="shared" si="1"/>
        <v>35</v>
      </c>
      <c r="F65" s="6">
        <f t="shared" si="2"/>
        <v>35</v>
      </c>
      <c r="G65" s="9">
        <f t="shared" si="3"/>
        <v>6.1837455830388695E-2</v>
      </c>
      <c r="H65" s="15">
        <f>ForecastData[[#This Row],[Forecast]]*0.5</f>
        <v>300.5</v>
      </c>
      <c r="I65" s="16">
        <f t="shared" si="5"/>
        <v>15.025</v>
      </c>
      <c r="J65" s="5">
        <f t="shared" si="4"/>
        <v>6.1837455830388695E-2</v>
      </c>
    </row>
    <row r="66" spans="1:10">
      <c r="A66" s="3">
        <v>45413</v>
      </c>
      <c r="B66" s="4" t="s">
        <v>6</v>
      </c>
      <c r="C66" s="5">
        <v>560</v>
      </c>
      <c r="D66" s="5">
        <v>571</v>
      </c>
      <c r="E66" s="5">
        <f t="shared" si="1"/>
        <v>-11</v>
      </c>
      <c r="F66" s="6">
        <f t="shared" si="2"/>
        <v>11</v>
      </c>
      <c r="G66" s="9">
        <f t="shared" si="3"/>
        <v>1.9264448336252189E-2</v>
      </c>
      <c r="H66" s="15">
        <f>ForecastData[[#This Row],[Forecast]]*0.5</f>
        <v>280</v>
      </c>
      <c r="I66" s="16">
        <f t="shared" ref="I66:I97" si="6">H66 * 0.05</f>
        <v>14</v>
      </c>
      <c r="J66" s="5">
        <f t="shared" si="4"/>
        <v>1.9264448336252189E-2</v>
      </c>
    </row>
    <row r="67" spans="1:10">
      <c r="A67" s="3">
        <v>45444</v>
      </c>
      <c r="B67" s="4" t="s">
        <v>6</v>
      </c>
      <c r="C67" s="5">
        <v>598</v>
      </c>
      <c r="D67" s="5">
        <v>583</v>
      </c>
      <c r="E67" s="5">
        <f t="shared" ref="E67:E73" si="7">C67-D67</f>
        <v>15</v>
      </c>
      <c r="F67" s="6">
        <f t="shared" ref="F67:F73" si="8">ABS(E67)</f>
        <v>15</v>
      </c>
      <c r="G67" s="9">
        <f t="shared" ref="G67:G73" si="9">F67/D67</f>
        <v>2.5728987993138937E-2</v>
      </c>
      <c r="H67" s="15">
        <f>ForecastData[[#This Row],[Forecast]]*0.5</f>
        <v>299</v>
      </c>
      <c r="I67" s="16">
        <f t="shared" si="6"/>
        <v>14.950000000000001</v>
      </c>
      <c r="J67" s="5">
        <f t="shared" ref="J67:J73" si="10">F67/D67</f>
        <v>2.5728987993138937E-2</v>
      </c>
    </row>
    <row r="68" spans="1:10">
      <c r="A68" s="3">
        <v>45474</v>
      </c>
      <c r="B68" s="4" t="s">
        <v>6</v>
      </c>
      <c r="C68" s="5">
        <v>632</v>
      </c>
      <c r="D68" s="5">
        <v>549</v>
      </c>
      <c r="E68" s="5">
        <f t="shared" si="7"/>
        <v>83</v>
      </c>
      <c r="F68" s="6">
        <f t="shared" si="8"/>
        <v>83</v>
      </c>
      <c r="G68" s="9">
        <f t="shared" si="9"/>
        <v>0.151183970856102</v>
      </c>
      <c r="H68" s="15">
        <f>ForecastData[[#This Row],[Forecast]]*0.5</f>
        <v>316</v>
      </c>
      <c r="I68" s="16">
        <f t="shared" si="6"/>
        <v>15.8</v>
      </c>
      <c r="J68" s="5">
        <f t="shared" si="10"/>
        <v>0.151183970856102</v>
      </c>
    </row>
    <row r="69" spans="1:10">
      <c r="A69" s="3">
        <v>45505</v>
      </c>
      <c r="B69" s="4" t="s">
        <v>6</v>
      </c>
      <c r="C69" s="5">
        <v>529</v>
      </c>
      <c r="D69" s="5">
        <v>529</v>
      </c>
      <c r="E69" s="5">
        <f t="shared" si="7"/>
        <v>0</v>
      </c>
      <c r="F69" s="6">
        <f t="shared" si="8"/>
        <v>0</v>
      </c>
      <c r="G69" s="9">
        <f t="shared" si="9"/>
        <v>0</v>
      </c>
      <c r="H69" s="15">
        <f>ForecastData[[#This Row],[Forecast]]*0.5</f>
        <v>264.5</v>
      </c>
      <c r="I69" s="16">
        <f t="shared" si="6"/>
        <v>13.225000000000001</v>
      </c>
      <c r="J69" s="5">
        <f t="shared" si="10"/>
        <v>0</v>
      </c>
    </row>
    <row r="70" spans="1:10">
      <c r="A70" s="3">
        <v>45536</v>
      </c>
      <c r="B70" s="4" t="s">
        <v>6</v>
      </c>
      <c r="C70" s="5">
        <v>525</v>
      </c>
      <c r="D70" s="5">
        <v>525</v>
      </c>
      <c r="E70" s="5">
        <f t="shared" si="7"/>
        <v>0</v>
      </c>
      <c r="F70" s="6">
        <f t="shared" si="8"/>
        <v>0</v>
      </c>
      <c r="G70" s="9">
        <f t="shared" si="9"/>
        <v>0</v>
      </c>
      <c r="H70" s="15">
        <f>ForecastData[[#This Row],[Forecast]]*0.5</f>
        <v>262.5</v>
      </c>
      <c r="I70" s="16">
        <f t="shared" si="6"/>
        <v>13.125</v>
      </c>
      <c r="J70" s="5">
        <f t="shared" si="10"/>
        <v>0</v>
      </c>
    </row>
    <row r="71" spans="1:10">
      <c r="A71" s="3">
        <v>45566</v>
      </c>
      <c r="B71" s="4" t="s">
        <v>6</v>
      </c>
      <c r="C71" s="5">
        <v>540</v>
      </c>
      <c r="D71" s="5">
        <v>535</v>
      </c>
      <c r="E71" s="5">
        <f t="shared" si="7"/>
        <v>5</v>
      </c>
      <c r="F71" s="6">
        <f t="shared" si="8"/>
        <v>5</v>
      </c>
      <c r="G71" s="9">
        <f t="shared" si="9"/>
        <v>9.3457943925233638E-3</v>
      </c>
      <c r="H71" s="15">
        <f>ForecastData[[#This Row],[Forecast]]*0.5</f>
        <v>270</v>
      </c>
      <c r="I71" s="16">
        <f t="shared" si="6"/>
        <v>13.5</v>
      </c>
      <c r="J71" s="5">
        <f t="shared" si="10"/>
        <v>9.3457943925233638E-3</v>
      </c>
    </row>
    <row r="72" spans="1:10">
      <c r="A72" s="3">
        <v>45597</v>
      </c>
      <c r="B72" s="4" t="s">
        <v>6</v>
      </c>
      <c r="C72" s="5">
        <v>531</v>
      </c>
      <c r="D72" s="5">
        <v>513</v>
      </c>
      <c r="E72" s="5">
        <f t="shared" si="7"/>
        <v>18</v>
      </c>
      <c r="F72" s="6">
        <f t="shared" si="8"/>
        <v>18</v>
      </c>
      <c r="G72" s="9">
        <f t="shared" si="9"/>
        <v>3.5087719298245612E-2</v>
      </c>
      <c r="H72" s="15">
        <f>ForecastData[[#This Row],[Forecast]]*0.5</f>
        <v>265.5</v>
      </c>
      <c r="I72" s="16">
        <f t="shared" si="6"/>
        <v>13.275</v>
      </c>
      <c r="J72" s="5">
        <f t="shared" si="10"/>
        <v>3.5087719298245612E-2</v>
      </c>
    </row>
    <row r="73" spans="1:10">
      <c r="A73" s="3">
        <v>45627</v>
      </c>
      <c r="B73" s="4" t="s">
        <v>6</v>
      </c>
      <c r="C73" s="5">
        <v>528</v>
      </c>
      <c r="D73" s="5">
        <v>538</v>
      </c>
      <c r="E73" s="5">
        <f t="shared" si="7"/>
        <v>-10</v>
      </c>
      <c r="F73" s="6">
        <f t="shared" si="8"/>
        <v>10</v>
      </c>
      <c r="G73" s="9">
        <f t="shared" si="9"/>
        <v>1.858736059479554E-2</v>
      </c>
      <c r="H73" s="15">
        <f>ForecastData[[#This Row],[Forecast]]*0.5</f>
        <v>264</v>
      </c>
      <c r="I73" s="16">
        <f t="shared" si="6"/>
        <v>13.200000000000001</v>
      </c>
      <c r="J73" s="5">
        <f t="shared" si="10"/>
        <v>1.858736059479554E-2</v>
      </c>
    </row>
  </sheetData>
  <phoneticPr fontId="20" type="noConversion"/>
  <pageMargins left="0.75" right="0.75" top="1" bottom="1" header="0.5" footer="0.5"/>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9108E-7C64-0441-9083-803C594BA0B5}">
  <dimension ref="A1:G73"/>
  <sheetViews>
    <sheetView topLeftCell="A2" workbookViewId="0">
      <selection activeCell="H2" sqref="H1:H1048576"/>
    </sheetView>
  </sheetViews>
  <sheetFormatPr baseColWidth="10" defaultRowHeight="16"/>
  <cols>
    <col min="1" max="1" width="11.5" style="6" customWidth="1"/>
    <col min="2" max="2" width="10" style="6" customWidth="1"/>
    <col min="3" max="3" width="13.6640625" style="6" customWidth="1"/>
    <col min="4" max="4" width="11.83203125" style="6" customWidth="1"/>
    <col min="5" max="5" width="9.83203125" style="6" customWidth="1"/>
    <col min="6" max="6" width="12.1640625" style="6" customWidth="1"/>
    <col min="7" max="7" width="17.33203125" style="6" customWidth="1"/>
  </cols>
  <sheetData>
    <row r="1" spans="1:7">
      <c r="A1" s="6" t="s">
        <v>0</v>
      </c>
      <c r="B1" s="6" t="s">
        <v>1</v>
      </c>
      <c r="C1" s="6" t="s">
        <v>2</v>
      </c>
      <c r="D1" s="6" t="s">
        <v>3</v>
      </c>
      <c r="E1" s="6" t="s">
        <v>7</v>
      </c>
      <c r="F1" s="6" t="s">
        <v>9</v>
      </c>
      <c r="G1" s="6" t="s">
        <v>39</v>
      </c>
    </row>
    <row r="2" spans="1:7">
      <c r="A2" s="3">
        <v>44927</v>
      </c>
      <c r="B2" s="22" t="s">
        <v>4</v>
      </c>
      <c r="C2" s="6">
        <v>540</v>
      </c>
      <c r="D2" s="6">
        <v>541</v>
      </c>
      <c r="E2" s="6">
        <v>-1</v>
      </c>
      <c r="F2" s="6">
        <v>1.8E-3</v>
      </c>
      <c r="G2" s="6" t="str">
        <f>IF(YEAR(A2)=2023, "Before Shock", "After Shock")</f>
        <v>Before Shock</v>
      </c>
    </row>
    <row r="3" spans="1:7">
      <c r="A3" s="3">
        <v>44958</v>
      </c>
      <c r="B3" s="22" t="s">
        <v>4</v>
      </c>
      <c r="C3" s="6">
        <v>549</v>
      </c>
      <c r="D3" s="6">
        <v>537</v>
      </c>
      <c r="E3" s="6">
        <v>12</v>
      </c>
      <c r="F3" s="6">
        <v>2.23E-2</v>
      </c>
      <c r="G3" s="6" t="str">
        <f t="shared" ref="G3:G66" si="0">IF(YEAR(A3)=2023, "Before Shock", "After Shock")</f>
        <v>Before Shock</v>
      </c>
    </row>
    <row r="4" spans="1:7">
      <c r="A4" s="3">
        <v>44986</v>
      </c>
      <c r="B4" s="22" t="s">
        <v>4</v>
      </c>
      <c r="C4" s="6">
        <v>450</v>
      </c>
      <c r="D4" s="6">
        <v>481</v>
      </c>
      <c r="E4" s="6">
        <v>-31</v>
      </c>
      <c r="F4" s="6">
        <v>6.4399999999999999E-2</v>
      </c>
      <c r="G4" s="6" t="str">
        <f t="shared" si="0"/>
        <v>Before Shock</v>
      </c>
    </row>
    <row r="5" spans="1:7">
      <c r="A5" s="3">
        <v>45017</v>
      </c>
      <c r="B5" s="22" t="s">
        <v>4</v>
      </c>
      <c r="C5" s="6">
        <v>571</v>
      </c>
      <c r="D5" s="6">
        <v>523</v>
      </c>
      <c r="E5" s="6">
        <v>48</v>
      </c>
      <c r="F5" s="6">
        <v>9.1800000000000007E-2</v>
      </c>
      <c r="G5" s="6" t="str">
        <f t="shared" si="0"/>
        <v>Before Shock</v>
      </c>
    </row>
    <row r="6" spans="1:7">
      <c r="A6" s="3">
        <v>45047</v>
      </c>
      <c r="B6" s="22" t="s">
        <v>4</v>
      </c>
      <c r="C6" s="6">
        <v>558</v>
      </c>
      <c r="D6" s="6">
        <v>519</v>
      </c>
      <c r="E6" s="6">
        <v>39</v>
      </c>
      <c r="F6" s="6">
        <v>7.51E-2</v>
      </c>
      <c r="G6" s="6" t="str">
        <f t="shared" si="0"/>
        <v>Before Shock</v>
      </c>
    </row>
    <row r="7" spans="1:7">
      <c r="A7" s="3">
        <v>45078</v>
      </c>
      <c r="B7" s="22" t="s">
        <v>4</v>
      </c>
      <c r="C7" s="6">
        <v>521</v>
      </c>
      <c r="D7" s="6">
        <v>495</v>
      </c>
      <c r="E7" s="6">
        <v>26</v>
      </c>
      <c r="F7" s="6">
        <v>5.2499999999999998E-2</v>
      </c>
      <c r="G7" s="6" t="str">
        <f t="shared" si="0"/>
        <v>Before Shock</v>
      </c>
    </row>
    <row r="8" spans="1:7">
      <c r="A8" s="3">
        <v>45108</v>
      </c>
      <c r="B8" s="22" t="s">
        <v>4</v>
      </c>
      <c r="C8" s="6">
        <v>493</v>
      </c>
      <c r="D8" s="6">
        <v>499</v>
      </c>
      <c r="E8" s="6">
        <v>-6</v>
      </c>
      <c r="F8" s="6">
        <v>1.2E-2</v>
      </c>
      <c r="G8" s="6" t="str">
        <f t="shared" si="0"/>
        <v>Before Shock</v>
      </c>
    </row>
    <row r="9" spans="1:7">
      <c r="A9" s="3">
        <v>45139</v>
      </c>
      <c r="B9" s="22" t="s">
        <v>4</v>
      </c>
      <c r="C9" s="6">
        <v>513</v>
      </c>
      <c r="D9" s="6">
        <v>501</v>
      </c>
      <c r="E9" s="6">
        <v>12</v>
      </c>
      <c r="F9" s="6">
        <v>2.4E-2</v>
      </c>
      <c r="G9" s="6" t="str">
        <f t="shared" si="0"/>
        <v>Before Shock</v>
      </c>
    </row>
    <row r="10" spans="1:7">
      <c r="A10" s="3">
        <v>45170</v>
      </c>
      <c r="B10" s="22" t="s">
        <v>4</v>
      </c>
      <c r="C10" s="6">
        <v>565</v>
      </c>
      <c r="D10" s="6">
        <v>517</v>
      </c>
      <c r="E10" s="6">
        <v>48</v>
      </c>
      <c r="F10" s="6">
        <v>9.2799999999999994E-2</v>
      </c>
      <c r="G10" s="6" t="str">
        <f t="shared" si="0"/>
        <v>Before Shock</v>
      </c>
    </row>
    <row r="11" spans="1:7">
      <c r="A11" s="3">
        <v>45200</v>
      </c>
      <c r="B11" s="22" t="s">
        <v>4</v>
      </c>
      <c r="C11" s="6">
        <v>474</v>
      </c>
      <c r="D11" s="6">
        <v>503</v>
      </c>
      <c r="E11" s="6">
        <v>-29</v>
      </c>
      <c r="F11" s="6">
        <v>5.7700000000000001E-2</v>
      </c>
      <c r="G11" s="6" t="str">
        <f t="shared" si="0"/>
        <v>Before Shock</v>
      </c>
    </row>
    <row r="12" spans="1:7">
      <c r="A12" s="3">
        <v>45231</v>
      </c>
      <c r="B12" s="22" t="s">
        <v>4</v>
      </c>
      <c r="C12" s="6">
        <v>594</v>
      </c>
      <c r="D12" s="6">
        <v>501</v>
      </c>
      <c r="E12" s="6">
        <v>93</v>
      </c>
      <c r="F12" s="6">
        <v>0.18559999999999999</v>
      </c>
      <c r="G12" s="6" t="str">
        <f t="shared" si="0"/>
        <v>Before Shock</v>
      </c>
    </row>
    <row r="13" spans="1:7">
      <c r="A13" s="3">
        <v>45261</v>
      </c>
      <c r="B13" s="22" t="s">
        <v>4</v>
      </c>
      <c r="C13" s="6">
        <v>473</v>
      </c>
      <c r="D13" s="6">
        <v>516</v>
      </c>
      <c r="E13" s="6">
        <v>-43</v>
      </c>
      <c r="F13" s="6">
        <v>8.3299999999999999E-2</v>
      </c>
      <c r="G13" s="6" t="str">
        <f t="shared" si="0"/>
        <v>Before Shock</v>
      </c>
    </row>
    <row r="14" spans="1:7">
      <c r="A14" s="3">
        <v>45292</v>
      </c>
      <c r="B14" s="22" t="s">
        <v>4</v>
      </c>
      <c r="C14" s="6">
        <v>351</v>
      </c>
      <c r="D14" s="6">
        <v>343</v>
      </c>
      <c r="E14" s="6">
        <v>8</v>
      </c>
      <c r="F14" s="6">
        <v>2.3300000000000001E-2</v>
      </c>
      <c r="G14" s="6" t="str">
        <f t="shared" si="0"/>
        <v>After Shock</v>
      </c>
    </row>
    <row r="15" spans="1:7">
      <c r="A15" s="3">
        <v>45323</v>
      </c>
      <c r="B15" s="22" t="s">
        <v>4</v>
      </c>
      <c r="C15" s="6">
        <v>693</v>
      </c>
      <c r="D15" s="6">
        <v>696</v>
      </c>
      <c r="E15" s="6">
        <v>-3</v>
      </c>
      <c r="F15" s="6">
        <v>4.3E-3</v>
      </c>
      <c r="G15" s="6" t="str">
        <f t="shared" si="0"/>
        <v>After Shock</v>
      </c>
    </row>
    <row r="16" spans="1:7">
      <c r="A16" s="3">
        <v>45352</v>
      </c>
      <c r="B16" s="22" t="s">
        <v>4</v>
      </c>
      <c r="C16" s="6">
        <v>351</v>
      </c>
      <c r="D16" s="6">
        <v>329</v>
      </c>
      <c r="E16" s="6">
        <v>22</v>
      </c>
      <c r="F16" s="6">
        <v>6.6900000000000001E-2</v>
      </c>
      <c r="G16" s="6" t="str">
        <f t="shared" si="0"/>
        <v>After Shock</v>
      </c>
    </row>
    <row r="17" spans="1:7">
      <c r="A17" s="3">
        <v>45383</v>
      </c>
      <c r="B17" s="22" t="s">
        <v>4</v>
      </c>
      <c r="C17" s="6">
        <v>339</v>
      </c>
      <c r="D17" s="6">
        <v>362</v>
      </c>
      <c r="E17" s="6">
        <v>-23</v>
      </c>
      <c r="F17" s="6">
        <v>6.3500000000000001E-2</v>
      </c>
      <c r="G17" s="6" t="str">
        <f t="shared" si="0"/>
        <v>After Shock</v>
      </c>
    </row>
    <row r="18" spans="1:7">
      <c r="A18" s="3">
        <v>45413</v>
      </c>
      <c r="B18" s="22" t="s">
        <v>4</v>
      </c>
      <c r="C18" s="6">
        <v>357</v>
      </c>
      <c r="D18" s="6">
        <v>376</v>
      </c>
      <c r="E18" s="6">
        <v>-19</v>
      </c>
      <c r="F18" s="6">
        <v>5.0500000000000003E-2</v>
      </c>
      <c r="G18" s="6" t="str">
        <f t="shared" si="0"/>
        <v>After Shock</v>
      </c>
    </row>
    <row r="19" spans="1:7">
      <c r="A19" s="3">
        <v>45444</v>
      </c>
      <c r="B19" s="22" t="s">
        <v>4</v>
      </c>
      <c r="C19" s="6">
        <v>651</v>
      </c>
      <c r="D19" s="6">
        <v>665</v>
      </c>
      <c r="E19" s="6">
        <v>-14</v>
      </c>
      <c r="F19" s="6">
        <v>2.1100000000000001E-2</v>
      </c>
      <c r="G19" s="6" t="str">
        <f t="shared" si="0"/>
        <v>After Shock</v>
      </c>
    </row>
    <row r="20" spans="1:7">
      <c r="A20" s="3">
        <v>45474</v>
      </c>
      <c r="B20" s="22" t="s">
        <v>4</v>
      </c>
      <c r="C20" s="6">
        <v>507</v>
      </c>
      <c r="D20" s="6">
        <v>542</v>
      </c>
      <c r="E20" s="6">
        <v>-35</v>
      </c>
      <c r="F20" s="6">
        <v>6.4600000000000005E-2</v>
      </c>
      <c r="G20" s="6" t="str">
        <f t="shared" si="0"/>
        <v>After Shock</v>
      </c>
    </row>
    <row r="21" spans="1:7">
      <c r="A21" s="3">
        <v>45505</v>
      </c>
      <c r="B21" s="22" t="s">
        <v>4</v>
      </c>
      <c r="C21" s="6">
        <v>543</v>
      </c>
      <c r="D21" s="6">
        <v>539</v>
      </c>
      <c r="E21" s="6">
        <v>4</v>
      </c>
      <c r="F21" s="6">
        <v>7.4000000000000003E-3</v>
      </c>
      <c r="G21" s="6" t="str">
        <f t="shared" si="0"/>
        <v>After Shock</v>
      </c>
    </row>
    <row r="22" spans="1:7">
      <c r="A22" s="3">
        <v>45536</v>
      </c>
      <c r="B22" s="22" t="s">
        <v>4</v>
      </c>
      <c r="C22" s="6">
        <v>604</v>
      </c>
      <c r="D22" s="6">
        <v>568</v>
      </c>
      <c r="E22" s="6">
        <v>36</v>
      </c>
      <c r="F22" s="6">
        <v>6.3399999999999998E-2</v>
      </c>
      <c r="G22" s="6" t="str">
        <f t="shared" si="0"/>
        <v>After Shock</v>
      </c>
    </row>
    <row r="23" spans="1:7">
      <c r="A23" s="3">
        <v>45566</v>
      </c>
      <c r="B23" s="22" t="s">
        <v>4</v>
      </c>
      <c r="C23" s="6">
        <v>575</v>
      </c>
      <c r="D23" s="6">
        <v>516</v>
      </c>
      <c r="E23" s="6">
        <v>59</v>
      </c>
      <c r="F23" s="6">
        <v>0.1143</v>
      </c>
      <c r="G23" s="6" t="str">
        <f t="shared" si="0"/>
        <v>After Shock</v>
      </c>
    </row>
    <row r="24" spans="1:7">
      <c r="A24" s="3">
        <v>45597</v>
      </c>
      <c r="B24" s="22" t="s">
        <v>4</v>
      </c>
      <c r="C24" s="6">
        <v>575</v>
      </c>
      <c r="D24" s="6">
        <v>535</v>
      </c>
      <c r="E24" s="6">
        <v>40</v>
      </c>
      <c r="F24" s="6">
        <v>7.4800000000000005E-2</v>
      </c>
      <c r="G24" s="6" t="str">
        <f t="shared" si="0"/>
        <v>After Shock</v>
      </c>
    </row>
    <row r="25" spans="1:7">
      <c r="A25" s="3">
        <v>45627</v>
      </c>
      <c r="B25" s="22" t="s">
        <v>4</v>
      </c>
      <c r="C25" s="6">
        <v>425</v>
      </c>
      <c r="D25" s="6">
        <v>469</v>
      </c>
      <c r="E25" s="6">
        <v>-44</v>
      </c>
      <c r="F25" s="6">
        <v>9.3799999999999994E-2</v>
      </c>
      <c r="G25" s="6" t="str">
        <f t="shared" si="0"/>
        <v>After Shock</v>
      </c>
    </row>
    <row r="26" spans="1:7">
      <c r="A26" s="3">
        <v>44927</v>
      </c>
      <c r="B26" s="22" t="s">
        <v>5</v>
      </c>
      <c r="C26" s="6">
        <v>557</v>
      </c>
      <c r="D26" s="6">
        <v>518</v>
      </c>
      <c r="E26" s="6">
        <v>39</v>
      </c>
      <c r="F26" s="6">
        <v>7.5300000000000006E-2</v>
      </c>
      <c r="G26" s="6" t="str">
        <f t="shared" si="0"/>
        <v>Before Shock</v>
      </c>
    </row>
    <row r="27" spans="1:7">
      <c r="A27" s="3">
        <v>44958</v>
      </c>
      <c r="B27" s="22" t="s">
        <v>5</v>
      </c>
      <c r="C27" s="6">
        <v>601</v>
      </c>
      <c r="D27" s="6">
        <v>574</v>
      </c>
      <c r="E27" s="6">
        <v>27</v>
      </c>
      <c r="F27" s="6">
        <v>4.7E-2</v>
      </c>
      <c r="G27" s="6" t="str">
        <f t="shared" si="0"/>
        <v>Before Shock</v>
      </c>
    </row>
    <row r="28" spans="1:7">
      <c r="A28" s="3">
        <v>44986</v>
      </c>
      <c r="B28" s="22" t="s">
        <v>5</v>
      </c>
      <c r="C28" s="6">
        <v>522</v>
      </c>
      <c r="D28" s="6">
        <v>584</v>
      </c>
      <c r="E28" s="6">
        <v>-62</v>
      </c>
      <c r="F28" s="6">
        <v>0.1062</v>
      </c>
      <c r="G28" s="6" t="str">
        <f t="shared" si="0"/>
        <v>Before Shock</v>
      </c>
    </row>
    <row r="29" spans="1:7">
      <c r="A29" s="3">
        <v>45017</v>
      </c>
      <c r="B29" s="22" t="s">
        <v>5</v>
      </c>
      <c r="C29" s="6">
        <v>546</v>
      </c>
      <c r="D29" s="6">
        <v>553</v>
      </c>
      <c r="E29" s="6">
        <v>-7</v>
      </c>
      <c r="F29" s="6">
        <v>1.2699999999999999E-2</v>
      </c>
      <c r="G29" s="6" t="str">
        <f t="shared" si="0"/>
        <v>Before Shock</v>
      </c>
    </row>
    <row r="30" spans="1:7">
      <c r="A30" s="3">
        <v>45047</v>
      </c>
      <c r="B30" s="22" t="s">
        <v>5</v>
      </c>
      <c r="C30" s="6">
        <v>617</v>
      </c>
      <c r="D30" s="6">
        <v>587</v>
      </c>
      <c r="E30" s="6">
        <v>30</v>
      </c>
      <c r="F30" s="6">
        <v>5.11E-2</v>
      </c>
      <c r="G30" s="6" t="str">
        <f t="shared" si="0"/>
        <v>Before Shock</v>
      </c>
    </row>
    <row r="31" spans="1:7">
      <c r="A31" s="3">
        <v>45078</v>
      </c>
      <c r="B31" s="22" t="s">
        <v>5</v>
      </c>
      <c r="C31" s="6">
        <v>537</v>
      </c>
      <c r="D31" s="6">
        <v>546</v>
      </c>
      <c r="E31" s="6">
        <v>-9</v>
      </c>
      <c r="F31" s="6">
        <v>1.6500000000000001E-2</v>
      </c>
      <c r="G31" s="6" t="str">
        <f t="shared" si="0"/>
        <v>Before Shock</v>
      </c>
    </row>
    <row r="32" spans="1:7">
      <c r="A32" s="3">
        <v>45108</v>
      </c>
      <c r="B32" s="22" t="s">
        <v>5</v>
      </c>
      <c r="C32" s="6">
        <v>592</v>
      </c>
      <c r="D32" s="6">
        <v>560</v>
      </c>
      <c r="E32" s="6">
        <v>32</v>
      </c>
      <c r="F32" s="6">
        <v>5.7099999999999998E-2</v>
      </c>
      <c r="G32" s="6" t="str">
        <f t="shared" si="0"/>
        <v>Before Shock</v>
      </c>
    </row>
    <row r="33" spans="1:7">
      <c r="A33" s="3">
        <v>45139</v>
      </c>
      <c r="B33" s="22" t="s">
        <v>5</v>
      </c>
      <c r="C33" s="6">
        <v>594</v>
      </c>
      <c r="D33" s="6">
        <v>594</v>
      </c>
      <c r="E33" s="6">
        <v>0</v>
      </c>
      <c r="F33" s="6">
        <v>0</v>
      </c>
      <c r="G33" s="6" t="str">
        <f t="shared" si="0"/>
        <v>Before Shock</v>
      </c>
    </row>
    <row r="34" spans="1:7">
      <c r="A34" s="3">
        <v>45170</v>
      </c>
      <c r="B34" s="22" t="s">
        <v>5</v>
      </c>
      <c r="C34" s="6">
        <v>634</v>
      </c>
      <c r="D34" s="6">
        <v>559</v>
      </c>
      <c r="E34" s="6">
        <v>75</v>
      </c>
      <c r="F34" s="6">
        <v>0.13420000000000001</v>
      </c>
      <c r="G34" s="6" t="str">
        <f t="shared" si="0"/>
        <v>Before Shock</v>
      </c>
    </row>
    <row r="35" spans="1:7">
      <c r="A35" s="3">
        <v>45200</v>
      </c>
      <c r="B35" s="22" t="s">
        <v>5</v>
      </c>
      <c r="C35" s="6">
        <v>523</v>
      </c>
      <c r="D35" s="6">
        <v>528</v>
      </c>
      <c r="E35" s="6">
        <v>-5</v>
      </c>
      <c r="F35" s="6">
        <v>9.4999999999999998E-3</v>
      </c>
      <c r="G35" s="6" t="str">
        <f t="shared" si="0"/>
        <v>Before Shock</v>
      </c>
    </row>
    <row r="36" spans="1:7">
      <c r="A36" s="3">
        <v>45231</v>
      </c>
      <c r="B36" s="22" t="s">
        <v>5</v>
      </c>
      <c r="C36" s="6">
        <v>508</v>
      </c>
      <c r="D36" s="6">
        <v>533</v>
      </c>
      <c r="E36" s="6">
        <v>-25</v>
      </c>
      <c r="F36" s="6">
        <v>4.6899999999999997E-2</v>
      </c>
      <c r="G36" s="6" t="str">
        <f t="shared" si="0"/>
        <v>Before Shock</v>
      </c>
    </row>
    <row r="37" spans="1:7">
      <c r="A37" s="3">
        <v>45261</v>
      </c>
      <c r="B37" s="22" t="s">
        <v>5</v>
      </c>
      <c r="C37" s="6">
        <v>564</v>
      </c>
      <c r="D37" s="6">
        <v>562</v>
      </c>
      <c r="E37" s="6">
        <v>2</v>
      </c>
      <c r="F37" s="6">
        <v>3.5999999999999999E-3</v>
      </c>
      <c r="G37" s="6" t="str">
        <f t="shared" si="0"/>
        <v>Before Shock</v>
      </c>
    </row>
    <row r="38" spans="1:7">
      <c r="A38" s="3">
        <v>45292</v>
      </c>
      <c r="B38" s="22" t="s">
        <v>5</v>
      </c>
      <c r="C38" s="6">
        <v>723</v>
      </c>
      <c r="D38" s="6">
        <v>743</v>
      </c>
      <c r="E38" s="6">
        <v>-20</v>
      </c>
      <c r="F38" s="6">
        <v>2.69E-2</v>
      </c>
      <c r="G38" s="6" t="str">
        <f t="shared" si="0"/>
        <v>After Shock</v>
      </c>
    </row>
    <row r="39" spans="1:7">
      <c r="A39" s="3">
        <v>45323</v>
      </c>
      <c r="B39" s="22" t="s">
        <v>5</v>
      </c>
      <c r="C39" s="6">
        <v>406</v>
      </c>
      <c r="D39" s="6">
        <v>415</v>
      </c>
      <c r="E39" s="6">
        <v>-9</v>
      </c>
      <c r="F39" s="6">
        <v>2.1700000000000001E-2</v>
      </c>
      <c r="G39" s="6" t="str">
        <f t="shared" si="0"/>
        <v>After Shock</v>
      </c>
    </row>
    <row r="40" spans="1:7">
      <c r="A40" s="3">
        <v>45352</v>
      </c>
      <c r="B40" s="22" t="s">
        <v>5</v>
      </c>
      <c r="C40" s="6">
        <v>736</v>
      </c>
      <c r="D40" s="6">
        <v>754</v>
      </c>
      <c r="E40" s="6">
        <v>-18</v>
      </c>
      <c r="F40" s="6">
        <v>2.3900000000000001E-2</v>
      </c>
      <c r="G40" s="6" t="str">
        <f t="shared" si="0"/>
        <v>After Shock</v>
      </c>
    </row>
    <row r="41" spans="1:7">
      <c r="A41" s="3">
        <v>45383</v>
      </c>
      <c r="B41" s="22" t="s">
        <v>5</v>
      </c>
      <c r="C41" s="6">
        <v>694</v>
      </c>
      <c r="D41" s="6">
        <v>725</v>
      </c>
      <c r="E41" s="6">
        <v>-31</v>
      </c>
      <c r="F41" s="6">
        <v>4.2799999999999998E-2</v>
      </c>
      <c r="G41" s="6" t="str">
        <f t="shared" si="0"/>
        <v>After Shock</v>
      </c>
    </row>
    <row r="42" spans="1:7">
      <c r="A42" s="3">
        <v>45413</v>
      </c>
      <c r="B42" s="22" t="s">
        <v>5</v>
      </c>
      <c r="C42" s="6">
        <v>410</v>
      </c>
      <c r="D42" s="6">
        <v>379</v>
      </c>
      <c r="E42" s="6">
        <v>31</v>
      </c>
      <c r="F42" s="6">
        <v>8.1799999999999998E-2</v>
      </c>
      <c r="G42" s="6" t="str">
        <f t="shared" si="0"/>
        <v>After Shock</v>
      </c>
    </row>
    <row r="43" spans="1:7">
      <c r="A43" s="3">
        <v>45444</v>
      </c>
      <c r="B43" s="22" t="s">
        <v>5</v>
      </c>
      <c r="C43" s="6">
        <v>401</v>
      </c>
      <c r="D43" s="6">
        <v>401</v>
      </c>
      <c r="E43" s="6">
        <v>0</v>
      </c>
      <c r="F43" s="6">
        <v>0</v>
      </c>
      <c r="G43" s="6" t="str">
        <f t="shared" si="0"/>
        <v>After Shock</v>
      </c>
    </row>
    <row r="44" spans="1:7">
      <c r="A44" s="3">
        <v>45474</v>
      </c>
      <c r="B44" s="22" t="s">
        <v>5</v>
      </c>
      <c r="C44" s="6">
        <v>621</v>
      </c>
      <c r="D44" s="6">
        <v>615</v>
      </c>
      <c r="E44" s="6">
        <v>6</v>
      </c>
      <c r="F44" s="6">
        <v>9.7999999999999997E-3</v>
      </c>
      <c r="G44" s="6" t="str">
        <f t="shared" si="0"/>
        <v>After Shock</v>
      </c>
    </row>
    <row r="45" spans="1:7">
      <c r="A45" s="3">
        <v>45505</v>
      </c>
      <c r="B45" s="22" t="s">
        <v>5</v>
      </c>
      <c r="C45" s="6">
        <v>515</v>
      </c>
      <c r="D45" s="6">
        <v>565</v>
      </c>
      <c r="E45" s="6">
        <v>-50</v>
      </c>
      <c r="F45" s="6">
        <v>8.8499999999999995E-2</v>
      </c>
      <c r="G45" s="6" t="str">
        <f t="shared" si="0"/>
        <v>After Shock</v>
      </c>
    </row>
    <row r="46" spans="1:7">
      <c r="A46" s="3">
        <v>45536</v>
      </c>
      <c r="B46" s="22" t="s">
        <v>5</v>
      </c>
      <c r="C46" s="6">
        <v>594</v>
      </c>
      <c r="D46" s="6">
        <v>554</v>
      </c>
      <c r="E46" s="6">
        <v>40</v>
      </c>
      <c r="F46" s="6">
        <v>7.22E-2</v>
      </c>
      <c r="G46" s="6" t="str">
        <f t="shared" si="0"/>
        <v>After Shock</v>
      </c>
    </row>
    <row r="47" spans="1:7">
      <c r="A47" s="3">
        <v>45566</v>
      </c>
      <c r="B47" s="22" t="s">
        <v>5</v>
      </c>
      <c r="C47" s="6">
        <v>508</v>
      </c>
      <c r="D47" s="6">
        <v>566</v>
      </c>
      <c r="E47" s="6">
        <v>-58</v>
      </c>
      <c r="F47" s="6">
        <v>0.10249999999999999</v>
      </c>
      <c r="G47" s="6" t="str">
        <f t="shared" si="0"/>
        <v>After Shock</v>
      </c>
    </row>
    <row r="48" spans="1:7">
      <c r="A48" s="3">
        <v>45597</v>
      </c>
      <c r="B48" s="22" t="s">
        <v>5</v>
      </c>
      <c r="C48" s="6">
        <v>527</v>
      </c>
      <c r="D48" s="6">
        <v>533</v>
      </c>
      <c r="E48" s="6">
        <v>-6</v>
      </c>
      <c r="F48" s="6">
        <v>1.1299999999999999E-2</v>
      </c>
      <c r="G48" s="6" t="str">
        <f t="shared" si="0"/>
        <v>After Shock</v>
      </c>
    </row>
    <row r="49" spans="1:7">
      <c r="A49" s="3">
        <v>45627</v>
      </c>
      <c r="B49" s="22" t="s">
        <v>5</v>
      </c>
      <c r="C49" s="6">
        <v>539</v>
      </c>
      <c r="D49" s="6">
        <v>538</v>
      </c>
      <c r="E49" s="6">
        <v>1</v>
      </c>
      <c r="F49" s="6">
        <v>1.9E-3</v>
      </c>
      <c r="G49" s="6" t="str">
        <f t="shared" si="0"/>
        <v>After Shock</v>
      </c>
    </row>
    <row r="50" spans="1:7">
      <c r="A50" s="3">
        <v>44927</v>
      </c>
      <c r="B50" s="22" t="s">
        <v>6</v>
      </c>
      <c r="C50" s="6">
        <v>531</v>
      </c>
      <c r="D50" s="6">
        <v>546</v>
      </c>
      <c r="E50" s="6">
        <v>-15</v>
      </c>
      <c r="F50" s="6">
        <v>2.75E-2</v>
      </c>
      <c r="G50" s="6" t="str">
        <f t="shared" si="0"/>
        <v>Before Shock</v>
      </c>
    </row>
    <row r="51" spans="1:7">
      <c r="A51" s="3">
        <v>44958</v>
      </c>
      <c r="B51" s="22" t="s">
        <v>6</v>
      </c>
      <c r="C51" s="6">
        <v>626</v>
      </c>
      <c r="D51" s="6">
        <v>604</v>
      </c>
      <c r="E51" s="6">
        <v>22</v>
      </c>
      <c r="F51" s="6">
        <v>3.6400000000000002E-2</v>
      </c>
      <c r="G51" s="6" t="str">
        <f t="shared" si="0"/>
        <v>Before Shock</v>
      </c>
    </row>
    <row r="52" spans="1:7">
      <c r="A52" s="3">
        <v>44986</v>
      </c>
      <c r="B52" s="22" t="s">
        <v>6</v>
      </c>
      <c r="C52" s="6">
        <v>517</v>
      </c>
      <c r="D52" s="6">
        <v>558</v>
      </c>
      <c r="E52" s="6">
        <v>-41</v>
      </c>
      <c r="F52" s="6">
        <v>7.3499999999999996E-2</v>
      </c>
      <c r="G52" s="6" t="str">
        <f t="shared" si="0"/>
        <v>Before Shock</v>
      </c>
    </row>
    <row r="53" spans="1:7">
      <c r="A53" s="3">
        <v>45017</v>
      </c>
      <c r="B53" s="22" t="s">
        <v>6</v>
      </c>
      <c r="C53" s="6">
        <v>650</v>
      </c>
      <c r="D53" s="6">
        <v>580</v>
      </c>
      <c r="E53" s="6">
        <v>70</v>
      </c>
      <c r="F53" s="6">
        <v>0.1207</v>
      </c>
      <c r="G53" s="6" t="str">
        <f t="shared" si="0"/>
        <v>Before Shock</v>
      </c>
    </row>
    <row r="54" spans="1:7">
      <c r="A54" s="3">
        <v>45047</v>
      </c>
      <c r="B54" s="22" t="s">
        <v>6</v>
      </c>
      <c r="C54" s="6">
        <v>512</v>
      </c>
      <c r="D54" s="6">
        <v>531</v>
      </c>
      <c r="E54" s="6">
        <v>-19</v>
      </c>
      <c r="F54" s="6">
        <v>3.5799999999999998E-2</v>
      </c>
      <c r="G54" s="6" t="str">
        <f t="shared" si="0"/>
        <v>Before Shock</v>
      </c>
    </row>
    <row r="55" spans="1:7">
      <c r="A55" s="3">
        <v>45078</v>
      </c>
      <c r="B55" s="22" t="s">
        <v>6</v>
      </c>
      <c r="C55" s="6">
        <v>569</v>
      </c>
      <c r="D55" s="6">
        <v>561</v>
      </c>
      <c r="E55" s="6">
        <v>8</v>
      </c>
      <c r="F55" s="6">
        <v>1.43E-2</v>
      </c>
      <c r="G55" s="6" t="str">
        <f t="shared" si="0"/>
        <v>Before Shock</v>
      </c>
    </row>
    <row r="56" spans="1:7">
      <c r="A56" s="3">
        <v>45108</v>
      </c>
      <c r="B56" s="22" t="s">
        <v>6</v>
      </c>
      <c r="C56" s="6">
        <v>542</v>
      </c>
      <c r="D56" s="6">
        <v>531</v>
      </c>
      <c r="E56" s="6">
        <v>11</v>
      </c>
      <c r="F56" s="6">
        <v>2.07E-2</v>
      </c>
      <c r="G56" s="6" t="str">
        <f t="shared" si="0"/>
        <v>Before Shock</v>
      </c>
    </row>
    <row r="57" spans="1:7">
      <c r="A57" s="3">
        <v>45139</v>
      </c>
      <c r="B57" s="22" t="s">
        <v>6</v>
      </c>
      <c r="C57" s="6">
        <v>617</v>
      </c>
      <c r="D57" s="6">
        <v>571</v>
      </c>
      <c r="E57" s="6">
        <v>46</v>
      </c>
      <c r="F57" s="6">
        <v>8.0600000000000005E-2</v>
      </c>
      <c r="G57" s="6" t="str">
        <f t="shared" si="0"/>
        <v>Before Shock</v>
      </c>
    </row>
    <row r="58" spans="1:7">
      <c r="A58" s="3">
        <v>45170</v>
      </c>
      <c r="B58" s="22" t="s">
        <v>6</v>
      </c>
      <c r="C58" s="6">
        <v>591</v>
      </c>
      <c r="D58" s="6">
        <v>553</v>
      </c>
      <c r="E58" s="6">
        <v>38</v>
      </c>
      <c r="F58" s="6">
        <v>6.8699999999999997E-2</v>
      </c>
      <c r="G58" s="6" t="str">
        <f t="shared" si="0"/>
        <v>Before Shock</v>
      </c>
    </row>
    <row r="59" spans="1:7">
      <c r="A59" s="3">
        <v>45200</v>
      </c>
      <c r="B59" s="22" t="s">
        <v>6</v>
      </c>
      <c r="C59" s="6">
        <v>592</v>
      </c>
      <c r="D59" s="6">
        <v>564</v>
      </c>
      <c r="E59" s="6">
        <v>28</v>
      </c>
      <c r="F59" s="6">
        <v>4.9599999999999998E-2</v>
      </c>
      <c r="G59" s="6" t="str">
        <f t="shared" si="0"/>
        <v>Before Shock</v>
      </c>
    </row>
    <row r="60" spans="1:7">
      <c r="A60" s="3">
        <v>45231</v>
      </c>
      <c r="B60" s="22" t="s">
        <v>6</v>
      </c>
      <c r="C60" s="6">
        <v>584</v>
      </c>
      <c r="D60" s="6">
        <v>577</v>
      </c>
      <c r="E60" s="6">
        <v>7</v>
      </c>
      <c r="F60" s="6">
        <v>1.21E-2</v>
      </c>
      <c r="G60" s="6" t="str">
        <f t="shared" si="0"/>
        <v>Before Shock</v>
      </c>
    </row>
    <row r="61" spans="1:7">
      <c r="A61" s="3">
        <v>45261</v>
      </c>
      <c r="B61" s="22" t="s">
        <v>6</v>
      </c>
      <c r="C61" s="6">
        <v>567</v>
      </c>
      <c r="D61" s="6">
        <v>556</v>
      </c>
      <c r="E61" s="6">
        <v>11</v>
      </c>
      <c r="F61" s="6">
        <v>1.9800000000000002E-2</v>
      </c>
      <c r="G61" s="6" t="str">
        <f t="shared" si="0"/>
        <v>Before Shock</v>
      </c>
    </row>
    <row r="62" spans="1:7">
      <c r="A62" s="3">
        <v>45292</v>
      </c>
      <c r="B62" s="22" t="s">
        <v>6</v>
      </c>
      <c r="C62" s="6">
        <v>717</v>
      </c>
      <c r="D62" s="6">
        <v>709</v>
      </c>
      <c r="E62" s="6">
        <v>8</v>
      </c>
      <c r="F62" s="6">
        <v>1.1299999999999999E-2</v>
      </c>
      <c r="G62" s="6" t="str">
        <f t="shared" si="0"/>
        <v>After Shock</v>
      </c>
    </row>
    <row r="63" spans="1:7">
      <c r="A63" s="3">
        <v>45323</v>
      </c>
      <c r="B63" s="22" t="s">
        <v>6</v>
      </c>
      <c r="C63" s="6">
        <v>439</v>
      </c>
      <c r="D63" s="6">
        <v>400</v>
      </c>
      <c r="E63" s="6">
        <v>39</v>
      </c>
      <c r="F63" s="6">
        <v>9.7500000000000003E-2</v>
      </c>
      <c r="G63" s="6" t="str">
        <f t="shared" si="0"/>
        <v>After Shock</v>
      </c>
    </row>
    <row r="64" spans="1:7">
      <c r="A64" s="3">
        <v>45352</v>
      </c>
      <c r="B64" s="22" t="s">
        <v>6</v>
      </c>
      <c r="C64" s="6">
        <v>759</v>
      </c>
      <c r="D64" s="6">
        <v>748</v>
      </c>
      <c r="E64" s="6">
        <v>11</v>
      </c>
      <c r="F64" s="6">
        <v>1.47E-2</v>
      </c>
      <c r="G64" s="6" t="str">
        <f t="shared" si="0"/>
        <v>After Shock</v>
      </c>
    </row>
    <row r="65" spans="1:7">
      <c r="A65" s="3">
        <v>45383</v>
      </c>
      <c r="B65" s="22" t="s">
        <v>6</v>
      </c>
      <c r="C65" s="6">
        <v>739</v>
      </c>
      <c r="D65" s="6">
        <v>764</v>
      </c>
      <c r="E65" s="6">
        <v>-25</v>
      </c>
      <c r="F65" s="6">
        <v>3.27E-2</v>
      </c>
      <c r="G65" s="6" t="str">
        <f t="shared" si="0"/>
        <v>After Shock</v>
      </c>
    </row>
    <row r="66" spans="1:7">
      <c r="A66" s="3">
        <v>45413</v>
      </c>
      <c r="B66" s="22" t="s">
        <v>6</v>
      </c>
      <c r="C66" s="6">
        <v>743</v>
      </c>
      <c r="D66" s="6">
        <v>747</v>
      </c>
      <c r="E66" s="6">
        <v>-4</v>
      </c>
      <c r="F66" s="6">
        <v>5.4000000000000003E-3</v>
      </c>
      <c r="G66" s="6" t="str">
        <f t="shared" si="0"/>
        <v>After Shock</v>
      </c>
    </row>
    <row r="67" spans="1:7">
      <c r="A67" s="3">
        <v>45444</v>
      </c>
      <c r="B67" s="22" t="s">
        <v>6</v>
      </c>
      <c r="C67" s="6">
        <v>758</v>
      </c>
      <c r="D67" s="6">
        <v>748</v>
      </c>
      <c r="E67" s="6">
        <v>10</v>
      </c>
      <c r="F67" s="6">
        <v>1.34E-2</v>
      </c>
      <c r="G67" s="6" t="str">
        <f t="shared" ref="G67:G73" si="1">IF(YEAR(A67)=2023, "Before Shock", "After Shock")</f>
        <v>After Shock</v>
      </c>
    </row>
    <row r="68" spans="1:7">
      <c r="A68" s="3">
        <v>45474</v>
      </c>
      <c r="B68" s="22" t="s">
        <v>6</v>
      </c>
      <c r="C68" s="6">
        <v>535</v>
      </c>
      <c r="D68" s="6">
        <v>574</v>
      </c>
      <c r="E68" s="6">
        <v>-39</v>
      </c>
      <c r="F68" s="6">
        <v>6.7900000000000002E-2</v>
      </c>
      <c r="G68" s="6" t="str">
        <f t="shared" si="1"/>
        <v>After Shock</v>
      </c>
    </row>
    <row r="69" spans="1:7">
      <c r="A69" s="3">
        <v>45505</v>
      </c>
      <c r="B69" s="22" t="s">
        <v>6</v>
      </c>
      <c r="C69" s="6">
        <v>580</v>
      </c>
      <c r="D69" s="6">
        <v>558</v>
      </c>
      <c r="E69" s="6">
        <v>22</v>
      </c>
      <c r="F69" s="6">
        <v>3.9399999999999998E-2</v>
      </c>
      <c r="G69" s="6" t="str">
        <f t="shared" si="1"/>
        <v>After Shock</v>
      </c>
    </row>
    <row r="70" spans="1:7">
      <c r="A70" s="3">
        <v>45536</v>
      </c>
      <c r="B70" s="22" t="s">
        <v>6</v>
      </c>
      <c r="C70" s="6">
        <v>600</v>
      </c>
      <c r="D70" s="6">
        <v>580</v>
      </c>
      <c r="E70" s="6">
        <v>20</v>
      </c>
      <c r="F70" s="6">
        <v>3.4500000000000003E-2</v>
      </c>
      <c r="G70" s="6" t="str">
        <f t="shared" si="1"/>
        <v>After Shock</v>
      </c>
    </row>
    <row r="71" spans="1:7">
      <c r="A71" s="3">
        <v>45566</v>
      </c>
      <c r="B71" s="22" t="s">
        <v>6</v>
      </c>
      <c r="C71" s="6">
        <v>705</v>
      </c>
      <c r="D71" s="6">
        <v>594</v>
      </c>
      <c r="E71" s="6">
        <v>111</v>
      </c>
      <c r="F71" s="6">
        <v>0.18690000000000001</v>
      </c>
      <c r="G71" s="6" t="str">
        <f t="shared" si="1"/>
        <v>After Shock</v>
      </c>
    </row>
    <row r="72" spans="1:7">
      <c r="A72" s="3">
        <v>45597</v>
      </c>
      <c r="B72" s="22" t="s">
        <v>6</v>
      </c>
      <c r="C72" s="6">
        <v>546</v>
      </c>
      <c r="D72" s="6">
        <v>540</v>
      </c>
      <c r="E72" s="6">
        <v>6</v>
      </c>
      <c r="F72" s="6">
        <v>1.11E-2</v>
      </c>
      <c r="G72" s="6" t="str">
        <f t="shared" si="1"/>
        <v>After Shock</v>
      </c>
    </row>
    <row r="73" spans="1:7">
      <c r="A73" s="3">
        <v>45627</v>
      </c>
      <c r="B73" s="22" t="s">
        <v>6</v>
      </c>
      <c r="C73" s="6">
        <v>514</v>
      </c>
      <c r="D73" s="6">
        <v>532</v>
      </c>
      <c r="E73" s="6">
        <v>-18</v>
      </c>
      <c r="F73" s="6">
        <v>3.3799999999999997E-2</v>
      </c>
      <c r="G73" s="6" t="str">
        <f t="shared" si="1"/>
        <v>After Shock</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33B41-83C6-1843-9A60-7D39CBB2F267}">
  <dimension ref="A3:H18"/>
  <sheetViews>
    <sheetView workbookViewId="0">
      <selection activeCell="K38" sqref="K38"/>
    </sheetView>
  </sheetViews>
  <sheetFormatPr baseColWidth="10" defaultRowHeight="16"/>
  <cols>
    <col min="1" max="1" width="14.83203125" bestFit="1" customWidth="1"/>
    <col min="2" max="2" width="10.5" bestFit="1" customWidth="1"/>
    <col min="3" max="3" width="11.1640625" bestFit="1" customWidth="1"/>
    <col min="4" max="4" width="10.83203125" style="6"/>
    <col min="5" max="5" width="25.6640625" style="9" customWidth="1"/>
    <col min="6" max="6" width="24.1640625" style="9" customWidth="1"/>
    <col min="7" max="7" width="10.83203125" style="23"/>
    <col min="8" max="8" width="23.1640625" customWidth="1"/>
  </cols>
  <sheetData>
    <row r="3" spans="1:8">
      <c r="A3" s="12" t="s">
        <v>14</v>
      </c>
      <c r="B3" t="s">
        <v>43</v>
      </c>
      <c r="C3" t="s">
        <v>42</v>
      </c>
    </row>
    <row r="4" spans="1:8">
      <c r="A4" s="13" t="s">
        <v>4</v>
      </c>
      <c r="B4" s="18">
        <v>1.4112</v>
      </c>
      <c r="C4" s="18">
        <v>199</v>
      </c>
    </row>
    <row r="5" spans="1:8">
      <c r="A5" s="14" t="s">
        <v>41</v>
      </c>
      <c r="B5" s="18">
        <v>0.64790000000000003</v>
      </c>
      <c r="C5" s="18">
        <v>31</v>
      </c>
      <c r="G5" s="23">
        <f>1 - B5</f>
        <v>0.35209999999999997</v>
      </c>
      <c r="H5" t="s">
        <v>45</v>
      </c>
    </row>
    <row r="6" spans="1:8">
      <c r="A6" s="14" t="s">
        <v>40</v>
      </c>
      <c r="B6" s="18">
        <v>0.76330000000000009</v>
      </c>
      <c r="C6" s="18">
        <v>168</v>
      </c>
      <c r="G6" s="23">
        <f t="shared" ref="G6:G13" si="0">1 - B6</f>
        <v>0.23669999999999991</v>
      </c>
      <c r="H6" t="s">
        <v>44</v>
      </c>
    </row>
    <row r="7" spans="1:8">
      <c r="A7" s="13" t="s">
        <v>5</v>
      </c>
      <c r="B7" s="18">
        <v>1.0434000000000001</v>
      </c>
      <c r="C7" s="18">
        <v>-17</v>
      </c>
    </row>
    <row r="8" spans="1:8">
      <c r="A8" s="14" t="s">
        <v>41</v>
      </c>
      <c r="B8" s="18">
        <v>0.48329999999999995</v>
      </c>
      <c r="C8" s="18">
        <v>-114</v>
      </c>
      <c r="G8" s="23">
        <f t="shared" si="0"/>
        <v>0.51670000000000005</v>
      </c>
      <c r="H8" t="s">
        <v>45</v>
      </c>
    </row>
    <row r="9" spans="1:8">
      <c r="A9" s="14" t="s">
        <v>40</v>
      </c>
      <c r="B9" s="18">
        <v>0.56010000000000004</v>
      </c>
      <c r="C9" s="18">
        <v>97</v>
      </c>
      <c r="G9" s="23">
        <f t="shared" si="0"/>
        <v>0.43989999999999996</v>
      </c>
      <c r="H9" t="s">
        <v>44</v>
      </c>
    </row>
    <row r="10" spans="1:8">
      <c r="A10" s="13" t="s">
        <v>6</v>
      </c>
      <c r="B10" s="18">
        <v>1.1082999999999998</v>
      </c>
      <c r="C10" s="18">
        <v>307</v>
      </c>
    </row>
    <row r="11" spans="1:8">
      <c r="A11" s="14" t="s">
        <v>41</v>
      </c>
      <c r="B11" s="18">
        <v>0.54859999999999998</v>
      </c>
      <c r="C11" s="18">
        <v>141</v>
      </c>
      <c r="G11" s="23">
        <f t="shared" si="0"/>
        <v>0.45140000000000002</v>
      </c>
      <c r="H11" t="s">
        <v>45</v>
      </c>
    </row>
    <row r="12" spans="1:8">
      <c r="A12" s="14" t="s">
        <v>40</v>
      </c>
      <c r="B12" s="18">
        <v>0.55969999999999998</v>
      </c>
      <c r="C12" s="18">
        <v>166</v>
      </c>
      <c r="G12" s="23">
        <f t="shared" si="0"/>
        <v>0.44030000000000002</v>
      </c>
      <c r="H12" t="s">
        <v>44</v>
      </c>
    </row>
    <row r="13" spans="1:8">
      <c r="A13" s="13" t="s">
        <v>15</v>
      </c>
      <c r="B13" s="18">
        <v>3.5629</v>
      </c>
      <c r="C13" s="18">
        <v>489</v>
      </c>
    </row>
    <row r="15" spans="1:8">
      <c r="D15" s="17" t="s">
        <v>1</v>
      </c>
      <c r="E15" s="24" t="s">
        <v>44</v>
      </c>
      <c r="F15" s="24" t="s">
        <v>45</v>
      </c>
    </row>
    <row r="16" spans="1:8">
      <c r="D16" s="6" t="s">
        <v>4</v>
      </c>
      <c r="E16" s="9">
        <v>0.23699999999999999</v>
      </c>
      <c r="F16" s="9">
        <v>0.35199999999999998</v>
      </c>
    </row>
    <row r="17" spans="4:6">
      <c r="D17" s="6" t="s">
        <v>5</v>
      </c>
      <c r="E17" s="9">
        <v>0.44</v>
      </c>
      <c r="F17" s="9">
        <v>0.51700000000000002</v>
      </c>
    </row>
    <row r="18" spans="4:6">
      <c r="D18" s="6" t="s">
        <v>6</v>
      </c>
      <c r="E18" s="9">
        <v>0.44</v>
      </c>
      <c r="F18" s="9">
        <v>0.45100000000000001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E5EFB-C8F1-2A4B-B551-39157D7903C8}">
  <dimension ref="A1:I86"/>
  <sheetViews>
    <sheetView topLeftCell="B1" zoomScale="86" workbookViewId="0">
      <selection activeCell="T70" sqref="T70"/>
    </sheetView>
  </sheetViews>
  <sheetFormatPr baseColWidth="10" defaultRowHeight="16"/>
  <cols>
    <col min="1" max="1" width="11.83203125" style="20" customWidth="1"/>
    <col min="2" max="2" width="12" style="20" customWidth="1"/>
    <col min="3" max="3" width="13.83203125" style="20" customWidth="1"/>
    <col min="4" max="4" width="16" style="20" customWidth="1"/>
    <col min="5" max="5" width="12.1640625" style="20" bestFit="1" customWidth="1"/>
    <col min="6" max="6" width="22.83203125" style="30" customWidth="1"/>
    <col min="7" max="7" width="21.5" style="30" customWidth="1"/>
    <col min="8" max="8" width="23.1640625" style="20" customWidth="1"/>
    <col min="9" max="9" width="20.33203125" style="30" customWidth="1"/>
  </cols>
  <sheetData>
    <row r="1" spans="1:9">
      <c r="A1" s="20" t="s">
        <v>0</v>
      </c>
      <c r="B1" s="20" t="s">
        <v>1</v>
      </c>
      <c r="C1" s="20" t="s">
        <v>2</v>
      </c>
      <c r="D1" s="20" t="s">
        <v>3</v>
      </c>
      <c r="E1" s="20" t="s">
        <v>46</v>
      </c>
      <c r="F1" s="30" t="s">
        <v>47</v>
      </c>
      <c r="G1" s="30" t="s">
        <v>48</v>
      </c>
      <c r="H1" s="20" t="s">
        <v>49</v>
      </c>
      <c r="I1" s="30" t="s">
        <v>50</v>
      </c>
    </row>
    <row r="2" spans="1:9">
      <c r="A2" s="27">
        <v>44927</v>
      </c>
      <c r="B2" s="28" t="s">
        <v>4</v>
      </c>
      <c r="C2" s="20">
        <v>551</v>
      </c>
      <c r="D2" s="20">
        <v>594</v>
      </c>
      <c r="E2" s="20">
        <v>10</v>
      </c>
      <c r="F2" s="30">
        <v>5510</v>
      </c>
      <c r="G2" s="30">
        <v>5940</v>
      </c>
      <c r="H2" s="20">
        <v>-430</v>
      </c>
      <c r="I2" s="29">
        <v>0</v>
      </c>
    </row>
    <row r="3" spans="1:9">
      <c r="A3" s="27">
        <v>44958</v>
      </c>
      <c r="B3" s="28" t="s">
        <v>4</v>
      </c>
      <c r="C3" s="20">
        <v>592</v>
      </c>
      <c r="D3" s="20">
        <v>638</v>
      </c>
      <c r="E3" s="20">
        <v>10</v>
      </c>
      <c r="F3" s="30">
        <v>5920</v>
      </c>
      <c r="G3" s="30">
        <v>6380</v>
      </c>
      <c r="H3" s="20">
        <v>-460</v>
      </c>
      <c r="I3" s="29">
        <v>5940</v>
      </c>
    </row>
    <row r="4" spans="1:9">
      <c r="A4" s="27">
        <v>44986</v>
      </c>
      <c r="B4" s="28" t="s">
        <v>4</v>
      </c>
      <c r="C4" s="20">
        <v>514</v>
      </c>
      <c r="D4" s="20">
        <v>441</v>
      </c>
      <c r="E4" s="20">
        <v>10</v>
      </c>
      <c r="F4" s="30">
        <v>5140</v>
      </c>
      <c r="G4" s="30">
        <v>4410</v>
      </c>
      <c r="H4" s="20">
        <v>730</v>
      </c>
      <c r="I4" s="29">
        <v>6380</v>
      </c>
    </row>
    <row r="5" spans="1:9">
      <c r="A5" s="27">
        <v>45017</v>
      </c>
      <c r="B5" s="28" t="s">
        <v>4</v>
      </c>
      <c r="C5" s="20">
        <v>571</v>
      </c>
      <c r="D5" s="20">
        <v>589</v>
      </c>
      <c r="E5" s="20">
        <v>10</v>
      </c>
      <c r="F5" s="30">
        <v>5710</v>
      </c>
      <c r="G5" s="30">
        <v>5890</v>
      </c>
      <c r="H5" s="20">
        <v>-180</v>
      </c>
      <c r="I5" s="29">
        <v>4410</v>
      </c>
    </row>
    <row r="6" spans="1:9">
      <c r="A6" s="27">
        <v>45047</v>
      </c>
      <c r="B6" s="28" t="s">
        <v>4</v>
      </c>
      <c r="C6" s="20">
        <v>560</v>
      </c>
      <c r="D6" s="20">
        <v>553</v>
      </c>
      <c r="E6" s="20">
        <v>10</v>
      </c>
      <c r="F6" s="30">
        <v>5600</v>
      </c>
      <c r="G6" s="30">
        <v>5530</v>
      </c>
      <c r="H6" s="20">
        <v>70</v>
      </c>
      <c r="I6" s="29">
        <v>5890</v>
      </c>
    </row>
    <row r="7" spans="1:9">
      <c r="A7" s="27">
        <v>45078</v>
      </c>
      <c r="B7" s="28" t="s">
        <v>4</v>
      </c>
      <c r="C7" s="20">
        <v>520</v>
      </c>
      <c r="D7" s="20">
        <v>516</v>
      </c>
      <c r="E7" s="20">
        <v>10</v>
      </c>
      <c r="F7" s="30">
        <v>5200</v>
      </c>
      <c r="G7" s="30">
        <v>5160</v>
      </c>
      <c r="H7" s="20">
        <v>40</v>
      </c>
      <c r="I7" s="29">
        <v>5530</v>
      </c>
    </row>
    <row r="8" spans="1:9">
      <c r="A8" s="27">
        <v>45108</v>
      </c>
      <c r="B8" s="28" t="s">
        <v>4</v>
      </c>
      <c r="C8" s="20">
        <v>582</v>
      </c>
      <c r="D8" s="20">
        <v>538</v>
      </c>
      <c r="E8" s="20">
        <v>10</v>
      </c>
      <c r="F8" s="30">
        <v>5820</v>
      </c>
      <c r="G8" s="30">
        <v>5380</v>
      </c>
      <c r="H8" s="20">
        <v>440</v>
      </c>
      <c r="I8" s="29">
        <v>5160</v>
      </c>
    </row>
    <row r="9" spans="1:9">
      <c r="A9" s="27">
        <v>45139</v>
      </c>
      <c r="B9" s="28" t="s">
        <v>4</v>
      </c>
      <c r="C9" s="20">
        <v>586</v>
      </c>
      <c r="D9" s="20">
        <v>630</v>
      </c>
      <c r="E9" s="20">
        <v>10</v>
      </c>
      <c r="F9" s="30">
        <v>5860</v>
      </c>
      <c r="G9" s="30">
        <v>6300</v>
      </c>
      <c r="H9" s="20">
        <v>-440</v>
      </c>
      <c r="I9" s="29">
        <v>5380</v>
      </c>
    </row>
    <row r="10" spans="1:9">
      <c r="A10" s="27">
        <v>45170</v>
      </c>
      <c r="B10" s="28" t="s">
        <v>4</v>
      </c>
      <c r="C10" s="20">
        <v>574</v>
      </c>
      <c r="D10" s="20">
        <v>574</v>
      </c>
      <c r="E10" s="20">
        <v>10</v>
      </c>
      <c r="F10" s="30">
        <v>5740</v>
      </c>
      <c r="G10" s="30">
        <v>5740</v>
      </c>
      <c r="H10" s="20">
        <v>0</v>
      </c>
      <c r="I10" s="29">
        <v>6300</v>
      </c>
    </row>
    <row r="11" spans="1:9">
      <c r="A11" s="27">
        <v>45200</v>
      </c>
      <c r="B11" s="28" t="s">
        <v>4</v>
      </c>
      <c r="C11" s="20">
        <v>574</v>
      </c>
      <c r="D11" s="20">
        <v>584</v>
      </c>
      <c r="E11" s="20">
        <v>10</v>
      </c>
      <c r="F11" s="30">
        <v>5740</v>
      </c>
      <c r="G11" s="30">
        <v>5840</v>
      </c>
      <c r="H11" s="20">
        <v>-100</v>
      </c>
      <c r="I11" s="29">
        <v>5740</v>
      </c>
    </row>
    <row r="12" spans="1:9">
      <c r="A12" s="27">
        <v>45231</v>
      </c>
      <c r="B12" s="28" t="s">
        <v>4</v>
      </c>
      <c r="C12" s="20">
        <v>587</v>
      </c>
      <c r="D12" s="20">
        <v>599</v>
      </c>
      <c r="E12" s="20">
        <v>10</v>
      </c>
      <c r="F12" s="30">
        <v>5870</v>
      </c>
      <c r="G12" s="30">
        <v>5990</v>
      </c>
      <c r="H12" s="20">
        <v>-120</v>
      </c>
      <c r="I12" s="29">
        <v>5840</v>
      </c>
    </row>
    <row r="13" spans="1:9">
      <c r="A13" s="27">
        <v>45261</v>
      </c>
      <c r="B13" s="28" t="s">
        <v>4</v>
      </c>
      <c r="C13" s="20">
        <v>599</v>
      </c>
      <c r="D13" s="20">
        <v>623</v>
      </c>
      <c r="E13" s="20">
        <v>10</v>
      </c>
      <c r="F13" s="30">
        <v>5990</v>
      </c>
      <c r="G13" s="30">
        <v>6230</v>
      </c>
      <c r="H13" s="20">
        <v>-240</v>
      </c>
      <c r="I13" s="29">
        <v>5990</v>
      </c>
    </row>
    <row r="14" spans="1:9">
      <c r="A14" s="27">
        <v>45292</v>
      </c>
      <c r="B14" s="28" t="s">
        <v>4</v>
      </c>
      <c r="C14" s="20">
        <v>523</v>
      </c>
      <c r="D14" s="20">
        <v>515</v>
      </c>
      <c r="E14" s="20">
        <v>10</v>
      </c>
      <c r="F14" s="30">
        <v>5230</v>
      </c>
      <c r="G14" s="30">
        <v>5150</v>
      </c>
      <c r="H14" s="20">
        <v>80</v>
      </c>
      <c r="I14" s="29">
        <v>6230</v>
      </c>
    </row>
    <row r="15" spans="1:9">
      <c r="A15" s="27">
        <v>45323</v>
      </c>
      <c r="B15" s="28" t="s">
        <v>4</v>
      </c>
      <c r="C15" s="20">
        <v>502</v>
      </c>
      <c r="D15" s="20">
        <v>502</v>
      </c>
      <c r="E15" s="20">
        <v>10</v>
      </c>
      <c r="F15" s="30">
        <v>5020</v>
      </c>
      <c r="G15" s="30">
        <v>5020</v>
      </c>
      <c r="H15" s="20">
        <v>0</v>
      </c>
      <c r="I15" s="29">
        <v>5150</v>
      </c>
    </row>
    <row r="16" spans="1:9">
      <c r="A16" s="27">
        <v>45352</v>
      </c>
      <c r="B16" s="28" t="s">
        <v>4</v>
      </c>
      <c r="C16" s="20">
        <v>521</v>
      </c>
      <c r="D16" s="20">
        <v>523</v>
      </c>
      <c r="E16" s="20">
        <v>10</v>
      </c>
      <c r="F16" s="30">
        <v>5210</v>
      </c>
      <c r="G16" s="30">
        <v>5230</v>
      </c>
      <c r="H16" s="20">
        <v>-20</v>
      </c>
      <c r="I16" s="29">
        <v>5020</v>
      </c>
    </row>
    <row r="17" spans="1:9">
      <c r="A17" s="27">
        <v>45383</v>
      </c>
      <c r="B17" s="28" t="s">
        <v>4</v>
      </c>
      <c r="C17" s="20">
        <v>552</v>
      </c>
      <c r="D17" s="20">
        <v>571</v>
      </c>
      <c r="E17" s="20">
        <v>10</v>
      </c>
      <c r="F17" s="30">
        <v>5520</v>
      </c>
      <c r="G17" s="30">
        <v>5710</v>
      </c>
      <c r="H17" s="20">
        <v>-190</v>
      </c>
      <c r="I17" s="29">
        <v>5230</v>
      </c>
    </row>
    <row r="18" spans="1:9">
      <c r="A18" s="27">
        <v>45413</v>
      </c>
      <c r="B18" s="28" t="s">
        <v>4</v>
      </c>
      <c r="C18" s="20">
        <v>501</v>
      </c>
      <c r="D18" s="20">
        <v>497</v>
      </c>
      <c r="E18" s="20">
        <v>10</v>
      </c>
      <c r="F18" s="30">
        <v>5010</v>
      </c>
      <c r="G18" s="30">
        <v>4970</v>
      </c>
      <c r="H18" s="20">
        <v>40</v>
      </c>
      <c r="I18" s="29">
        <v>5710</v>
      </c>
    </row>
    <row r="19" spans="1:9">
      <c r="A19" s="27">
        <v>45444</v>
      </c>
      <c r="B19" s="28" t="s">
        <v>4</v>
      </c>
      <c r="C19" s="20">
        <v>587</v>
      </c>
      <c r="D19" s="20">
        <v>587</v>
      </c>
      <c r="E19" s="20">
        <v>10</v>
      </c>
      <c r="F19" s="30">
        <v>5870</v>
      </c>
      <c r="G19" s="30">
        <v>5870</v>
      </c>
      <c r="H19" s="20">
        <v>0</v>
      </c>
      <c r="I19" s="29">
        <v>4970</v>
      </c>
    </row>
    <row r="20" spans="1:9">
      <c r="A20" s="27">
        <v>45474</v>
      </c>
      <c r="B20" s="28" t="s">
        <v>4</v>
      </c>
      <c r="C20" s="20">
        <v>529</v>
      </c>
      <c r="D20" s="20">
        <v>507</v>
      </c>
      <c r="E20" s="20">
        <v>10</v>
      </c>
      <c r="F20" s="30">
        <v>5290</v>
      </c>
      <c r="G20" s="30">
        <v>5070</v>
      </c>
      <c r="H20" s="20">
        <v>220</v>
      </c>
      <c r="I20" s="29">
        <v>5870</v>
      </c>
    </row>
    <row r="21" spans="1:9">
      <c r="A21" s="27">
        <v>45505</v>
      </c>
      <c r="B21" s="28" t="s">
        <v>4</v>
      </c>
      <c r="C21" s="20">
        <v>537</v>
      </c>
      <c r="D21" s="20">
        <v>514</v>
      </c>
      <c r="E21" s="20">
        <v>10</v>
      </c>
      <c r="F21" s="30">
        <v>5370</v>
      </c>
      <c r="G21" s="30">
        <v>5140</v>
      </c>
      <c r="H21" s="20">
        <v>230</v>
      </c>
      <c r="I21" s="29">
        <v>5070</v>
      </c>
    </row>
    <row r="22" spans="1:9">
      <c r="A22" s="27">
        <v>45536</v>
      </c>
      <c r="B22" s="28" t="s">
        <v>4</v>
      </c>
      <c r="C22" s="20">
        <v>501</v>
      </c>
      <c r="D22" s="20">
        <v>529</v>
      </c>
      <c r="E22" s="20">
        <v>10</v>
      </c>
      <c r="F22" s="30">
        <v>5010</v>
      </c>
      <c r="G22" s="30">
        <v>5290</v>
      </c>
      <c r="H22" s="20">
        <v>-280</v>
      </c>
      <c r="I22" s="29">
        <v>5140</v>
      </c>
    </row>
    <row r="23" spans="1:9">
      <c r="A23" s="27">
        <v>45566</v>
      </c>
      <c r="B23" s="28" t="s">
        <v>4</v>
      </c>
      <c r="C23" s="20">
        <v>563</v>
      </c>
      <c r="D23" s="20">
        <v>610</v>
      </c>
      <c r="E23" s="20">
        <v>10</v>
      </c>
      <c r="F23" s="30">
        <v>5630</v>
      </c>
      <c r="G23" s="30">
        <v>6100</v>
      </c>
      <c r="H23" s="20">
        <v>-470</v>
      </c>
      <c r="I23" s="29">
        <v>5290</v>
      </c>
    </row>
    <row r="24" spans="1:9">
      <c r="A24" s="27">
        <v>45597</v>
      </c>
      <c r="B24" s="28" t="s">
        <v>4</v>
      </c>
      <c r="C24" s="20">
        <v>559</v>
      </c>
      <c r="D24" s="20">
        <v>548</v>
      </c>
      <c r="E24" s="20">
        <v>10</v>
      </c>
      <c r="F24" s="30">
        <v>5590</v>
      </c>
      <c r="G24" s="30">
        <v>5480</v>
      </c>
      <c r="H24" s="20">
        <v>110</v>
      </c>
      <c r="I24" s="29">
        <v>6100</v>
      </c>
    </row>
    <row r="25" spans="1:9">
      <c r="A25" s="27">
        <v>45627</v>
      </c>
      <c r="B25" s="28" t="s">
        <v>4</v>
      </c>
      <c r="C25" s="20">
        <v>520</v>
      </c>
      <c r="D25" s="20">
        <v>531</v>
      </c>
      <c r="E25" s="20">
        <v>10</v>
      </c>
      <c r="F25" s="30">
        <v>5200</v>
      </c>
      <c r="G25" s="30">
        <v>5310</v>
      </c>
      <c r="H25" s="20">
        <v>-110</v>
      </c>
      <c r="I25" s="29">
        <v>5480</v>
      </c>
    </row>
    <row r="26" spans="1:9">
      <c r="A26" s="27">
        <v>44927</v>
      </c>
      <c r="B26" s="28" t="s">
        <v>5</v>
      </c>
      <c r="C26" s="20">
        <v>580</v>
      </c>
      <c r="D26" s="20">
        <v>550</v>
      </c>
      <c r="E26" s="20">
        <v>12</v>
      </c>
      <c r="F26" s="30">
        <v>6960</v>
      </c>
      <c r="G26" s="30">
        <v>6600</v>
      </c>
      <c r="H26" s="20">
        <v>360</v>
      </c>
      <c r="I26" s="30">
        <v>0</v>
      </c>
    </row>
    <row r="27" spans="1:9">
      <c r="A27" s="27">
        <v>44958</v>
      </c>
      <c r="B27" s="28" t="s">
        <v>5</v>
      </c>
      <c r="C27" s="20">
        <v>535</v>
      </c>
      <c r="D27" s="20">
        <v>488</v>
      </c>
      <c r="E27" s="20">
        <v>12</v>
      </c>
      <c r="F27" s="30">
        <v>6420</v>
      </c>
      <c r="G27" s="30">
        <v>5856</v>
      </c>
      <c r="H27" s="20">
        <v>564</v>
      </c>
      <c r="I27" s="30">
        <v>6600</v>
      </c>
    </row>
    <row r="28" spans="1:9">
      <c r="A28" s="27">
        <v>44986</v>
      </c>
      <c r="B28" s="28" t="s">
        <v>5</v>
      </c>
      <c r="C28" s="20">
        <v>549</v>
      </c>
      <c r="D28" s="20">
        <v>572</v>
      </c>
      <c r="E28" s="20">
        <v>12</v>
      </c>
      <c r="F28" s="30">
        <v>6588</v>
      </c>
      <c r="G28" s="30">
        <v>6864</v>
      </c>
      <c r="H28" s="20">
        <v>-276</v>
      </c>
      <c r="I28" s="30">
        <v>5856</v>
      </c>
    </row>
    <row r="29" spans="1:9">
      <c r="A29" s="27">
        <v>45017</v>
      </c>
      <c r="B29" s="28" t="s">
        <v>5</v>
      </c>
      <c r="C29" s="20">
        <v>503</v>
      </c>
      <c r="D29" s="20">
        <v>487</v>
      </c>
      <c r="E29" s="20">
        <v>12</v>
      </c>
      <c r="F29" s="30">
        <v>6036</v>
      </c>
      <c r="G29" s="30">
        <v>5844</v>
      </c>
      <c r="H29" s="20">
        <v>192</v>
      </c>
      <c r="I29" s="30">
        <v>6864</v>
      </c>
    </row>
    <row r="30" spans="1:9">
      <c r="A30" s="27">
        <v>45047</v>
      </c>
      <c r="B30" s="28" t="s">
        <v>5</v>
      </c>
      <c r="C30" s="20">
        <v>501</v>
      </c>
      <c r="D30" s="20">
        <v>461</v>
      </c>
      <c r="E30" s="20">
        <v>12</v>
      </c>
      <c r="F30" s="30">
        <v>6012</v>
      </c>
      <c r="G30" s="30">
        <v>5532</v>
      </c>
      <c r="H30" s="20">
        <v>480</v>
      </c>
      <c r="I30" s="30">
        <v>5844</v>
      </c>
    </row>
    <row r="31" spans="1:9">
      <c r="A31" s="27">
        <v>45078</v>
      </c>
      <c r="B31" s="28" t="s">
        <v>5</v>
      </c>
      <c r="C31" s="20">
        <v>505</v>
      </c>
      <c r="D31" s="20">
        <v>479</v>
      </c>
      <c r="E31" s="20">
        <v>12</v>
      </c>
      <c r="F31" s="30">
        <v>6060</v>
      </c>
      <c r="G31" s="30">
        <v>5748</v>
      </c>
      <c r="H31" s="20">
        <v>312</v>
      </c>
      <c r="I31" s="30">
        <v>5532</v>
      </c>
    </row>
    <row r="32" spans="1:9">
      <c r="A32" s="27">
        <v>45108</v>
      </c>
      <c r="B32" s="28" t="s">
        <v>5</v>
      </c>
      <c r="C32" s="20">
        <v>553</v>
      </c>
      <c r="D32" s="20">
        <v>520</v>
      </c>
      <c r="E32" s="20">
        <v>12</v>
      </c>
      <c r="F32" s="30">
        <v>6636</v>
      </c>
      <c r="G32" s="30">
        <v>6240</v>
      </c>
      <c r="H32" s="20">
        <v>396</v>
      </c>
      <c r="I32" s="30">
        <v>5748</v>
      </c>
    </row>
    <row r="33" spans="1:9">
      <c r="A33" s="27">
        <v>45139</v>
      </c>
      <c r="B33" s="28" t="s">
        <v>5</v>
      </c>
      <c r="C33" s="20">
        <v>503</v>
      </c>
      <c r="D33" s="20">
        <v>507</v>
      </c>
      <c r="E33" s="20">
        <v>12</v>
      </c>
      <c r="F33" s="30">
        <v>6036</v>
      </c>
      <c r="G33" s="30">
        <v>6084</v>
      </c>
      <c r="H33" s="20">
        <v>-48</v>
      </c>
      <c r="I33" s="30">
        <v>6240</v>
      </c>
    </row>
    <row r="34" spans="1:9">
      <c r="A34" s="27">
        <v>45170</v>
      </c>
      <c r="B34" s="28" t="s">
        <v>5</v>
      </c>
      <c r="C34" s="20">
        <v>553</v>
      </c>
      <c r="D34" s="20">
        <v>570</v>
      </c>
      <c r="E34" s="20">
        <v>12</v>
      </c>
      <c r="F34" s="30">
        <v>6636</v>
      </c>
      <c r="G34" s="30">
        <v>6840</v>
      </c>
      <c r="H34" s="20">
        <v>-204</v>
      </c>
      <c r="I34" s="30">
        <v>6084</v>
      </c>
    </row>
    <row r="35" spans="1:9">
      <c r="A35" s="27">
        <v>45200</v>
      </c>
      <c r="B35" s="28" t="s">
        <v>5</v>
      </c>
      <c r="C35" s="20">
        <v>592</v>
      </c>
      <c r="D35" s="20">
        <v>618</v>
      </c>
      <c r="E35" s="20">
        <v>12</v>
      </c>
      <c r="F35" s="30">
        <v>7104</v>
      </c>
      <c r="G35" s="30">
        <v>7416</v>
      </c>
      <c r="H35" s="20">
        <v>-312</v>
      </c>
      <c r="I35" s="30">
        <v>6840</v>
      </c>
    </row>
    <row r="36" spans="1:9">
      <c r="A36" s="27">
        <v>45231</v>
      </c>
      <c r="B36" s="28" t="s">
        <v>5</v>
      </c>
      <c r="C36" s="20">
        <v>562</v>
      </c>
      <c r="D36" s="20">
        <v>588</v>
      </c>
      <c r="E36" s="20">
        <v>12</v>
      </c>
      <c r="F36" s="30">
        <v>6744</v>
      </c>
      <c r="G36" s="30">
        <v>7056</v>
      </c>
      <c r="H36" s="20">
        <v>-312</v>
      </c>
      <c r="I36" s="30">
        <v>7416</v>
      </c>
    </row>
    <row r="37" spans="1:9">
      <c r="A37" s="27">
        <v>45261</v>
      </c>
      <c r="B37" s="28" t="s">
        <v>5</v>
      </c>
      <c r="C37" s="20">
        <v>517</v>
      </c>
      <c r="D37" s="20">
        <v>539</v>
      </c>
      <c r="E37" s="20">
        <v>12</v>
      </c>
      <c r="F37" s="30">
        <v>6204</v>
      </c>
      <c r="G37" s="30">
        <v>6468</v>
      </c>
      <c r="H37" s="20">
        <v>-264</v>
      </c>
      <c r="I37" s="30">
        <v>7056</v>
      </c>
    </row>
    <row r="38" spans="1:9">
      <c r="A38" s="27">
        <v>45292</v>
      </c>
      <c r="B38" s="28" t="s">
        <v>5</v>
      </c>
      <c r="C38" s="20">
        <v>589</v>
      </c>
      <c r="D38" s="20">
        <v>583</v>
      </c>
      <c r="E38" s="20">
        <v>12</v>
      </c>
      <c r="F38" s="30">
        <v>7068</v>
      </c>
      <c r="G38" s="30">
        <v>6996</v>
      </c>
      <c r="H38" s="20">
        <v>72</v>
      </c>
      <c r="I38" s="30">
        <v>6468</v>
      </c>
    </row>
    <row r="39" spans="1:9">
      <c r="A39" s="27">
        <v>45323</v>
      </c>
      <c r="B39" s="28" t="s">
        <v>5</v>
      </c>
      <c r="C39" s="20">
        <v>543</v>
      </c>
      <c r="D39" s="20">
        <v>525</v>
      </c>
      <c r="E39" s="20">
        <v>12</v>
      </c>
      <c r="F39" s="30">
        <v>6516</v>
      </c>
      <c r="G39" s="30">
        <v>6300</v>
      </c>
      <c r="H39" s="20">
        <v>216</v>
      </c>
      <c r="I39" s="30">
        <v>6996</v>
      </c>
    </row>
    <row r="40" spans="1:9">
      <c r="A40" s="27">
        <v>45352</v>
      </c>
      <c r="B40" s="28" t="s">
        <v>5</v>
      </c>
      <c r="C40" s="20">
        <v>533</v>
      </c>
      <c r="D40" s="20">
        <v>488</v>
      </c>
      <c r="E40" s="20">
        <v>12</v>
      </c>
      <c r="F40" s="30">
        <v>6396</v>
      </c>
      <c r="G40" s="30">
        <v>5856</v>
      </c>
      <c r="H40" s="20">
        <v>540</v>
      </c>
      <c r="I40" s="30">
        <v>6300</v>
      </c>
    </row>
    <row r="41" spans="1:9">
      <c r="A41" s="27">
        <v>45383</v>
      </c>
      <c r="B41" s="28" t="s">
        <v>5</v>
      </c>
      <c r="C41" s="20">
        <v>573</v>
      </c>
      <c r="D41" s="20">
        <v>605</v>
      </c>
      <c r="E41" s="20">
        <v>12</v>
      </c>
      <c r="F41" s="30">
        <v>6876</v>
      </c>
      <c r="G41" s="30">
        <v>7260</v>
      </c>
      <c r="H41" s="20">
        <v>-384</v>
      </c>
      <c r="I41" s="30">
        <v>5856</v>
      </c>
    </row>
    <row r="42" spans="1:9">
      <c r="A42" s="27">
        <v>45413</v>
      </c>
      <c r="B42" s="28" t="s">
        <v>5</v>
      </c>
      <c r="C42" s="20">
        <v>561</v>
      </c>
      <c r="D42" s="20">
        <v>556</v>
      </c>
      <c r="E42" s="20">
        <v>12</v>
      </c>
      <c r="F42" s="30">
        <v>6732</v>
      </c>
      <c r="G42" s="30">
        <v>6672</v>
      </c>
      <c r="H42" s="20">
        <v>60</v>
      </c>
      <c r="I42" s="30">
        <v>7260</v>
      </c>
    </row>
    <row r="43" spans="1:9">
      <c r="A43" s="27">
        <v>45444</v>
      </c>
      <c r="B43" s="28" t="s">
        <v>5</v>
      </c>
      <c r="C43" s="20">
        <v>599</v>
      </c>
      <c r="D43" s="20">
        <v>587</v>
      </c>
      <c r="E43" s="20">
        <v>12</v>
      </c>
      <c r="F43" s="30">
        <v>7188</v>
      </c>
      <c r="G43" s="30">
        <v>7044</v>
      </c>
      <c r="H43" s="20">
        <v>144</v>
      </c>
      <c r="I43" s="30">
        <v>6672</v>
      </c>
    </row>
    <row r="44" spans="1:9">
      <c r="A44" s="27">
        <v>45474</v>
      </c>
      <c r="B44" s="28" t="s">
        <v>5</v>
      </c>
      <c r="C44" s="20">
        <v>513</v>
      </c>
      <c r="D44" s="20">
        <v>548</v>
      </c>
      <c r="E44" s="20">
        <v>12</v>
      </c>
      <c r="F44" s="30">
        <v>6156</v>
      </c>
      <c r="G44" s="30">
        <v>6576</v>
      </c>
      <c r="H44" s="20">
        <v>-420</v>
      </c>
      <c r="I44" s="30">
        <v>7044</v>
      </c>
    </row>
    <row r="45" spans="1:9">
      <c r="A45" s="27">
        <v>45505</v>
      </c>
      <c r="B45" s="28" t="s">
        <v>5</v>
      </c>
      <c r="C45" s="20">
        <v>594</v>
      </c>
      <c r="D45" s="20">
        <v>568</v>
      </c>
      <c r="E45" s="20">
        <v>12</v>
      </c>
      <c r="F45" s="30">
        <v>7128</v>
      </c>
      <c r="G45" s="30">
        <v>6816</v>
      </c>
      <c r="H45" s="20">
        <v>312</v>
      </c>
      <c r="I45" s="30">
        <v>6576</v>
      </c>
    </row>
    <row r="46" spans="1:9">
      <c r="A46" s="27">
        <v>45536</v>
      </c>
      <c r="B46" s="28" t="s">
        <v>5</v>
      </c>
      <c r="C46" s="20">
        <v>547</v>
      </c>
      <c r="D46" s="20">
        <v>572</v>
      </c>
      <c r="E46" s="20">
        <v>12</v>
      </c>
      <c r="F46" s="30">
        <v>6564</v>
      </c>
      <c r="G46" s="30">
        <v>6864</v>
      </c>
      <c r="H46" s="20">
        <v>-300</v>
      </c>
      <c r="I46" s="30">
        <v>6816</v>
      </c>
    </row>
    <row r="47" spans="1:9">
      <c r="A47" s="27">
        <v>45566</v>
      </c>
      <c r="B47" s="28" t="s">
        <v>5</v>
      </c>
      <c r="C47" s="20">
        <v>514</v>
      </c>
      <c r="D47" s="20">
        <v>522</v>
      </c>
      <c r="E47" s="20">
        <v>12</v>
      </c>
      <c r="F47" s="30">
        <v>6168</v>
      </c>
      <c r="G47" s="30">
        <v>6264</v>
      </c>
      <c r="H47" s="20">
        <v>-96</v>
      </c>
      <c r="I47" s="30">
        <v>6864</v>
      </c>
    </row>
    <row r="48" spans="1:9">
      <c r="A48" s="27">
        <v>45597</v>
      </c>
      <c r="B48" s="28" t="s">
        <v>5</v>
      </c>
      <c r="C48" s="20">
        <v>571</v>
      </c>
      <c r="D48" s="20">
        <v>540</v>
      </c>
      <c r="E48" s="20">
        <v>12</v>
      </c>
      <c r="F48" s="30">
        <v>6852</v>
      </c>
      <c r="G48" s="30">
        <v>6480</v>
      </c>
      <c r="H48" s="20">
        <v>372</v>
      </c>
      <c r="I48" s="30">
        <v>6264</v>
      </c>
    </row>
    <row r="49" spans="1:9">
      <c r="A49" s="27">
        <v>45627</v>
      </c>
      <c r="B49" s="28" t="s">
        <v>5</v>
      </c>
      <c r="C49" s="20">
        <v>577</v>
      </c>
      <c r="D49" s="20">
        <v>575</v>
      </c>
      <c r="E49" s="20">
        <v>12</v>
      </c>
      <c r="F49" s="30">
        <v>6924</v>
      </c>
      <c r="G49" s="30">
        <v>6900</v>
      </c>
      <c r="H49" s="20">
        <v>24</v>
      </c>
      <c r="I49" s="30">
        <v>6480</v>
      </c>
    </row>
    <row r="50" spans="1:9">
      <c r="A50" s="27">
        <v>44927</v>
      </c>
      <c r="B50" s="28" t="s">
        <v>6</v>
      </c>
      <c r="C50" s="20">
        <v>577</v>
      </c>
      <c r="D50" s="20">
        <v>553</v>
      </c>
      <c r="E50" s="20">
        <v>15</v>
      </c>
      <c r="F50" s="30">
        <v>8655</v>
      </c>
      <c r="G50" s="30">
        <v>8295</v>
      </c>
      <c r="H50" s="20">
        <v>360</v>
      </c>
      <c r="I50" s="30">
        <v>0</v>
      </c>
    </row>
    <row r="51" spans="1:9">
      <c r="A51" s="27">
        <v>44958</v>
      </c>
      <c r="B51" s="28" t="s">
        <v>6</v>
      </c>
      <c r="C51" s="20">
        <v>502</v>
      </c>
      <c r="D51" s="20">
        <v>487</v>
      </c>
      <c r="E51" s="20">
        <v>15</v>
      </c>
      <c r="F51" s="30">
        <v>7530</v>
      </c>
      <c r="G51" s="30">
        <v>7305</v>
      </c>
      <c r="H51" s="20">
        <v>225</v>
      </c>
      <c r="I51" s="30">
        <v>8295</v>
      </c>
    </row>
    <row r="52" spans="1:9">
      <c r="A52" s="27">
        <v>44986</v>
      </c>
      <c r="B52" s="28" t="s">
        <v>6</v>
      </c>
      <c r="C52" s="20">
        <v>500</v>
      </c>
      <c r="D52" s="20">
        <v>527</v>
      </c>
      <c r="E52" s="20">
        <v>15</v>
      </c>
      <c r="F52" s="30">
        <v>7500</v>
      </c>
      <c r="G52" s="30">
        <v>7905</v>
      </c>
      <c r="H52" s="20">
        <v>-405</v>
      </c>
      <c r="I52" s="30">
        <v>7305</v>
      </c>
    </row>
    <row r="53" spans="1:9">
      <c r="A53" s="27">
        <v>45017</v>
      </c>
      <c r="B53" s="28" t="s">
        <v>6</v>
      </c>
      <c r="C53" s="20">
        <v>504</v>
      </c>
      <c r="D53" s="20">
        <v>513</v>
      </c>
      <c r="E53" s="20">
        <v>15</v>
      </c>
      <c r="F53" s="30">
        <v>7560</v>
      </c>
      <c r="G53" s="30">
        <v>7695</v>
      </c>
      <c r="H53" s="20">
        <v>-135</v>
      </c>
      <c r="I53" s="30">
        <v>7905</v>
      </c>
    </row>
    <row r="54" spans="1:9">
      <c r="A54" s="27">
        <v>45047</v>
      </c>
      <c r="B54" s="28" t="s">
        <v>6</v>
      </c>
      <c r="C54" s="20">
        <v>589</v>
      </c>
      <c r="D54" s="20">
        <v>574</v>
      </c>
      <c r="E54" s="20">
        <v>15</v>
      </c>
      <c r="F54" s="30">
        <v>8835</v>
      </c>
      <c r="G54" s="30">
        <v>8610</v>
      </c>
      <c r="H54" s="20">
        <v>225</v>
      </c>
      <c r="I54" s="30">
        <v>7695</v>
      </c>
    </row>
    <row r="55" spans="1:9">
      <c r="A55" s="27">
        <v>45078</v>
      </c>
      <c r="B55" s="28" t="s">
        <v>6</v>
      </c>
      <c r="C55" s="20">
        <v>513</v>
      </c>
      <c r="D55" s="20">
        <v>528</v>
      </c>
      <c r="E55" s="20">
        <v>15</v>
      </c>
      <c r="F55" s="30">
        <v>7695</v>
      </c>
      <c r="G55" s="30">
        <v>7920</v>
      </c>
      <c r="H55" s="20">
        <v>-225</v>
      </c>
      <c r="I55" s="30">
        <v>8610</v>
      </c>
    </row>
    <row r="56" spans="1:9">
      <c r="A56" s="27">
        <v>45108</v>
      </c>
      <c r="B56" s="28" t="s">
        <v>6</v>
      </c>
      <c r="C56" s="20">
        <v>526</v>
      </c>
      <c r="D56" s="20">
        <v>528</v>
      </c>
      <c r="E56" s="20">
        <v>15</v>
      </c>
      <c r="F56" s="30">
        <v>7890</v>
      </c>
      <c r="G56" s="30">
        <v>7920</v>
      </c>
      <c r="H56" s="20">
        <v>-30</v>
      </c>
      <c r="I56" s="30">
        <v>7920</v>
      </c>
    </row>
    <row r="57" spans="1:9">
      <c r="A57" s="27">
        <v>45139</v>
      </c>
      <c r="B57" s="28" t="s">
        <v>6</v>
      </c>
      <c r="C57" s="20">
        <v>508</v>
      </c>
      <c r="D57" s="20">
        <v>537</v>
      </c>
      <c r="E57" s="20">
        <v>15</v>
      </c>
      <c r="F57" s="30">
        <v>7620</v>
      </c>
      <c r="G57" s="30">
        <v>8055</v>
      </c>
      <c r="H57" s="20">
        <v>-435</v>
      </c>
      <c r="I57" s="30">
        <v>7920</v>
      </c>
    </row>
    <row r="58" spans="1:9">
      <c r="A58" s="27">
        <v>45170</v>
      </c>
      <c r="B58" s="28" t="s">
        <v>6</v>
      </c>
      <c r="C58" s="20">
        <v>578</v>
      </c>
      <c r="D58" s="20">
        <v>557</v>
      </c>
      <c r="E58" s="20">
        <v>15</v>
      </c>
      <c r="F58" s="30">
        <v>8670</v>
      </c>
      <c r="G58" s="30">
        <v>8355</v>
      </c>
      <c r="H58" s="20">
        <v>315</v>
      </c>
      <c r="I58" s="30">
        <v>8055</v>
      </c>
    </row>
    <row r="59" spans="1:9">
      <c r="A59" s="27">
        <v>45200</v>
      </c>
      <c r="B59" s="28" t="s">
        <v>6</v>
      </c>
      <c r="C59" s="20">
        <v>514</v>
      </c>
      <c r="D59" s="20">
        <v>505</v>
      </c>
      <c r="E59" s="20">
        <v>15</v>
      </c>
      <c r="F59" s="30">
        <v>7710</v>
      </c>
      <c r="G59" s="30">
        <v>7575</v>
      </c>
      <c r="H59" s="20">
        <v>135</v>
      </c>
      <c r="I59" s="30">
        <v>8355</v>
      </c>
    </row>
    <row r="60" spans="1:9">
      <c r="A60" s="27">
        <v>45231</v>
      </c>
      <c r="B60" s="28" t="s">
        <v>6</v>
      </c>
      <c r="C60" s="20">
        <v>589</v>
      </c>
      <c r="D60" s="20">
        <v>578</v>
      </c>
      <c r="E60" s="20">
        <v>15</v>
      </c>
      <c r="F60" s="30">
        <v>8835</v>
      </c>
      <c r="G60" s="30">
        <v>8670</v>
      </c>
      <c r="H60" s="20">
        <v>165</v>
      </c>
      <c r="I60" s="30">
        <v>7575</v>
      </c>
    </row>
    <row r="61" spans="1:9">
      <c r="A61" s="27">
        <v>45261</v>
      </c>
      <c r="B61" s="28" t="s">
        <v>6</v>
      </c>
      <c r="C61" s="20">
        <v>541</v>
      </c>
      <c r="D61" s="20">
        <v>498</v>
      </c>
      <c r="E61" s="20">
        <v>15</v>
      </c>
      <c r="F61" s="30">
        <v>8115</v>
      </c>
      <c r="G61" s="30">
        <v>7470</v>
      </c>
      <c r="H61" s="20">
        <v>645</v>
      </c>
      <c r="I61" s="30">
        <v>8670</v>
      </c>
    </row>
    <row r="62" spans="1:9">
      <c r="A62" s="27">
        <v>45292</v>
      </c>
      <c r="B62" s="28" t="s">
        <v>6</v>
      </c>
      <c r="C62" s="20">
        <v>576</v>
      </c>
      <c r="D62" s="20">
        <v>584</v>
      </c>
      <c r="E62" s="20">
        <v>15</v>
      </c>
      <c r="F62" s="30">
        <v>8640</v>
      </c>
      <c r="G62" s="30">
        <v>8760</v>
      </c>
      <c r="H62" s="20">
        <v>-120</v>
      </c>
      <c r="I62" s="30">
        <v>7470</v>
      </c>
    </row>
    <row r="63" spans="1:9">
      <c r="A63" s="27">
        <v>45323</v>
      </c>
      <c r="B63" s="28" t="s">
        <v>6</v>
      </c>
      <c r="C63" s="20">
        <v>550</v>
      </c>
      <c r="D63" s="20">
        <v>557</v>
      </c>
      <c r="E63" s="20">
        <v>15</v>
      </c>
      <c r="F63" s="30">
        <v>8250</v>
      </c>
      <c r="G63" s="30">
        <v>8355</v>
      </c>
      <c r="H63" s="20">
        <v>-105</v>
      </c>
      <c r="I63" s="30">
        <v>8760</v>
      </c>
    </row>
    <row r="64" spans="1:9">
      <c r="A64" s="27">
        <v>45352</v>
      </c>
      <c r="B64" s="28" t="s">
        <v>6</v>
      </c>
      <c r="C64" s="20">
        <v>562</v>
      </c>
      <c r="D64" s="20">
        <v>562</v>
      </c>
      <c r="E64" s="20">
        <v>15</v>
      </c>
      <c r="F64" s="30">
        <v>8430</v>
      </c>
      <c r="G64" s="30">
        <v>8430</v>
      </c>
      <c r="H64" s="20">
        <v>0</v>
      </c>
      <c r="I64" s="30">
        <v>8355</v>
      </c>
    </row>
    <row r="65" spans="1:9">
      <c r="A65" s="27">
        <v>45383</v>
      </c>
      <c r="B65" s="28" t="s">
        <v>6</v>
      </c>
      <c r="C65" s="20">
        <v>595</v>
      </c>
      <c r="D65" s="20">
        <v>588</v>
      </c>
      <c r="E65" s="20">
        <v>15</v>
      </c>
      <c r="F65" s="30">
        <v>8925</v>
      </c>
      <c r="G65" s="30">
        <v>8820</v>
      </c>
      <c r="H65" s="20">
        <v>105</v>
      </c>
      <c r="I65" s="30">
        <v>8430</v>
      </c>
    </row>
    <row r="66" spans="1:9">
      <c r="A66" s="27">
        <v>45413</v>
      </c>
      <c r="B66" s="28" t="s">
        <v>6</v>
      </c>
      <c r="C66" s="20">
        <v>551</v>
      </c>
      <c r="D66" s="20">
        <v>509</v>
      </c>
      <c r="E66" s="20">
        <v>15</v>
      </c>
      <c r="F66" s="30">
        <v>8265</v>
      </c>
      <c r="G66" s="30">
        <v>7635</v>
      </c>
      <c r="H66" s="20">
        <v>630</v>
      </c>
      <c r="I66" s="30">
        <v>8820</v>
      </c>
    </row>
    <row r="67" spans="1:9">
      <c r="A67" s="27">
        <v>45444</v>
      </c>
      <c r="B67" s="28" t="s">
        <v>6</v>
      </c>
      <c r="C67" s="20">
        <v>595</v>
      </c>
      <c r="D67" s="20">
        <v>583</v>
      </c>
      <c r="E67" s="20">
        <v>15</v>
      </c>
      <c r="F67" s="30">
        <v>8925</v>
      </c>
      <c r="G67" s="30">
        <v>8745</v>
      </c>
      <c r="H67" s="20">
        <v>180</v>
      </c>
      <c r="I67" s="30">
        <v>7635</v>
      </c>
    </row>
    <row r="68" spans="1:9">
      <c r="A68" s="27">
        <v>45474</v>
      </c>
      <c r="B68" s="28" t="s">
        <v>6</v>
      </c>
      <c r="C68" s="20">
        <v>503</v>
      </c>
      <c r="D68" s="20">
        <v>493</v>
      </c>
      <c r="E68" s="20">
        <v>15</v>
      </c>
      <c r="F68" s="30">
        <v>7545</v>
      </c>
      <c r="G68" s="30">
        <v>7395</v>
      </c>
      <c r="H68" s="20">
        <v>150</v>
      </c>
      <c r="I68" s="30">
        <v>8745</v>
      </c>
    </row>
    <row r="69" spans="1:9">
      <c r="A69" s="27">
        <v>45505</v>
      </c>
      <c r="B69" s="28" t="s">
        <v>6</v>
      </c>
      <c r="C69" s="20">
        <v>593</v>
      </c>
      <c r="D69" s="20">
        <v>569</v>
      </c>
      <c r="E69" s="20">
        <v>15</v>
      </c>
      <c r="F69" s="30">
        <v>8895</v>
      </c>
      <c r="G69" s="30">
        <v>8535</v>
      </c>
      <c r="H69" s="20">
        <v>360</v>
      </c>
      <c r="I69" s="30">
        <v>7395</v>
      </c>
    </row>
    <row r="70" spans="1:9">
      <c r="A70" s="27">
        <v>45536</v>
      </c>
      <c r="B70" s="28" t="s">
        <v>6</v>
      </c>
      <c r="C70" s="20">
        <v>522</v>
      </c>
      <c r="D70" s="20">
        <v>518</v>
      </c>
      <c r="E70" s="20">
        <v>15</v>
      </c>
      <c r="F70" s="30">
        <v>7830</v>
      </c>
      <c r="G70" s="30">
        <v>7770</v>
      </c>
      <c r="H70" s="20">
        <v>60</v>
      </c>
      <c r="I70" s="30">
        <v>8535</v>
      </c>
    </row>
    <row r="71" spans="1:9">
      <c r="A71" s="27">
        <v>45566</v>
      </c>
      <c r="B71" s="28" t="s">
        <v>6</v>
      </c>
      <c r="C71" s="20">
        <v>514</v>
      </c>
      <c r="D71" s="20">
        <v>526</v>
      </c>
      <c r="E71" s="20">
        <v>15</v>
      </c>
      <c r="F71" s="30">
        <v>7710</v>
      </c>
      <c r="G71" s="30">
        <v>7890</v>
      </c>
      <c r="H71" s="20">
        <v>-180</v>
      </c>
      <c r="I71" s="30">
        <v>7770</v>
      </c>
    </row>
    <row r="72" spans="1:9">
      <c r="A72" s="27">
        <v>45597</v>
      </c>
      <c r="B72" s="28" t="s">
        <v>6</v>
      </c>
      <c r="C72" s="20">
        <v>542</v>
      </c>
      <c r="D72" s="20">
        <v>598</v>
      </c>
      <c r="E72" s="20">
        <v>15</v>
      </c>
      <c r="F72" s="30">
        <v>8130</v>
      </c>
      <c r="G72" s="30">
        <v>8970</v>
      </c>
      <c r="H72" s="20">
        <v>-840</v>
      </c>
      <c r="I72" s="30">
        <v>7890</v>
      </c>
    </row>
    <row r="73" spans="1:9">
      <c r="A73" s="27">
        <v>45627</v>
      </c>
      <c r="B73" s="28" t="s">
        <v>6</v>
      </c>
      <c r="C73" s="20">
        <v>528</v>
      </c>
      <c r="D73" s="20">
        <v>533</v>
      </c>
      <c r="E73" s="20">
        <v>15</v>
      </c>
      <c r="F73" s="30">
        <v>7920</v>
      </c>
      <c r="G73" s="30">
        <v>7995</v>
      </c>
      <c r="H73" s="20">
        <v>-75</v>
      </c>
      <c r="I73" s="30">
        <v>8970</v>
      </c>
    </row>
    <row r="83" spans="5:9">
      <c r="E83" s="31" t="s">
        <v>1</v>
      </c>
      <c r="F83" s="32" t="s">
        <v>54</v>
      </c>
      <c r="G83" s="32" t="s">
        <v>55</v>
      </c>
      <c r="H83" s="31" t="s">
        <v>56</v>
      </c>
      <c r="I83" s="32" t="s">
        <v>57</v>
      </c>
    </row>
    <row r="84" spans="5:9">
      <c r="E84" s="20" t="s">
        <v>4</v>
      </c>
      <c r="F84" s="30">
        <f>SUMIFS(F:F, B:B, "SKU_A")</f>
        <v>132050</v>
      </c>
      <c r="G84" s="30">
        <f>SUMIFS(G:G, B:B, "SKU_A")</f>
        <v>133130</v>
      </c>
      <c r="H84" s="20">
        <f>SUMIFS(H:H, B:B, "SKU_A")</f>
        <v>-1080</v>
      </c>
      <c r="I84" s="30">
        <f>SUMIFS(I:I, B:B, "SKU_A")</f>
        <v>127820</v>
      </c>
    </row>
    <row r="85" spans="5:9">
      <c r="E85" s="20" t="s">
        <v>5</v>
      </c>
      <c r="F85" s="30">
        <f>SUMIFS(F:F,B:B,"SKU_B")</f>
        <v>158004</v>
      </c>
      <c r="G85" s="30">
        <f>SUMIFS(G:G, B:B, "SKU_B")</f>
        <v>156576</v>
      </c>
      <c r="H85" s="20">
        <f>SUMIFS(H:H, B:B, "SKU_B")</f>
        <v>1428</v>
      </c>
      <c r="I85" s="30">
        <f>SUMIFS(I:I, B:B, "SKU_B")</f>
        <v>149676</v>
      </c>
    </row>
    <row r="86" spans="5:9">
      <c r="E86" s="20" t="s">
        <v>6</v>
      </c>
      <c r="F86" s="30">
        <f>SUMIFS(F:F, B:B, "SKU_C")</f>
        <v>196080</v>
      </c>
      <c r="G86" s="30">
        <f>SUMIFS(G:G, B:B, "SKU_C")</f>
        <v>195075</v>
      </c>
      <c r="H86" s="20">
        <f>SUMIFS(H:H, B:B, "SKU_C")</f>
        <v>1005</v>
      </c>
      <c r="I86" s="30">
        <f>SUMIFS(I:I, B:B, "SKU_C")</f>
        <v>187080</v>
      </c>
    </row>
  </sheetData>
  <pageMargins left="0.7" right="0.7" top="0.75" bottom="0.75" header="0.3" footer="0.3"/>
  <drawing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4DACF-88D8-7F41-A0F9-B3057B49FE82}">
  <dimension ref="A3:D7"/>
  <sheetViews>
    <sheetView workbookViewId="0">
      <selection activeCell="B30" sqref="B30"/>
    </sheetView>
  </sheetViews>
  <sheetFormatPr baseColWidth="10" defaultRowHeight="16"/>
  <cols>
    <col min="1" max="1" width="13" bestFit="1" customWidth="1"/>
    <col min="2" max="2" width="22.6640625" style="25" bestFit="1" customWidth="1"/>
    <col min="3" max="3" width="20.5" style="25" bestFit="1" customWidth="1"/>
    <col min="4" max="4" width="22.6640625" bestFit="1" customWidth="1"/>
  </cols>
  <sheetData>
    <row r="3" spans="1:4">
      <c r="A3" s="12" t="s">
        <v>14</v>
      </c>
      <c r="B3" s="25" t="s">
        <v>53</v>
      </c>
      <c r="C3" s="25" t="s">
        <v>52</v>
      </c>
      <c r="D3" t="s">
        <v>51</v>
      </c>
    </row>
    <row r="4" spans="1:4">
      <c r="A4" s="13" t="s">
        <v>4</v>
      </c>
      <c r="B4" s="25">
        <v>132050</v>
      </c>
      <c r="C4" s="25">
        <v>133130</v>
      </c>
      <c r="D4" s="18">
        <v>-1080</v>
      </c>
    </row>
    <row r="5" spans="1:4">
      <c r="A5" s="13" t="s">
        <v>5</v>
      </c>
      <c r="B5" s="25">
        <v>158004</v>
      </c>
      <c r="C5" s="25">
        <v>156576</v>
      </c>
      <c r="D5" s="18">
        <v>1428</v>
      </c>
    </row>
    <row r="6" spans="1:4">
      <c r="A6" s="13" t="s">
        <v>6</v>
      </c>
      <c r="B6" s="25">
        <v>196080</v>
      </c>
      <c r="C6" s="25">
        <v>195075</v>
      </c>
      <c r="D6" s="18">
        <v>1005</v>
      </c>
    </row>
    <row r="7" spans="1:4">
      <c r="A7" s="13" t="s">
        <v>15</v>
      </c>
      <c r="B7" s="25">
        <v>486134</v>
      </c>
      <c r="C7" s="25">
        <v>484781</v>
      </c>
      <c r="D7" s="18">
        <v>1353</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37872-EE59-C749-ABB0-2F5371711822}">
  <dimension ref="A1:K4"/>
  <sheetViews>
    <sheetView workbookViewId="0">
      <selection activeCell="J19" sqref="J19"/>
    </sheetView>
  </sheetViews>
  <sheetFormatPr baseColWidth="10" defaultRowHeight="16"/>
  <cols>
    <col min="1" max="1" width="10.83203125" style="20"/>
    <col min="2" max="2" width="14" style="30" customWidth="1"/>
    <col min="3" max="3" width="13.6640625" style="30" customWidth="1"/>
    <col min="4" max="4" width="15.1640625" style="20" customWidth="1"/>
    <col min="5" max="5" width="14.1640625" style="20" customWidth="1"/>
    <col min="6" max="6" width="19.83203125" style="30" customWidth="1"/>
    <col min="7" max="7" width="17.83203125" style="30" customWidth="1"/>
    <col min="8" max="8" width="18.5" style="30" customWidth="1"/>
    <col min="9" max="9" width="14.1640625" style="30" customWidth="1"/>
    <col min="10" max="10" width="17.83203125" style="30" customWidth="1"/>
    <col min="11" max="11" width="15.5" style="30" customWidth="1"/>
  </cols>
  <sheetData>
    <row r="1" spans="1:11">
      <c r="A1" s="31" t="s">
        <v>1</v>
      </c>
      <c r="B1" s="32" t="s">
        <v>67</v>
      </c>
      <c r="C1" s="32" t="s">
        <v>58</v>
      </c>
      <c r="D1" s="31" t="s">
        <v>59</v>
      </c>
      <c r="E1" s="31" t="s">
        <v>60</v>
      </c>
      <c r="F1" s="32" t="s">
        <v>61</v>
      </c>
      <c r="G1" s="32" t="s">
        <v>62</v>
      </c>
      <c r="H1" s="32" t="s">
        <v>63</v>
      </c>
      <c r="I1" s="32" t="s">
        <v>64</v>
      </c>
      <c r="J1" s="32" t="s">
        <v>65</v>
      </c>
      <c r="K1" s="32" t="s">
        <v>66</v>
      </c>
    </row>
    <row r="2" spans="1:11">
      <c r="A2" s="20" t="s">
        <v>4</v>
      </c>
      <c r="B2" s="30">
        <v>250</v>
      </c>
      <c r="C2" s="30">
        <v>20</v>
      </c>
      <c r="D2" s="20">
        <f>SUMIFS(Forecast_Accuracy_Simulation_Ba!D:D, Forecast_Accuracy_Simulation_Ba!B:B, "SKU_A")</f>
        <v>12001</v>
      </c>
      <c r="E2" s="20">
        <f>SUMIFS(ForecastData[Actual], ForecastData[SKU], "SKU_A")</f>
        <v>12001</v>
      </c>
      <c r="F2" s="30">
        <f>D2*B2</f>
        <v>3000250</v>
      </c>
      <c r="G2" s="30">
        <f>E2*B2</f>
        <v>3000250</v>
      </c>
      <c r="H2" s="30">
        <f>D2*C2</f>
        <v>240020</v>
      </c>
      <c r="I2" s="30">
        <f>E2*C2</f>
        <v>240020</v>
      </c>
      <c r="J2" s="30">
        <f>F2-H2</f>
        <v>2760230</v>
      </c>
      <c r="K2" s="30">
        <f>G2-I2</f>
        <v>2760230</v>
      </c>
    </row>
    <row r="3" spans="1:11">
      <c r="A3" s="20" t="s">
        <v>5</v>
      </c>
      <c r="B3" s="30">
        <v>280</v>
      </c>
      <c r="C3" s="30">
        <v>22</v>
      </c>
      <c r="D3" s="20">
        <f>SUMIFS(Forecast_Accuracy_Simulation_Ba!D:D, Forecast_Accuracy_Simulation_Ba!B:B, "SKU_B")</f>
        <v>13675</v>
      </c>
      <c r="E3" s="20">
        <f>SUMIFS(ForecastData[Actual], ForecastData[SKU], "SKU_B")</f>
        <v>13675</v>
      </c>
      <c r="F3" s="30">
        <f t="shared" ref="F3:F4" si="0">D3*B3</f>
        <v>3829000</v>
      </c>
      <c r="G3" s="30">
        <f t="shared" ref="G3:G4" si="1">E3*B3</f>
        <v>3829000</v>
      </c>
      <c r="H3" s="30">
        <f t="shared" ref="H3:H4" si="2">D3*C3</f>
        <v>300850</v>
      </c>
      <c r="I3" s="30">
        <f t="shared" ref="I3:I4" si="3">E3*C3</f>
        <v>300850</v>
      </c>
      <c r="J3" s="30">
        <f t="shared" ref="J3:J4" si="4">F3-H3</f>
        <v>3528150</v>
      </c>
      <c r="K3" s="30">
        <f t="shared" ref="K3:K4" si="5">G3-I3</f>
        <v>3528150</v>
      </c>
    </row>
    <row r="4" spans="1:11">
      <c r="A4" s="20" t="s">
        <v>6</v>
      </c>
      <c r="B4" s="30">
        <v>300</v>
      </c>
      <c r="C4" s="30">
        <v>25</v>
      </c>
      <c r="D4" s="20">
        <f>SUMIFS(Forecast_Accuracy_Simulation_Ba!D:D, Forecast_Accuracy_Simulation_Ba!B:B, "SKU_C")</f>
        <v>13030</v>
      </c>
      <c r="E4" s="20">
        <f>SUMIFS(ForecastData[Actual], ForecastData[SKU], "SKU_C")</f>
        <v>13030</v>
      </c>
      <c r="F4" s="30">
        <f t="shared" si="0"/>
        <v>3909000</v>
      </c>
      <c r="G4" s="30">
        <f t="shared" si="1"/>
        <v>3909000</v>
      </c>
      <c r="H4" s="30">
        <f t="shared" si="2"/>
        <v>325750</v>
      </c>
      <c r="I4" s="30">
        <f t="shared" si="3"/>
        <v>325750</v>
      </c>
      <c r="J4" s="30">
        <f t="shared" si="4"/>
        <v>3583250</v>
      </c>
      <c r="K4" s="30">
        <f t="shared" si="5"/>
        <v>3583250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9417E-1954-7E49-8C78-3B0EF48905AF}">
  <dimension ref="A1:D4"/>
  <sheetViews>
    <sheetView workbookViewId="0">
      <selection activeCell="N36" sqref="N36"/>
    </sheetView>
  </sheetViews>
  <sheetFormatPr baseColWidth="10" defaultRowHeight="16"/>
  <cols>
    <col min="1" max="1" width="10.83203125" style="4" customWidth="1"/>
    <col min="2" max="2" width="16.33203125" style="8" customWidth="1"/>
    <col min="3" max="3" width="18.83203125" style="6" customWidth="1"/>
    <col min="4" max="4" width="25.33203125" style="11" customWidth="1"/>
  </cols>
  <sheetData>
    <row r="1" spans="1:4" ht="18">
      <c r="A1" s="33" t="s">
        <v>1</v>
      </c>
      <c r="B1" s="34" t="s">
        <v>10</v>
      </c>
      <c r="C1" s="35" t="s">
        <v>11</v>
      </c>
      <c r="D1" s="36" t="s">
        <v>12</v>
      </c>
    </row>
    <row r="2" spans="1:4">
      <c r="A2" s="4" t="s">
        <v>4</v>
      </c>
      <c r="B2" s="8">
        <f>AVERAGEIFS(ForecastData[APE_Value], ForecastData[SKU], A2)</f>
        <v>4.1217908792200421E-2</v>
      </c>
      <c r="C2" s="6">
        <f>AVERAGEIFS(ForecastData[Error], ForecastData[SKU], A2)</f>
        <v>4.125</v>
      </c>
      <c r="D2" s="11">
        <f>1 - B2</f>
        <v>0.95878209120779956</v>
      </c>
    </row>
    <row r="3" spans="1:4">
      <c r="A3" s="4" t="s">
        <v>5</v>
      </c>
      <c r="B3" s="8">
        <f>AVERAGEIFS(ForecastData[APE_Value], ForecastData[SKU], A3)</f>
        <v>3.8530436320863115E-2</v>
      </c>
      <c r="C3" s="6">
        <f>AVERAGEIFS(ForecastData[Error], ForecastData[SKU], A3)</f>
        <v>-2</v>
      </c>
      <c r="D3" s="11">
        <f t="shared" ref="D3:D4" si="0">1 - B3</f>
        <v>0.96146956367913683</v>
      </c>
    </row>
    <row r="4" spans="1:4">
      <c r="A4" s="4" t="s">
        <v>6</v>
      </c>
      <c r="B4" s="8">
        <f>AVERAGEIFS(ForecastData[APE_Value], ForecastData[SKU], A4)</f>
        <v>4.8186239327551582E-2</v>
      </c>
      <c r="C4" s="6">
        <f>AVERAGEIFS(ForecastData[Error], ForecastData[SKU], A4)</f>
        <v>10.166666666666666</v>
      </c>
      <c r="D4" s="11">
        <f t="shared" si="0"/>
        <v>0.95181376067244838</v>
      </c>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D2F21-07B3-004F-90AD-67CAA73915A5}">
  <dimension ref="A1:H73"/>
  <sheetViews>
    <sheetView workbookViewId="0">
      <selection activeCell="D41" sqref="D41"/>
    </sheetView>
  </sheetViews>
  <sheetFormatPr baseColWidth="10" defaultRowHeight="16"/>
  <cols>
    <col min="1" max="1" width="10.83203125" style="3"/>
    <col min="2" max="2" width="10.83203125" style="4"/>
    <col min="3" max="4" width="10.83203125" style="5"/>
    <col min="5" max="5" width="10.83203125" style="6"/>
    <col min="6" max="6" width="11.5" style="6" customWidth="1"/>
    <col min="7" max="7" width="10.83203125" style="9"/>
    <col min="8" max="8" width="10.83203125" style="2"/>
  </cols>
  <sheetData>
    <row r="1" spans="1:8" ht="17">
      <c r="A1" s="3" t="s">
        <v>0</v>
      </c>
      <c r="B1" s="4" t="s">
        <v>1</v>
      </c>
      <c r="C1" s="5" t="s">
        <v>2</v>
      </c>
      <c r="D1" s="5" t="s">
        <v>3</v>
      </c>
      <c r="E1" s="6" t="s">
        <v>7</v>
      </c>
      <c r="F1" s="6" t="s">
        <v>8</v>
      </c>
      <c r="G1" s="9" t="s">
        <v>9</v>
      </c>
      <c r="H1" s="10" t="s">
        <v>13</v>
      </c>
    </row>
    <row r="2" spans="1:8" hidden="1">
      <c r="A2" s="3">
        <v>44927</v>
      </c>
      <c r="B2" s="4" t="s">
        <v>4</v>
      </c>
      <c r="C2" s="5">
        <v>530</v>
      </c>
      <c r="D2" s="5">
        <v>523</v>
      </c>
      <c r="E2" s="5">
        <f>C2-D2</f>
        <v>7</v>
      </c>
      <c r="F2" s="6">
        <f>ABS(E2)</f>
        <v>7</v>
      </c>
      <c r="G2" s="9">
        <f>F2/D2</f>
        <v>1.338432122370937E-2</v>
      </c>
      <c r="H2" s="5">
        <f>F2/D2</f>
        <v>1.338432122370937E-2</v>
      </c>
    </row>
    <row r="3" spans="1:8" hidden="1">
      <c r="A3" s="3">
        <v>44958</v>
      </c>
      <c r="B3" s="4" t="s">
        <v>4</v>
      </c>
      <c r="C3" s="5">
        <v>571</v>
      </c>
      <c r="D3" s="5">
        <v>522</v>
      </c>
      <c r="E3" s="5">
        <f t="shared" ref="E3:E66" si="0">C3-D3</f>
        <v>49</v>
      </c>
      <c r="F3" s="6">
        <f t="shared" ref="F3:F66" si="1">ABS(E3)</f>
        <v>49</v>
      </c>
      <c r="G3" s="9">
        <f t="shared" ref="G3:G66" si="2">F3/D3</f>
        <v>9.3869731800766285E-2</v>
      </c>
      <c r="H3" s="5">
        <f t="shared" ref="H3:H66" si="3">F3/D3</f>
        <v>9.3869731800766285E-2</v>
      </c>
    </row>
    <row r="4" spans="1:8" hidden="1">
      <c r="A4" s="3">
        <v>44986</v>
      </c>
      <c r="B4" s="4" t="s">
        <v>4</v>
      </c>
      <c r="C4" s="5">
        <v>511</v>
      </c>
      <c r="D4" s="5">
        <v>498</v>
      </c>
      <c r="E4" s="5">
        <f t="shared" si="0"/>
        <v>13</v>
      </c>
      <c r="F4" s="6">
        <f t="shared" si="1"/>
        <v>13</v>
      </c>
      <c r="G4" s="9">
        <f t="shared" si="2"/>
        <v>2.6104417670682729E-2</v>
      </c>
      <c r="H4" s="5">
        <f t="shared" si="3"/>
        <v>2.6104417670682729E-2</v>
      </c>
    </row>
    <row r="5" spans="1:8" hidden="1">
      <c r="A5" s="3">
        <v>45017</v>
      </c>
      <c r="B5" s="4" t="s">
        <v>4</v>
      </c>
      <c r="C5" s="5">
        <v>501</v>
      </c>
      <c r="D5" s="5">
        <v>499</v>
      </c>
      <c r="E5" s="5">
        <f t="shared" si="0"/>
        <v>2</v>
      </c>
      <c r="F5" s="6">
        <f t="shared" si="1"/>
        <v>2</v>
      </c>
      <c r="G5" s="9">
        <f t="shared" si="2"/>
        <v>4.0080160320641279E-3</v>
      </c>
      <c r="H5" s="5">
        <f t="shared" si="3"/>
        <v>4.0080160320641279E-3</v>
      </c>
    </row>
    <row r="6" spans="1:8" hidden="1">
      <c r="A6" s="3">
        <v>45047</v>
      </c>
      <c r="B6" s="4" t="s">
        <v>4</v>
      </c>
      <c r="C6" s="5">
        <v>429</v>
      </c>
      <c r="D6" s="5">
        <v>474</v>
      </c>
      <c r="E6" s="5">
        <f t="shared" si="0"/>
        <v>-45</v>
      </c>
      <c r="F6" s="6">
        <f t="shared" si="1"/>
        <v>45</v>
      </c>
      <c r="G6" s="9">
        <f t="shared" si="2"/>
        <v>9.49367088607595E-2</v>
      </c>
      <c r="H6" s="5">
        <f t="shared" si="3"/>
        <v>9.49367088607595E-2</v>
      </c>
    </row>
    <row r="7" spans="1:8" hidden="1">
      <c r="A7" s="3">
        <v>45078</v>
      </c>
      <c r="B7" s="4" t="s">
        <v>4</v>
      </c>
      <c r="C7" s="5">
        <v>476</v>
      </c>
      <c r="D7" s="5">
        <v>455</v>
      </c>
      <c r="E7" s="5">
        <f t="shared" si="0"/>
        <v>21</v>
      </c>
      <c r="F7" s="6">
        <f t="shared" si="1"/>
        <v>21</v>
      </c>
      <c r="G7" s="9">
        <f t="shared" si="2"/>
        <v>4.6153846153846156E-2</v>
      </c>
      <c r="H7" s="5">
        <f t="shared" si="3"/>
        <v>4.6153846153846156E-2</v>
      </c>
    </row>
    <row r="8" spans="1:8" hidden="1">
      <c r="A8" s="3">
        <v>45108</v>
      </c>
      <c r="B8" s="4" t="s">
        <v>4</v>
      </c>
      <c r="C8" s="5">
        <v>522</v>
      </c>
      <c r="D8" s="5">
        <v>547</v>
      </c>
      <c r="E8" s="5">
        <f t="shared" si="0"/>
        <v>-25</v>
      </c>
      <c r="F8" s="6">
        <f t="shared" si="1"/>
        <v>25</v>
      </c>
      <c r="G8" s="9">
        <f t="shared" si="2"/>
        <v>4.5703839122486288E-2</v>
      </c>
      <c r="H8" s="5">
        <f t="shared" si="3"/>
        <v>4.5703839122486288E-2</v>
      </c>
    </row>
    <row r="9" spans="1:8" hidden="1">
      <c r="A9" s="3">
        <v>45139</v>
      </c>
      <c r="B9" s="4" t="s">
        <v>4</v>
      </c>
      <c r="C9" s="5">
        <v>494</v>
      </c>
      <c r="D9" s="5">
        <v>509</v>
      </c>
      <c r="E9" s="5">
        <f t="shared" si="0"/>
        <v>-15</v>
      </c>
      <c r="F9" s="6">
        <f t="shared" si="1"/>
        <v>15</v>
      </c>
      <c r="G9" s="9">
        <f t="shared" si="2"/>
        <v>2.9469548133595286E-2</v>
      </c>
      <c r="H9" s="5">
        <f t="shared" si="3"/>
        <v>2.9469548133595286E-2</v>
      </c>
    </row>
    <row r="10" spans="1:8" hidden="1">
      <c r="A10" s="3">
        <v>45170</v>
      </c>
      <c r="B10" s="4" t="s">
        <v>4</v>
      </c>
      <c r="C10" s="5">
        <v>494</v>
      </c>
      <c r="D10" s="5">
        <v>495</v>
      </c>
      <c r="E10" s="5">
        <f t="shared" si="0"/>
        <v>-1</v>
      </c>
      <c r="F10" s="6">
        <f t="shared" si="1"/>
        <v>1</v>
      </c>
      <c r="G10" s="9">
        <f t="shared" si="2"/>
        <v>2.0202020202020202E-3</v>
      </c>
      <c r="H10" s="5">
        <f t="shared" si="3"/>
        <v>2.0202020202020202E-3</v>
      </c>
    </row>
    <row r="11" spans="1:8" hidden="1">
      <c r="A11" s="3">
        <v>45200</v>
      </c>
      <c r="B11" s="4" t="s">
        <v>4</v>
      </c>
      <c r="C11" s="5">
        <v>458</v>
      </c>
      <c r="D11" s="5">
        <v>466</v>
      </c>
      <c r="E11" s="5">
        <f t="shared" si="0"/>
        <v>-8</v>
      </c>
      <c r="F11" s="6">
        <f t="shared" si="1"/>
        <v>8</v>
      </c>
      <c r="G11" s="9">
        <f t="shared" si="2"/>
        <v>1.7167381974248927E-2</v>
      </c>
      <c r="H11" s="5">
        <f t="shared" si="3"/>
        <v>1.7167381974248927E-2</v>
      </c>
    </row>
    <row r="12" spans="1:8" hidden="1">
      <c r="A12" s="3">
        <v>45231</v>
      </c>
      <c r="B12" s="4" t="s">
        <v>4</v>
      </c>
      <c r="C12" s="5">
        <v>448</v>
      </c>
      <c r="D12" s="5">
        <v>494</v>
      </c>
      <c r="E12" s="5">
        <f t="shared" si="0"/>
        <v>-46</v>
      </c>
      <c r="F12" s="6">
        <f t="shared" si="1"/>
        <v>46</v>
      </c>
      <c r="G12" s="9">
        <f t="shared" si="2"/>
        <v>9.3117408906882596E-2</v>
      </c>
      <c r="H12" s="5">
        <f t="shared" si="3"/>
        <v>9.3117408906882596E-2</v>
      </c>
    </row>
    <row r="13" spans="1:8" hidden="1">
      <c r="A13" s="3">
        <v>45261</v>
      </c>
      <c r="B13" s="4" t="s">
        <v>4</v>
      </c>
      <c r="C13" s="5">
        <v>477</v>
      </c>
      <c r="D13" s="5">
        <v>500</v>
      </c>
      <c r="E13" s="5">
        <f t="shared" si="0"/>
        <v>-23</v>
      </c>
      <c r="F13" s="6">
        <f t="shared" si="1"/>
        <v>23</v>
      </c>
      <c r="G13" s="9">
        <f t="shared" si="2"/>
        <v>4.5999999999999999E-2</v>
      </c>
      <c r="H13" s="5">
        <f t="shared" si="3"/>
        <v>4.5999999999999999E-2</v>
      </c>
    </row>
    <row r="14" spans="1:8" hidden="1">
      <c r="A14" s="3">
        <v>45292</v>
      </c>
      <c r="B14" s="4" t="s">
        <v>4</v>
      </c>
      <c r="C14" s="5">
        <v>541</v>
      </c>
      <c r="D14" s="5">
        <v>514</v>
      </c>
      <c r="E14" s="5">
        <f t="shared" si="0"/>
        <v>27</v>
      </c>
      <c r="F14" s="6">
        <f t="shared" si="1"/>
        <v>27</v>
      </c>
      <c r="G14" s="9">
        <f t="shared" si="2"/>
        <v>5.2529182879377433E-2</v>
      </c>
      <c r="H14" s="5">
        <f t="shared" si="3"/>
        <v>5.2529182879377433E-2</v>
      </c>
    </row>
    <row r="15" spans="1:8" hidden="1">
      <c r="A15" s="3">
        <v>45323</v>
      </c>
      <c r="B15" s="4" t="s">
        <v>4</v>
      </c>
      <c r="C15" s="5">
        <v>526</v>
      </c>
      <c r="D15" s="5">
        <v>506</v>
      </c>
      <c r="E15" s="5">
        <f t="shared" si="0"/>
        <v>20</v>
      </c>
      <c r="F15" s="6">
        <f t="shared" si="1"/>
        <v>20</v>
      </c>
      <c r="G15" s="9">
        <f t="shared" si="2"/>
        <v>3.9525691699604744E-2</v>
      </c>
      <c r="H15" s="5">
        <f t="shared" si="3"/>
        <v>3.9525691699604744E-2</v>
      </c>
    </row>
    <row r="16" spans="1:8" hidden="1">
      <c r="A16" s="3">
        <v>45352</v>
      </c>
      <c r="B16" s="4" t="s">
        <v>4</v>
      </c>
      <c r="C16" s="5">
        <v>504</v>
      </c>
      <c r="D16" s="5">
        <v>484</v>
      </c>
      <c r="E16" s="5">
        <f t="shared" si="0"/>
        <v>20</v>
      </c>
      <c r="F16" s="6">
        <f t="shared" si="1"/>
        <v>20</v>
      </c>
      <c r="G16" s="9">
        <f t="shared" si="2"/>
        <v>4.1322314049586778E-2</v>
      </c>
      <c r="H16" s="5">
        <f t="shared" si="3"/>
        <v>4.1322314049586778E-2</v>
      </c>
    </row>
    <row r="17" spans="1:8" hidden="1">
      <c r="A17" s="3">
        <v>45383</v>
      </c>
      <c r="B17" s="4" t="s">
        <v>4</v>
      </c>
      <c r="C17" s="5">
        <v>514</v>
      </c>
      <c r="D17" s="5">
        <v>509</v>
      </c>
      <c r="E17" s="5">
        <f t="shared" si="0"/>
        <v>5</v>
      </c>
      <c r="F17" s="6">
        <f t="shared" si="1"/>
        <v>5</v>
      </c>
      <c r="G17" s="9">
        <f t="shared" si="2"/>
        <v>9.823182711198428E-3</v>
      </c>
      <c r="H17" s="5">
        <f t="shared" si="3"/>
        <v>9.823182711198428E-3</v>
      </c>
    </row>
    <row r="18" spans="1:8" hidden="1">
      <c r="A18" s="3">
        <v>45413</v>
      </c>
      <c r="B18" s="4" t="s">
        <v>4</v>
      </c>
      <c r="C18" s="5">
        <v>497</v>
      </c>
      <c r="D18" s="5">
        <v>478</v>
      </c>
      <c r="E18" s="5">
        <f t="shared" si="0"/>
        <v>19</v>
      </c>
      <c r="F18" s="6">
        <f t="shared" si="1"/>
        <v>19</v>
      </c>
      <c r="G18" s="9">
        <f t="shared" si="2"/>
        <v>3.9748953974895397E-2</v>
      </c>
      <c r="H18" s="5">
        <f t="shared" si="3"/>
        <v>3.9748953974895397E-2</v>
      </c>
    </row>
    <row r="19" spans="1:8" hidden="1">
      <c r="A19" s="3">
        <v>45444</v>
      </c>
      <c r="B19" s="4" t="s">
        <v>4</v>
      </c>
      <c r="C19" s="5">
        <v>486</v>
      </c>
      <c r="D19" s="5">
        <v>479</v>
      </c>
      <c r="E19" s="5">
        <f t="shared" si="0"/>
        <v>7</v>
      </c>
      <c r="F19" s="6">
        <f t="shared" si="1"/>
        <v>7</v>
      </c>
      <c r="G19" s="9">
        <f t="shared" si="2"/>
        <v>1.4613778705636743E-2</v>
      </c>
      <c r="H19" s="5">
        <f t="shared" si="3"/>
        <v>1.4613778705636743E-2</v>
      </c>
    </row>
    <row r="20" spans="1:8" hidden="1">
      <c r="A20" s="3">
        <v>45474</v>
      </c>
      <c r="B20" s="4" t="s">
        <v>4</v>
      </c>
      <c r="C20" s="5">
        <v>492</v>
      </c>
      <c r="D20" s="5">
        <v>497</v>
      </c>
      <c r="E20" s="5">
        <f t="shared" si="0"/>
        <v>-5</v>
      </c>
      <c r="F20" s="6">
        <f t="shared" si="1"/>
        <v>5</v>
      </c>
      <c r="G20" s="9">
        <f t="shared" si="2"/>
        <v>1.0060362173038229E-2</v>
      </c>
      <c r="H20" s="5">
        <f t="shared" si="3"/>
        <v>1.0060362173038229E-2</v>
      </c>
    </row>
    <row r="21" spans="1:8" hidden="1">
      <c r="A21" s="3">
        <v>45505</v>
      </c>
      <c r="B21" s="4" t="s">
        <v>4</v>
      </c>
      <c r="C21" s="5">
        <v>540</v>
      </c>
      <c r="D21" s="5">
        <v>506</v>
      </c>
      <c r="E21" s="5">
        <f t="shared" si="0"/>
        <v>34</v>
      </c>
      <c r="F21" s="6">
        <f t="shared" si="1"/>
        <v>34</v>
      </c>
      <c r="G21" s="9">
        <f t="shared" si="2"/>
        <v>6.7193675889328064E-2</v>
      </c>
      <c r="H21" s="5">
        <f t="shared" si="3"/>
        <v>6.7193675889328064E-2</v>
      </c>
    </row>
    <row r="22" spans="1:8" hidden="1">
      <c r="A22" s="3">
        <v>45536</v>
      </c>
      <c r="B22" s="4" t="s">
        <v>4</v>
      </c>
      <c r="C22" s="5">
        <v>521</v>
      </c>
      <c r="D22" s="5">
        <v>528</v>
      </c>
      <c r="E22" s="5">
        <f t="shared" si="0"/>
        <v>-7</v>
      </c>
      <c r="F22" s="6">
        <f t="shared" si="1"/>
        <v>7</v>
      </c>
      <c r="G22" s="9">
        <f t="shared" si="2"/>
        <v>1.3257575757575758E-2</v>
      </c>
      <c r="H22" s="5">
        <f t="shared" si="3"/>
        <v>1.3257575757575758E-2</v>
      </c>
    </row>
    <row r="23" spans="1:8" hidden="1">
      <c r="A23" s="3">
        <v>45566</v>
      </c>
      <c r="B23" s="4" t="s">
        <v>4</v>
      </c>
      <c r="C23" s="5">
        <v>472</v>
      </c>
      <c r="D23" s="5">
        <v>495</v>
      </c>
      <c r="E23" s="5">
        <f t="shared" si="0"/>
        <v>-23</v>
      </c>
      <c r="F23" s="6">
        <f t="shared" si="1"/>
        <v>23</v>
      </c>
      <c r="G23" s="9">
        <f t="shared" si="2"/>
        <v>4.6464646464646465E-2</v>
      </c>
      <c r="H23" s="5">
        <f t="shared" si="3"/>
        <v>4.6464646464646465E-2</v>
      </c>
    </row>
    <row r="24" spans="1:8" hidden="1">
      <c r="A24" s="3">
        <v>45597</v>
      </c>
      <c r="B24" s="4" t="s">
        <v>4</v>
      </c>
      <c r="C24" s="5">
        <v>553</v>
      </c>
      <c r="D24" s="5">
        <v>517</v>
      </c>
      <c r="E24" s="5">
        <f t="shared" si="0"/>
        <v>36</v>
      </c>
      <c r="F24" s="6">
        <f t="shared" si="1"/>
        <v>36</v>
      </c>
      <c r="G24" s="9">
        <f t="shared" si="2"/>
        <v>6.9632495164410058E-2</v>
      </c>
      <c r="H24" s="5">
        <f t="shared" si="3"/>
        <v>6.9632495164410058E-2</v>
      </c>
    </row>
    <row r="25" spans="1:8" hidden="1">
      <c r="A25" s="3">
        <v>45627</v>
      </c>
      <c r="B25" s="4" t="s">
        <v>4</v>
      </c>
      <c r="C25" s="5">
        <v>543</v>
      </c>
      <c r="D25" s="5">
        <v>506</v>
      </c>
      <c r="E25" s="5">
        <f t="shared" si="0"/>
        <v>37</v>
      </c>
      <c r="F25" s="6">
        <f t="shared" si="1"/>
        <v>37</v>
      </c>
      <c r="G25" s="9">
        <f t="shared" si="2"/>
        <v>7.3122529644268769E-2</v>
      </c>
      <c r="H25" s="5">
        <f t="shared" si="3"/>
        <v>7.3122529644268769E-2</v>
      </c>
    </row>
    <row r="26" spans="1:8">
      <c r="A26" s="3">
        <v>44927</v>
      </c>
      <c r="B26" s="4" t="s">
        <v>5</v>
      </c>
      <c r="C26" s="5">
        <v>552</v>
      </c>
      <c r="D26" s="5">
        <f>580 * 0.8</f>
        <v>464</v>
      </c>
      <c r="E26" s="5">
        <f t="shared" si="0"/>
        <v>88</v>
      </c>
      <c r="F26" s="6">
        <f t="shared" si="1"/>
        <v>88</v>
      </c>
      <c r="G26" s="9">
        <f t="shared" si="2"/>
        <v>0.18965517241379309</v>
      </c>
      <c r="H26" s="5">
        <f t="shared" si="3"/>
        <v>0.18965517241379309</v>
      </c>
    </row>
    <row r="27" spans="1:8">
      <c r="A27" s="3">
        <v>44958</v>
      </c>
      <c r="B27" s="4" t="s">
        <v>5</v>
      </c>
      <c r="C27" s="5">
        <v>611</v>
      </c>
      <c r="D27" s="5">
        <f>569*0.8</f>
        <v>455.20000000000005</v>
      </c>
      <c r="E27" s="5">
        <f t="shared" si="0"/>
        <v>155.79999999999995</v>
      </c>
      <c r="F27" s="6">
        <f t="shared" si="1"/>
        <v>155.79999999999995</v>
      </c>
      <c r="G27" s="9">
        <f t="shared" si="2"/>
        <v>0.3422671353251317</v>
      </c>
      <c r="H27" s="5">
        <f t="shared" si="3"/>
        <v>0.3422671353251317</v>
      </c>
    </row>
    <row r="28" spans="1:8">
      <c r="A28" s="3">
        <v>44986</v>
      </c>
      <c r="B28" s="4" t="s">
        <v>5</v>
      </c>
      <c r="C28" s="5">
        <v>586</v>
      </c>
      <c r="D28" s="5">
        <f>586*0.8</f>
        <v>468.8</v>
      </c>
      <c r="E28" s="5">
        <f t="shared" si="0"/>
        <v>117.19999999999999</v>
      </c>
      <c r="F28" s="6">
        <f t="shared" si="1"/>
        <v>117.19999999999999</v>
      </c>
      <c r="G28" s="9">
        <f t="shared" si="2"/>
        <v>0.24999999999999997</v>
      </c>
      <c r="H28" s="5">
        <f t="shared" si="3"/>
        <v>0.24999999999999997</v>
      </c>
    </row>
    <row r="29" spans="1:8">
      <c r="A29" s="3">
        <v>45017</v>
      </c>
      <c r="B29" s="4" t="s">
        <v>5</v>
      </c>
      <c r="C29" s="5">
        <v>525</v>
      </c>
      <c r="D29" s="5">
        <v>575</v>
      </c>
      <c r="E29" s="5">
        <f t="shared" si="0"/>
        <v>-50</v>
      </c>
      <c r="F29" s="6">
        <f t="shared" si="1"/>
        <v>50</v>
      </c>
      <c r="G29" s="9">
        <f t="shared" si="2"/>
        <v>8.6956521739130432E-2</v>
      </c>
      <c r="H29" s="5">
        <f t="shared" si="3"/>
        <v>8.6956521739130432E-2</v>
      </c>
    </row>
    <row r="30" spans="1:8">
      <c r="A30" s="3">
        <v>45047</v>
      </c>
      <c r="B30" s="4" t="s">
        <v>5</v>
      </c>
      <c r="C30" s="5">
        <v>539</v>
      </c>
      <c r="D30" s="5">
        <v>571</v>
      </c>
      <c r="E30" s="5">
        <f t="shared" si="0"/>
        <v>-32</v>
      </c>
      <c r="F30" s="6">
        <f t="shared" si="1"/>
        <v>32</v>
      </c>
      <c r="G30" s="9">
        <f t="shared" si="2"/>
        <v>5.6042031523642732E-2</v>
      </c>
      <c r="H30" s="5">
        <f t="shared" si="3"/>
        <v>5.6042031523642732E-2</v>
      </c>
    </row>
    <row r="31" spans="1:8">
      <c r="A31" s="3">
        <v>45078</v>
      </c>
      <c r="B31" s="4" t="s">
        <v>5</v>
      </c>
      <c r="C31" s="5">
        <v>537</v>
      </c>
      <c r="D31" s="5">
        <v>566</v>
      </c>
      <c r="E31" s="5">
        <f t="shared" si="0"/>
        <v>-29</v>
      </c>
      <c r="F31" s="6">
        <f t="shared" si="1"/>
        <v>29</v>
      </c>
      <c r="G31" s="9">
        <f t="shared" si="2"/>
        <v>5.1236749116607777E-2</v>
      </c>
      <c r="H31" s="5">
        <f t="shared" si="3"/>
        <v>5.1236749116607777E-2</v>
      </c>
    </row>
    <row r="32" spans="1:8">
      <c r="A32" s="3">
        <v>45108</v>
      </c>
      <c r="B32" s="4" t="s">
        <v>5</v>
      </c>
      <c r="C32" s="5">
        <v>539</v>
      </c>
      <c r="D32" s="5">
        <v>536</v>
      </c>
      <c r="E32" s="5">
        <f t="shared" si="0"/>
        <v>3</v>
      </c>
      <c r="F32" s="6">
        <f t="shared" si="1"/>
        <v>3</v>
      </c>
      <c r="G32" s="9">
        <f t="shared" si="2"/>
        <v>5.597014925373134E-3</v>
      </c>
      <c r="H32" s="5">
        <f t="shared" si="3"/>
        <v>5.597014925373134E-3</v>
      </c>
    </row>
    <row r="33" spans="1:8">
      <c r="A33" s="3">
        <v>45139</v>
      </c>
      <c r="B33" s="4" t="s">
        <v>5</v>
      </c>
      <c r="C33" s="5">
        <v>568</v>
      </c>
      <c r="D33" s="5">
        <v>580</v>
      </c>
      <c r="E33" s="5">
        <f t="shared" si="0"/>
        <v>-12</v>
      </c>
      <c r="F33" s="6">
        <f t="shared" si="1"/>
        <v>12</v>
      </c>
      <c r="G33" s="9">
        <f t="shared" si="2"/>
        <v>2.0689655172413793E-2</v>
      </c>
      <c r="H33" s="5">
        <f t="shared" si="3"/>
        <v>2.0689655172413793E-2</v>
      </c>
    </row>
    <row r="34" spans="1:8">
      <c r="A34" s="3">
        <v>45170</v>
      </c>
      <c r="B34" s="4" t="s">
        <v>5</v>
      </c>
      <c r="C34" s="5">
        <v>553</v>
      </c>
      <c r="D34" s="5">
        <v>572</v>
      </c>
      <c r="E34" s="5">
        <f t="shared" si="0"/>
        <v>-19</v>
      </c>
      <c r="F34" s="6">
        <f t="shared" si="1"/>
        <v>19</v>
      </c>
      <c r="G34" s="9">
        <f t="shared" si="2"/>
        <v>3.3216783216783216E-2</v>
      </c>
      <c r="H34" s="5">
        <f t="shared" si="3"/>
        <v>3.3216783216783216E-2</v>
      </c>
    </row>
    <row r="35" spans="1:8">
      <c r="A35" s="3">
        <v>45200</v>
      </c>
      <c r="B35" s="4" t="s">
        <v>5</v>
      </c>
      <c r="C35" s="5">
        <v>553</v>
      </c>
      <c r="D35" s="5">
        <v>553</v>
      </c>
      <c r="E35" s="5">
        <f t="shared" si="0"/>
        <v>0</v>
      </c>
      <c r="F35" s="6">
        <f t="shared" si="1"/>
        <v>0</v>
      </c>
      <c r="G35" s="9">
        <f t="shared" si="2"/>
        <v>0</v>
      </c>
      <c r="H35" s="5">
        <f t="shared" si="3"/>
        <v>0</v>
      </c>
    </row>
    <row r="36" spans="1:8">
      <c r="A36" s="3">
        <v>45231</v>
      </c>
      <c r="B36" s="4" t="s">
        <v>5</v>
      </c>
      <c r="C36" s="5">
        <v>604</v>
      </c>
      <c r="D36" s="5">
        <v>590</v>
      </c>
      <c r="E36" s="5">
        <f t="shared" si="0"/>
        <v>14</v>
      </c>
      <c r="F36" s="6">
        <f t="shared" si="1"/>
        <v>14</v>
      </c>
      <c r="G36" s="9">
        <f t="shared" si="2"/>
        <v>2.3728813559322035E-2</v>
      </c>
      <c r="H36" s="5">
        <f t="shared" si="3"/>
        <v>2.3728813559322035E-2</v>
      </c>
    </row>
    <row r="37" spans="1:8">
      <c r="A37" s="3">
        <v>45261</v>
      </c>
      <c r="B37" s="4" t="s">
        <v>5</v>
      </c>
      <c r="C37" s="5">
        <v>522</v>
      </c>
      <c r="D37" s="5">
        <v>529</v>
      </c>
      <c r="E37" s="5">
        <f t="shared" si="0"/>
        <v>-7</v>
      </c>
      <c r="F37" s="6">
        <f t="shared" si="1"/>
        <v>7</v>
      </c>
      <c r="G37" s="9">
        <f t="shared" si="2"/>
        <v>1.3232514177693762E-2</v>
      </c>
      <c r="H37" s="5">
        <f t="shared" si="3"/>
        <v>1.3232514177693762E-2</v>
      </c>
    </row>
    <row r="38" spans="1:8">
      <c r="A38" s="3">
        <v>45292</v>
      </c>
      <c r="B38" s="4" t="s">
        <v>5</v>
      </c>
      <c r="C38" s="5">
        <v>578</v>
      </c>
      <c r="D38" s="5">
        <v>595</v>
      </c>
      <c r="E38" s="5">
        <f t="shared" si="0"/>
        <v>-17</v>
      </c>
      <c r="F38" s="6">
        <f t="shared" si="1"/>
        <v>17</v>
      </c>
      <c r="G38" s="9">
        <f t="shared" si="2"/>
        <v>2.8571428571428571E-2</v>
      </c>
      <c r="H38" s="5">
        <f t="shared" si="3"/>
        <v>2.8571428571428571E-2</v>
      </c>
    </row>
    <row r="39" spans="1:8">
      <c r="A39" s="3">
        <v>45323</v>
      </c>
      <c r="B39" s="4" t="s">
        <v>5</v>
      </c>
      <c r="C39" s="5">
        <v>590</v>
      </c>
      <c r="D39" s="5">
        <v>602</v>
      </c>
      <c r="E39" s="5">
        <f t="shared" si="0"/>
        <v>-12</v>
      </c>
      <c r="F39" s="6">
        <f t="shared" si="1"/>
        <v>12</v>
      </c>
      <c r="G39" s="9">
        <f t="shared" si="2"/>
        <v>1.9933554817275746E-2</v>
      </c>
      <c r="H39" s="5">
        <f t="shared" si="3"/>
        <v>1.9933554817275746E-2</v>
      </c>
    </row>
    <row r="40" spans="1:8">
      <c r="A40" s="3">
        <v>45352</v>
      </c>
      <c r="B40" s="4" t="s">
        <v>5</v>
      </c>
      <c r="C40" s="5">
        <v>557</v>
      </c>
      <c r="D40" s="5">
        <v>547</v>
      </c>
      <c r="E40" s="5">
        <f t="shared" si="0"/>
        <v>10</v>
      </c>
      <c r="F40" s="6">
        <f t="shared" si="1"/>
        <v>10</v>
      </c>
      <c r="G40" s="9">
        <f t="shared" si="2"/>
        <v>1.8281535648994516E-2</v>
      </c>
      <c r="H40" s="5">
        <f t="shared" si="3"/>
        <v>1.8281535648994516E-2</v>
      </c>
    </row>
    <row r="41" spans="1:8">
      <c r="A41" s="3">
        <v>45383</v>
      </c>
      <c r="B41" s="4" t="s">
        <v>5</v>
      </c>
      <c r="C41" s="5">
        <v>574</v>
      </c>
      <c r="D41" s="5">
        <v>574</v>
      </c>
      <c r="E41" s="5">
        <f t="shared" si="0"/>
        <v>0</v>
      </c>
      <c r="F41" s="6">
        <f t="shared" si="1"/>
        <v>0</v>
      </c>
      <c r="G41" s="9">
        <f t="shared" si="2"/>
        <v>0</v>
      </c>
      <c r="H41" s="5">
        <f t="shared" si="3"/>
        <v>0</v>
      </c>
    </row>
    <row r="42" spans="1:8">
      <c r="A42" s="3">
        <v>45413</v>
      </c>
      <c r="B42" s="4" t="s">
        <v>5</v>
      </c>
      <c r="C42" s="5">
        <v>629</v>
      </c>
      <c r="D42" s="5">
        <v>606</v>
      </c>
      <c r="E42" s="5">
        <f t="shared" si="0"/>
        <v>23</v>
      </c>
      <c r="F42" s="6">
        <f t="shared" si="1"/>
        <v>23</v>
      </c>
      <c r="G42" s="9">
        <f t="shared" si="2"/>
        <v>3.7953795379537955E-2</v>
      </c>
      <c r="H42" s="5">
        <f t="shared" si="3"/>
        <v>3.7953795379537955E-2</v>
      </c>
    </row>
    <row r="43" spans="1:8">
      <c r="A43" s="3">
        <v>45444</v>
      </c>
      <c r="B43" s="4" t="s">
        <v>5</v>
      </c>
      <c r="C43" s="5">
        <v>503</v>
      </c>
      <c r="D43" s="5">
        <v>537</v>
      </c>
      <c r="E43" s="5">
        <f t="shared" si="0"/>
        <v>-34</v>
      </c>
      <c r="F43" s="6">
        <f t="shared" si="1"/>
        <v>34</v>
      </c>
      <c r="G43" s="9">
        <f t="shared" si="2"/>
        <v>6.3314711359404099E-2</v>
      </c>
      <c r="H43" s="5">
        <f t="shared" si="3"/>
        <v>6.3314711359404099E-2</v>
      </c>
    </row>
    <row r="44" spans="1:8">
      <c r="A44" s="3">
        <v>45474</v>
      </c>
      <c r="B44" s="4" t="s">
        <v>5</v>
      </c>
      <c r="C44" s="5">
        <v>543</v>
      </c>
      <c r="D44" s="5">
        <v>566</v>
      </c>
      <c r="E44" s="5">
        <f t="shared" si="0"/>
        <v>-23</v>
      </c>
      <c r="F44" s="6">
        <f t="shared" si="1"/>
        <v>23</v>
      </c>
      <c r="G44" s="9">
        <f t="shared" si="2"/>
        <v>4.0636042402826852E-2</v>
      </c>
      <c r="H44" s="5">
        <f t="shared" si="3"/>
        <v>4.0636042402826852E-2</v>
      </c>
    </row>
    <row r="45" spans="1:8">
      <c r="A45" s="3">
        <v>45505</v>
      </c>
      <c r="B45" s="4" t="s">
        <v>5</v>
      </c>
      <c r="C45" s="5">
        <v>624</v>
      </c>
      <c r="D45" s="5">
        <v>601</v>
      </c>
      <c r="E45" s="5">
        <f t="shared" si="0"/>
        <v>23</v>
      </c>
      <c r="F45" s="6">
        <f t="shared" si="1"/>
        <v>23</v>
      </c>
      <c r="G45" s="9">
        <f t="shared" si="2"/>
        <v>3.8269550748752081E-2</v>
      </c>
      <c r="H45" s="5">
        <f t="shared" si="3"/>
        <v>3.8269550748752081E-2</v>
      </c>
    </row>
    <row r="46" spans="1:8">
      <c r="A46" s="3">
        <v>45536</v>
      </c>
      <c r="B46" s="4" t="s">
        <v>5</v>
      </c>
      <c r="C46" s="5">
        <v>548</v>
      </c>
      <c r="D46" s="5">
        <v>572</v>
      </c>
      <c r="E46" s="5">
        <f t="shared" si="0"/>
        <v>-24</v>
      </c>
      <c r="F46" s="6">
        <f t="shared" si="1"/>
        <v>24</v>
      </c>
      <c r="G46" s="9">
        <f t="shared" si="2"/>
        <v>4.195804195804196E-2</v>
      </c>
      <c r="H46" s="5">
        <f t="shared" si="3"/>
        <v>4.195804195804196E-2</v>
      </c>
    </row>
    <row r="47" spans="1:8">
      <c r="A47" s="3">
        <v>45566</v>
      </c>
      <c r="B47" s="4" t="s">
        <v>5</v>
      </c>
      <c r="C47" s="5">
        <v>591</v>
      </c>
      <c r="D47" s="5">
        <v>550</v>
      </c>
      <c r="E47" s="5">
        <f t="shared" si="0"/>
        <v>41</v>
      </c>
      <c r="F47" s="6">
        <f t="shared" si="1"/>
        <v>41</v>
      </c>
      <c r="G47" s="9">
        <f t="shared" si="2"/>
        <v>7.454545454545454E-2</v>
      </c>
      <c r="H47" s="5">
        <f t="shared" si="3"/>
        <v>7.454545454545454E-2</v>
      </c>
    </row>
    <row r="48" spans="1:8">
      <c r="A48" s="3">
        <v>45597</v>
      </c>
      <c r="B48" s="4" t="s">
        <v>5</v>
      </c>
      <c r="C48" s="5">
        <v>602</v>
      </c>
      <c r="D48" s="5">
        <v>560</v>
      </c>
      <c r="E48" s="5">
        <f t="shared" si="0"/>
        <v>42</v>
      </c>
      <c r="F48" s="6">
        <f t="shared" si="1"/>
        <v>42</v>
      </c>
      <c r="G48" s="9">
        <f t="shared" si="2"/>
        <v>7.4999999999999997E-2</v>
      </c>
      <c r="H48" s="5">
        <f t="shared" si="3"/>
        <v>7.4999999999999997E-2</v>
      </c>
    </row>
    <row r="49" spans="1:8">
      <c r="A49" s="3">
        <v>45627</v>
      </c>
      <c r="B49" s="4" t="s">
        <v>5</v>
      </c>
      <c r="C49" s="5">
        <v>599</v>
      </c>
      <c r="D49" s="5">
        <v>558</v>
      </c>
      <c r="E49" s="5">
        <f t="shared" si="0"/>
        <v>41</v>
      </c>
      <c r="F49" s="6">
        <f t="shared" si="1"/>
        <v>41</v>
      </c>
      <c r="G49" s="9">
        <f t="shared" si="2"/>
        <v>7.3476702508960573E-2</v>
      </c>
      <c r="H49" s="5">
        <f t="shared" si="3"/>
        <v>7.3476702508960573E-2</v>
      </c>
    </row>
    <row r="50" spans="1:8" hidden="1">
      <c r="A50" s="3">
        <v>44927</v>
      </c>
      <c r="B50" s="4" t="s">
        <v>6</v>
      </c>
      <c r="C50" s="5">
        <v>602</v>
      </c>
      <c r="D50" s="5">
        <v>562</v>
      </c>
      <c r="E50" s="5">
        <f t="shared" si="0"/>
        <v>40</v>
      </c>
      <c r="F50" s="6">
        <f t="shared" si="1"/>
        <v>40</v>
      </c>
      <c r="G50" s="9">
        <f t="shared" si="2"/>
        <v>7.1174377224199295E-2</v>
      </c>
      <c r="H50" s="5">
        <f t="shared" si="3"/>
        <v>7.1174377224199295E-2</v>
      </c>
    </row>
    <row r="51" spans="1:8" hidden="1">
      <c r="A51" s="3">
        <v>44958</v>
      </c>
      <c r="B51" s="4" t="s">
        <v>6</v>
      </c>
      <c r="C51" s="5">
        <v>489</v>
      </c>
      <c r="D51" s="5">
        <v>511</v>
      </c>
      <c r="E51" s="5">
        <f t="shared" si="0"/>
        <v>-22</v>
      </c>
      <c r="F51" s="6">
        <f t="shared" si="1"/>
        <v>22</v>
      </c>
      <c r="G51" s="9">
        <f t="shared" si="2"/>
        <v>4.3052837573385516E-2</v>
      </c>
      <c r="H51" s="5">
        <f t="shared" si="3"/>
        <v>4.3052837573385516E-2</v>
      </c>
    </row>
    <row r="52" spans="1:8" hidden="1">
      <c r="A52" s="3">
        <v>44986</v>
      </c>
      <c r="B52" s="4" t="s">
        <v>6</v>
      </c>
      <c r="C52" s="5">
        <v>523</v>
      </c>
      <c r="D52" s="5">
        <v>551</v>
      </c>
      <c r="E52" s="5">
        <f t="shared" si="0"/>
        <v>-28</v>
      </c>
      <c r="F52" s="6">
        <f t="shared" si="1"/>
        <v>28</v>
      </c>
      <c r="G52" s="9">
        <f t="shared" si="2"/>
        <v>5.0816696914700546E-2</v>
      </c>
      <c r="H52" s="5">
        <f t="shared" si="3"/>
        <v>5.0816696914700546E-2</v>
      </c>
    </row>
    <row r="53" spans="1:8" hidden="1">
      <c r="A53" s="3">
        <v>45017</v>
      </c>
      <c r="B53" s="4" t="s">
        <v>6</v>
      </c>
      <c r="C53" s="5">
        <v>559</v>
      </c>
      <c r="D53" s="5">
        <v>526</v>
      </c>
      <c r="E53" s="5">
        <f t="shared" si="0"/>
        <v>33</v>
      </c>
      <c r="F53" s="6">
        <f t="shared" si="1"/>
        <v>33</v>
      </c>
      <c r="G53" s="9">
        <f t="shared" si="2"/>
        <v>6.2737642585551326E-2</v>
      </c>
      <c r="H53" s="5">
        <f t="shared" si="3"/>
        <v>6.2737642585551326E-2</v>
      </c>
    </row>
    <row r="54" spans="1:8" hidden="1">
      <c r="A54" s="3">
        <v>45047</v>
      </c>
      <c r="B54" s="4" t="s">
        <v>6</v>
      </c>
      <c r="C54" s="5">
        <v>572</v>
      </c>
      <c r="D54" s="5">
        <v>553</v>
      </c>
      <c r="E54" s="5">
        <f t="shared" si="0"/>
        <v>19</v>
      </c>
      <c r="F54" s="6">
        <f t="shared" si="1"/>
        <v>19</v>
      </c>
      <c r="G54" s="9">
        <f t="shared" si="2"/>
        <v>3.4358047016274866E-2</v>
      </c>
      <c r="H54" s="5">
        <f t="shared" si="3"/>
        <v>3.4358047016274866E-2</v>
      </c>
    </row>
    <row r="55" spans="1:8" hidden="1">
      <c r="A55" s="3">
        <v>45078</v>
      </c>
      <c r="B55" s="4" t="s">
        <v>6</v>
      </c>
      <c r="C55" s="5">
        <v>619</v>
      </c>
      <c r="D55" s="5">
        <v>528</v>
      </c>
      <c r="E55" s="5">
        <f t="shared" si="0"/>
        <v>91</v>
      </c>
      <c r="F55" s="6">
        <f t="shared" si="1"/>
        <v>91</v>
      </c>
      <c r="G55" s="9">
        <f t="shared" si="2"/>
        <v>0.17234848484848486</v>
      </c>
      <c r="H55" s="5">
        <f t="shared" si="3"/>
        <v>0.17234848484848486</v>
      </c>
    </row>
    <row r="56" spans="1:8" hidden="1">
      <c r="A56" s="3">
        <v>45108</v>
      </c>
      <c r="B56" s="4" t="s">
        <v>6</v>
      </c>
      <c r="C56" s="5">
        <v>546</v>
      </c>
      <c r="D56" s="5">
        <v>585</v>
      </c>
      <c r="E56" s="5">
        <f t="shared" si="0"/>
        <v>-39</v>
      </c>
      <c r="F56" s="6">
        <f t="shared" si="1"/>
        <v>39</v>
      </c>
      <c r="G56" s="9">
        <f t="shared" si="2"/>
        <v>6.6666666666666666E-2</v>
      </c>
      <c r="H56" s="5">
        <f t="shared" si="3"/>
        <v>6.6666666666666666E-2</v>
      </c>
    </row>
    <row r="57" spans="1:8" hidden="1">
      <c r="A57" s="3">
        <v>45139</v>
      </c>
      <c r="B57" s="4" t="s">
        <v>6</v>
      </c>
      <c r="C57" s="5">
        <v>560</v>
      </c>
      <c r="D57" s="5">
        <v>539</v>
      </c>
      <c r="E57" s="5">
        <f t="shared" si="0"/>
        <v>21</v>
      </c>
      <c r="F57" s="6">
        <f t="shared" si="1"/>
        <v>21</v>
      </c>
      <c r="G57" s="9">
        <f t="shared" si="2"/>
        <v>3.896103896103896E-2</v>
      </c>
      <c r="H57" s="5">
        <f t="shared" si="3"/>
        <v>3.896103896103896E-2</v>
      </c>
    </row>
    <row r="58" spans="1:8" hidden="1">
      <c r="A58" s="3">
        <v>45170</v>
      </c>
      <c r="B58" s="4" t="s">
        <v>6</v>
      </c>
      <c r="C58" s="5">
        <v>559</v>
      </c>
      <c r="D58" s="5">
        <v>550</v>
      </c>
      <c r="E58" s="5">
        <f t="shared" si="0"/>
        <v>9</v>
      </c>
      <c r="F58" s="6">
        <f t="shared" si="1"/>
        <v>9</v>
      </c>
      <c r="G58" s="9">
        <f t="shared" si="2"/>
        <v>1.6363636363636365E-2</v>
      </c>
      <c r="H58" s="5">
        <f t="shared" si="3"/>
        <v>1.6363636363636365E-2</v>
      </c>
    </row>
    <row r="59" spans="1:8" hidden="1">
      <c r="A59" s="3">
        <v>45200</v>
      </c>
      <c r="B59" s="4" t="s">
        <v>6</v>
      </c>
      <c r="C59" s="5">
        <v>518</v>
      </c>
      <c r="D59" s="5">
        <v>517</v>
      </c>
      <c r="E59" s="5">
        <f t="shared" si="0"/>
        <v>1</v>
      </c>
      <c r="F59" s="6">
        <f t="shared" si="1"/>
        <v>1</v>
      </c>
      <c r="G59" s="9">
        <f t="shared" si="2"/>
        <v>1.9342359767891683E-3</v>
      </c>
      <c r="H59" s="5">
        <f t="shared" si="3"/>
        <v>1.9342359767891683E-3</v>
      </c>
    </row>
    <row r="60" spans="1:8" hidden="1">
      <c r="A60" s="3">
        <v>45231</v>
      </c>
      <c r="B60" s="4" t="s">
        <v>6</v>
      </c>
      <c r="C60" s="5">
        <v>578</v>
      </c>
      <c r="D60" s="5">
        <v>551</v>
      </c>
      <c r="E60" s="5">
        <f t="shared" si="0"/>
        <v>27</v>
      </c>
      <c r="F60" s="6">
        <f t="shared" si="1"/>
        <v>27</v>
      </c>
      <c r="G60" s="9">
        <f t="shared" si="2"/>
        <v>4.9001814882032667E-2</v>
      </c>
      <c r="H60" s="5">
        <f t="shared" si="3"/>
        <v>4.9001814882032667E-2</v>
      </c>
    </row>
    <row r="61" spans="1:8" hidden="1">
      <c r="A61" s="3">
        <v>45261</v>
      </c>
      <c r="B61" s="4" t="s">
        <v>6</v>
      </c>
      <c r="C61" s="5">
        <v>539</v>
      </c>
      <c r="D61" s="5">
        <v>539</v>
      </c>
      <c r="E61" s="5">
        <f t="shared" si="0"/>
        <v>0</v>
      </c>
      <c r="F61" s="6">
        <f t="shared" si="1"/>
        <v>0</v>
      </c>
      <c r="G61" s="9">
        <f t="shared" si="2"/>
        <v>0</v>
      </c>
      <c r="H61" s="5">
        <f t="shared" si="3"/>
        <v>0</v>
      </c>
    </row>
    <row r="62" spans="1:8" hidden="1">
      <c r="A62" s="3">
        <v>45292</v>
      </c>
      <c r="B62" s="4" t="s">
        <v>6</v>
      </c>
      <c r="C62" s="5">
        <v>484</v>
      </c>
      <c r="D62" s="5">
        <v>542</v>
      </c>
      <c r="E62" s="5">
        <f t="shared" si="0"/>
        <v>-58</v>
      </c>
      <c r="F62" s="6">
        <f t="shared" si="1"/>
        <v>58</v>
      </c>
      <c r="G62" s="9">
        <f t="shared" si="2"/>
        <v>0.1070110701107011</v>
      </c>
      <c r="H62" s="5">
        <f t="shared" si="3"/>
        <v>0.1070110701107011</v>
      </c>
    </row>
    <row r="63" spans="1:8" hidden="1">
      <c r="A63" s="3">
        <v>45323</v>
      </c>
      <c r="B63" s="4" t="s">
        <v>6</v>
      </c>
      <c r="C63" s="5">
        <v>490</v>
      </c>
      <c r="D63" s="5">
        <v>515</v>
      </c>
      <c r="E63" s="5">
        <f t="shared" si="0"/>
        <v>-25</v>
      </c>
      <c r="F63" s="6">
        <f t="shared" si="1"/>
        <v>25</v>
      </c>
      <c r="G63" s="9">
        <f t="shared" si="2"/>
        <v>4.8543689320388349E-2</v>
      </c>
      <c r="H63" s="5">
        <f t="shared" si="3"/>
        <v>4.8543689320388349E-2</v>
      </c>
    </row>
    <row r="64" spans="1:8" hidden="1">
      <c r="A64" s="3">
        <v>45352</v>
      </c>
      <c r="B64" s="4" t="s">
        <v>6</v>
      </c>
      <c r="C64" s="5">
        <v>592</v>
      </c>
      <c r="D64" s="5">
        <v>552</v>
      </c>
      <c r="E64" s="5">
        <f t="shared" si="0"/>
        <v>40</v>
      </c>
      <c r="F64" s="6">
        <f t="shared" si="1"/>
        <v>40</v>
      </c>
      <c r="G64" s="9">
        <f t="shared" si="2"/>
        <v>7.2463768115942032E-2</v>
      </c>
      <c r="H64" s="5">
        <f t="shared" si="3"/>
        <v>7.2463768115942032E-2</v>
      </c>
    </row>
    <row r="65" spans="1:8" hidden="1">
      <c r="A65" s="3">
        <v>45383</v>
      </c>
      <c r="B65" s="4" t="s">
        <v>6</v>
      </c>
      <c r="C65" s="5">
        <v>601</v>
      </c>
      <c r="D65" s="5">
        <v>566</v>
      </c>
      <c r="E65" s="5">
        <f t="shared" si="0"/>
        <v>35</v>
      </c>
      <c r="F65" s="6">
        <f t="shared" si="1"/>
        <v>35</v>
      </c>
      <c r="G65" s="9">
        <f t="shared" si="2"/>
        <v>6.1837455830388695E-2</v>
      </c>
      <c r="H65" s="5">
        <f t="shared" si="3"/>
        <v>6.1837455830388695E-2</v>
      </c>
    </row>
    <row r="66" spans="1:8" hidden="1">
      <c r="A66" s="3">
        <v>45413</v>
      </c>
      <c r="B66" s="4" t="s">
        <v>6</v>
      </c>
      <c r="C66" s="5">
        <v>560</v>
      </c>
      <c r="D66" s="5">
        <v>571</v>
      </c>
      <c r="E66" s="5">
        <f t="shared" si="0"/>
        <v>-11</v>
      </c>
      <c r="F66" s="6">
        <f t="shared" si="1"/>
        <v>11</v>
      </c>
      <c r="G66" s="9">
        <f t="shared" si="2"/>
        <v>1.9264448336252189E-2</v>
      </c>
      <c r="H66" s="5">
        <f t="shared" si="3"/>
        <v>1.9264448336252189E-2</v>
      </c>
    </row>
    <row r="67" spans="1:8" hidden="1">
      <c r="A67" s="3">
        <v>45444</v>
      </c>
      <c r="B67" s="4" t="s">
        <v>6</v>
      </c>
      <c r="C67" s="5">
        <v>598</v>
      </c>
      <c r="D67" s="5">
        <v>583</v>
      </c>
      <c r="E67" s="5">
        <f t="shared" ref="E67:E73" si="4">C67-D67</f>
        <v>15</v>
      </c>
      <c r="F67" s="6">
        <f t="shared" ref="F67:F73" si="5">ABS(E67)</f>
        <v>15</v>
      </c>
      <c r="G67" s="9">
        <f t="shared" ref="G67:G73" si="6">F67/D67</f>
        <v>2.5728987993138937E-2</v>
      </c>
      <c r="H67" s="5">
        <f t="shared" ref="H67:H73" si="7">F67/D67</f>
        <v>2.5728987993138937E-2</v>
      </c>
    </row>
    <row r="68" spans="1:8" hidden="1">
      <c r="A68" s="3">
        <v>45474</v>
      </c>
      <c r="B68" s="4" t="s">
        <v>6</v>
      </c>
      <c r="C68" s="5">
        <v>632</v>
      </c>
      <c r="D68" s="5">
        <v>549</v>
      </c>
      <c r="E68" s="5">
        <f t="shared" si="4"/>
        <v>83</v>
      </c>
      <c r="F68" s="6">
        <f t="shared" si="5"/>
        <v>83</v>
      </c>
      <c r="G68" s="9">
        <f t="shared" si="6"/>
        <v>0.151183970856102</v>
      </c>
      <c r="H68" s="5">
        <f t="shared" si="7"/>
        <v>0.151183970856102</v>
      </c>
    </row>
    <row r="69" spans="1:8" hidden="1">
      <c r="A69" s="3">
        <v>45505</v>
      </c>
      <c r="B69" s="4" t="s">
        <v>6</v>
      </c>
      <c r="C69" s="5">
        <v>529</v>
      </c>
      <c r="D69" s="5">
        <v>529</v>
      </c>
      <c r="E69" s="5">
        <f t="shared" si="4"/>
        <v>0</v>
      </c>
      <c r="F69" s="6">
        <f t="shared" si="5"/>
        <v>0</v>
      </c>
      <c r="G69" s="9">
        <f t="shared" si="6"/>
        <v>0</v>
      </c>
      <c r="H69" s="5">
        <f t="shared" si="7"/>
        <v>0</v>
      </c>
    </row>
    <row r="70" spans="1:8" hidden="1">
      <c r="A70" s="3">
        <v>45536</v>
      </c>
      <c r="B70" s="4" t="s">
        <v>6</v>
      </c>
      <c r="C70" s="5">
        <v>525</v>
      </c>
      <c r="D70" s="5">
        <v>525</v>
      </c>
      <c r="E70" s="5">
        <f t="shared" si="4"/>
        <v>0</v>
      </c>
      <c r="F70" s="6">
        <f t="shared" si="5"/>
        <v>0</v>
      </c>
      <c r="G70" s="9">
        <f t="shared" si="6"/>
        <v>0</v>
      </c>
      <c r="H70" s="5">
        <f t="shared" si="7"/>
        <v>0</v>
      </c>
    </row>
    <row r="71" spans="1:8" hidden="1">
      <c r="A71" s="3">
        <v>45566</v>
      </c>
      <c r="B71" s="4" t="s">
        <v>6</v>
      </c>
      <c r="C71" s="5">
        <v>540</v>
      </c>
      <c r="D71" s="5">
        <v>535</v>
      </c>
      <c r="E71" s="5">
        <f t="shared" si="4"/>
        <v>5</v>
      </c>
      <c r="F71" s="6">
        <f t="shared" si="5"/>
        <v>5</v>
      </c>
      <c r="G71" s="9">
        <f t="shared" si="6"/>
        <v>9.3457943925233638E-3</v>
      </c>
      <c r="H71" s="5">
        <f t="shared" si="7"/>
        <v>9.3457943925233638E-3</v>
      </c>
    </row>
    <row r="72" spans="1:8" hidden="1">
      <c r="A72" s="3">
        <v>45597</v>
      </c>
      <c r="B72" s="4" t="s">
        <v>6</v>
      </c>
      <c r="C72" s="5">
        <v>531</v>
      </c>
      <c r="D72" s="5">
        <v>513</v>
      </c>
      <c r="E72" s="5">
        <f t="shared" si="4"/>
        <v>18</v>
      </c>
      <c r="F72" s="6">
        <f t="shared" si="5"/>
        <v>18</v>
      </c>
      <c r="G72" s="9">
        <f t="shared" si="6"/>
        <v>3.5087719298245612E-2</v>
      </c>
      <c r="H72" s="5">
        <f t="shared" si="7"/>
        <v>3.5087719298245612E-2</v>
      </c>
    </row>
    <row r="73" spans="1:8" hidden="1">
      <c r="A73" s="3">
        <v>45627</v>
      </c>
      <c r="B73" s="4" t="s">
        <v>6</v>
      </c>
      <c r="C73" s="5">
        <v>528</v>
      </c>
      <c r="D73" s="5">
        <v>538</v>
      </c>
      <c r="E73" s="5">
        <f t="shared" si="4"/>
        <v>-10</v>
      </c>
      <c r="F73" s="6">
        <f t="shared" si="5"/>
        <v>10</v>
      </c>
      <c r="G73" s="9">
        <f t="shared" si="6"/>
        <v>1.858736059479554E-2</v>
      </c>
      <c r="H73" s="5">
        <f t="shared" si="7"/>
        <v>1.858736059479554E-2</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C5997-FB96-FD4E-AA08-B2508F439B3D}">
  <dimension ref="A1:E3"/>
  <sheetViews>
    <sheetView zoomScaleNormal="100" workbookViewId="0">
      <selection activeCell="F39" sqref="F39"/>
    </sheetView>
  </sheetViews>
  <sheetFormatPr baseColWidth="10" defaultRowHeight="16"/>
  <cols>
    <col min="3" max="4" width="10.83203125" style="6"/>
    <col min="5" max="5" width="23" style="8" customWidth="1"/>
  </cols>
  <sheetData>
    <row r="1" spans="1:5">
      <c r="A1" t="s">
        <v>1</v>
      </c>
      <c r="B1" t="s">
        <v>26</v>
      </c>
      <c r="C1" s="6" t="s">
        <v>10</v>
      </c>
      <c r="D1" s="6" t="s">
        <v>11</v>
      </c>
      <c r="E1" s="8" t="s">
        <v>12</v>
      </c>
    </row>
    <row r="2" spans="1:5">
      <c r="A2" t="s">
        <v>5</v>
      </c>
      <c r="B2" t="s">
        <v>27</v>
      </c>
      <c r="C2" s="6">
        <f>AVERAGEIFS(ForecastData[APE_Value], ForecastData[SKU], A2)</f>
        <v>3.8530436320863115E-2</v>
      </c>
      <c r="D2" s="6">
        <f>AVERAGEIFS(ForecastData[Error], ForecastData[SKU], A2)</f>
        <v>-2</v>
      </c>
      <c r="E2" s="8">
        <f>1 - C2</f>
        <v>0.96146956367913683</v>
      </c>
    </row>
    <row r="3" spans="1:5">
      <c r="A3" t="s">
        <v>5</v>
      </c>
      <c r="B3" t="s">
        <v>28</v>
      </c>
      <c r="C3" s="6">
        <f>AVERAGEIFS(ScenarioBData[APE_Value], ScenarioBData[SKU], A3)</f>
        <v>6.6023467046273668E-2</v>
      </c>
      <c r="D3" s="6">
        <f>AVERAGEIFS(ScenarioBData[Error], ScenarioBData[SKU], A3)</f>
        <v>12.45833333333333</v>
      </c>
      <c r="E3" s="8">
        <f>1 - C3</f>
        <v>0.93397653295372629</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75D7D-23F2-9D41-B5E0-D2DB34550663}">
  <dimension ref="A1:E4"/>
  <sheetViews>
    <sheetView tabSelected="1" workbookViewId="0">
      <selection activeCell="D29" sqref="D29"/>
    </sheetView>
  </sheetViews>
  <sheetFormatPr baseColWidth="10" defaultRowHeight="16"/>
  <cols>
    <col min="1" max="1" width="10.83203125" style="20"/>
    <col min="2" max="2" width="32.6640625" style="20" customWidth="1"/>
    <col min="3" max="3" width="27.6640625" style="29" customWidth="1"/>
    <col min="4" max="4" width="19.1640625" style="30" customWidth="1"/>
    <col min="5" max="5" width="25.83203125" style="6" customWidth="1"/>
  </cols>
  <sheetData>
    <row r="1" spans="1:5" ht="19">
      <c r="A1" s="35" t="s">
        <v>1</v>
      </c>
      <c r="B1" s="37" t="s">
        <v>69</v>
      </c>
      <c r="C1" s="38" t="s">
        <v>31</v>
      </c>
      <c r="D1" s="39" t="s">
        <v>68</v>
      </c>
      <c r="E1" s="40" t="s">
        <v>70</v>
      </c>
    </row>
    <row r="2" spans="1:5">
      <c r="A2" s="19" t="s">
        <v>4</v>
      </c>
      <c r="B2" s="20">
        <f>SUMIFS(ForecastData[Emissions (kg)], ForecastData[SKU], A2)</f>
        <v>6050</v>
      </c>
      <c r="C2" s="29">
        <f>SUMIFS(ForecastData[Carbon Cost ($)], ForecastData[SKU], A2)</f>
        <v>302.5</v>
      </c>
      <c r="D2" s="30">
        <f>SUMIFS(Forecast_Accuracy_Simulation_Ba!D:D, Forecast_Accuracy_Simulation_Ba!B:B, "SKU_A") * Advanced_KPIs!$B$2</f>
        <v>3000250</v>
      </c>
      <c r="E2" s="26">
        <f>D2/B2</f>
        <v>495.90909090909093</v>
      </c>
    </row>
    <row r="3" spans="1:5">
      <c r="A3" s="19" t="s">
        <v>5</v>
      </c>
      <c r="B3" s="20">
        <f>SUMIFS(ForecastData[Emissions (kg)], ForecastData[SKU], A3)</f>
        <v>6813.5</v>
      </c>
      <c r="C3" s="29">
        <f>SUMIFS(ForecastData[Carbon Cost ($)], ForecastData[SKU], A3)</f>
        <v>340.67500000000001</v>
      </c>
      <c r="D3" s="30">
        <f>SUMIFS(Forecast_Accuracy_Simulation_Ba!D:D, Forecast_Accuracy_Simulation_Ba!B:B, "SKU_B") * Advanced_KPIs!$B$3</f>
        <v>3829000</v>
      </c>
      <c r="E3" s="26">
        <f t="shared" ref="E3:E4" si="0">D3/B3</f>
        <v>561.97255448741464</v>
      </c>
    </row>
    <row r="4" spans="1:5">
      <c r="A4" s="20" t="s">
        <v>6</v>
      </c>
      <c r="B4" s="20">
        <f>SUMIFS(ForecastData[Emissions (kg)], ForecastData[SKU], A4)</f>
        <v>6637</v>
      </c>
      <c r="C4" s="29">
        <f>SUMIFS(ForecastData[Carbon Cost ($)], ForecastData[SKU], A4)</f>
        <v>331.84999999999997</v>
      </c>
      <c r="D4" s="30">
        <f>SUMIFS(Forecast_Accuracy_Simulation_Ba!D:D, Forecast_Accuracy_Simulation_Ba!B:B, "SKU_C") * Advanced_KPIs!$B$4</f>
        <v>3909000</v>
      </c>
      <c r="E4" s="26">
        <f t="shared" si="0"/>
        <v>588.97092059665511</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3755-76FE-8F43-88DC-D0EC7C21C187}">
  <sheetPr>
    <pageSetUpPr fitToPage="1"/>
  </sheetPr>
  <dimension ref="A1:D82"/>
  <sheetViews>
    <sheetView topLeftCell="A19" zoomScaleNormal="100" workbookViewId="0">
      <selection activeCell="L41" sqref="L41"/>
    </sheetView>
  </sheetViews>
  <sheetFormatPr baseColWidth="10" defaultRowHeight="16"/>
  <cols>
    <col min="1" max="1" width="13" bestFit="1" customWidth="1"/>
    <col min="2" max="2" width="19.1640625" bestFit="1" customWidth="1"/>
    <col min="3" max="3" width="15.5" bestFit="1" customWidth="1"/>
  </cols>
  <sheetData>
    <row r="1" spans="1:3">
      <c r="A1" s="12" t="s">
        <v>1</v>
      </c>
      <c r="B1" t="s">
        <v>18</v>
      </c>
    </row>
    <row r="3" spans="1:3">
      <c r="A3" s="12" t="s">
        <v>14</v>
      </c>
      <c r="B3" t="s">
        <v>20</v>
      </c>
      <c r="C3" t="s">
        <v>19</v>
      </c>
    </row>
    <row r="4" spans="1:3">
      <c r="A4" s="13" t="s">
        <v>16</v>
      </c>
      <c r="B4" s="2">
        <v>535.11111111111109</v>
      </c>
      <c r="C4" s="2">
        <v>536.13888888888891</v>
      </c>
    </row>
    <row r="5" spans="1:3">
      <c r="A5" s="13" t="s">
        <v>17</v>
      </c>
      <c r="B5" s="2">
        <v>548.25</v>
      </c>
      <c r="C5" s="2">
        <v>539.02777777777783</v>
      </c>
    </row>
    <row r="6" spans="1:3">
      <c r="A6" s="13" t="s">
        <v>15</v>
      </c>
      <c r="B6" s="2">
        <v>541.68055555555554</v>
      </c>
      <c r="C6" s="2">
        <v>537.58333333333337</v>
      </c>
    </row>
    <row r="34" spans="1:2">
      <c r="A34" s="12" t="s">
        <v>14</v>
      </c>
      <c r="B34" t="s">
        <v>25</v>
      </c>
    </row>
    <row r="35" spans="1:2">
      <c r="A35" s="13" t="s">
        <v>4</v>
      </c>
      <c r="B35" s="2">
        <v>4.1217908792200421E-2</v>
      </c>
    </row>
    <row r="36" spans="1:2">
      <c r="A36" s="14" t="s">
        <v>21</v>
      </c>
      <c r="B36" s="2">
        <v>4.445594322062122E-2</v>
      </c>
    </row>
    <row r="37" spans="1:2">
      <c r="A37" s="14" t="s">
        <v>22</v>
      </c>
      <c r="B37" s="2">
        <v>3.4880747739733389E-2</v>
      </c>
    </row>
    <row r="38" spans="1:2">
      <c r="A38" s="14" t="s">
        <v>23</v>
      </c>
      <c r="B38" s="2">
        <v>2.7950867182704273E-2</v>
      </c>
    </row>
    <row r="39" spans="1:2">
      <c r="A39" s="14" t="s">
        <v>24</v>
      </c>
      <c r="B39" s="2">
        <v>5.7584077025742808E-2</v>
      </c>
    </row>
    <row r="40" spans="1:2">
      <c r="A40" s="13" t="s">
        <v>5</v>
      </c>
      <c r="B40" s="2">
        <v>3.8530436320863108E-2</v>
      </c>
    </row>
    <row r="41" spans="1:2">
      <c r="A41" s="14" t="s">
        <v>21</v>
      </c>
      <c r="B41" s="2">
        <v>3.1479348227794961E-2</v>
      </c>
    </row>
    <row r="42" spans="1:2">
      <c r="A42" s="14" t="s">
        <v>22</v>
      </c>
      <c r="B42" s="2">
        <v>4.925063485305383E-2</v>
      </c>
    </row>
    <row r="43" spans="1:2">
      <c r="A43" s="14" t="s">
        <v>23</v>
      </c>
      <c r="B43" s="2">
        <v>3.0061181404031839E-2</v>
      </c>
    </row>
    <row r="44" spans="1:2">
      <c r="A44" s="14" t="s">
        <v>24</v>
      </c>
      <c r="B44" s="2">
        <v>4.333058079857182E-2</v>
      </c>
    </row>
    <row r="45" spans="1:2">
      <c r="A45" s="13" t="s">
        <v>6</v>
      </c>
      <c r="B45" s="2">
        <v>4.8186239327551561E-2</v>
      </c>
    </row>
    <row r="46" spans="1:2">
      <c r="A46" s="14" t="s">
        <v>21</v>
      </c>
      <c r="B46" s="2">
        <v>6.5510406543219477E-2</v>
      </c>
    </row>
    <row r="47" spans="1:2">
      <c r="A47" s="14" t="s">
        <v>22</v>
      </c>
      <c r="B47" s="2">
        <v>6.2712511101681814E-2</v>
      </c>
    </row>
    <row r="48" spans="1:2">
      <c r="A48" s="14" t="s">
        <v>23</v>
      </c>
      <c r="B48" s="2">
        <v>4.5529218807907335E-2</v>
      </c>
    </row>
    <row r="49" spans="1:2">
      <c r="A49" s="14" t="s">
        <v>24</v>
      </c>
      <c r="B49" s="2">
        <v>1.8992820857397726E-2</v>
      </c>
    </row>
    <row r="50" spans="1:2">
      <c r="A50" s="13" t="s">
        <v>15</v>
      </c>
      <c r="B50" s="2">
        <v>4.2644861480205035E-2</v>
      </c>
    </row>
    <row r="82" spans="4:4" ht="18">
      <c r="D82" s="7"/>
    </row>
  </sheetData>
  <pageMargins left="0.7" right="0.7" top="0.75" bottom="0.75" header="0.3" footer="0.3"/>
  <pageSetup scale="36" orientation="landscape" horizontalDpi="0" verticalDpi="0"/>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7E869-653C-E64C-AC6B-7416467DAE59}">
  <dimension ref="A1:F73"/>
  <sheetViews>
    <sheetView topLeftCell="A54" workbookViewId="0">
      <selection activeCell="D14" sqref="D14"/>
    </sheetView>
  </sheetViews>
  <sheetFormatPr baseColWidth="10" defaultRowHeight="16"/>
  <cols>
    <col min="1" max="1" width="8.83203125" bestFit="1" customWidth="1"/>
    <col min="2" max="2" width="7" bestFit="1" customWidth="1"/>
    <col min="3" max="3" width="11" bestFit="1" customWidth="1"/>
    <col min="4" max="4" width="9" bestFit="1" customWidth="1"/>
    <col min="5" max="5" width="19.5" bestFit="1" customWidth="1"/>
    <col min="6" max="6" width="17" bestFit="1" customWidth="1"/>
  </cols>
  <sheetData>
    <row r="1" spans="1:6">
      <c r="A1" t="s">
        <v>0</v>
      </c>
      <c r="B1" t="s">
        <v>1</v>
      </c>
      <c r="C1" t="s">
        <v>2</v>
      </c>
      <c r="D1" t="s">
        <v>3</v>
      </c>
      <c r="E1" t="s">
        <v>32</v>
      </c>
      <c r="F1" t="s">
        <v>33</v>
      </c>
    </row>
    <row r="2" spans="1:6">
      <c r="A2" s="1">
        <v>44927</v>
      </c>
      <c r="B2" s="18" t="s">
        <v>4</v>
      </c>
      <c r="C2">
        <v>581</v>
      </c>
      <c r="D2">
        <v>574</v>
      </c>
      <c r="E2">
        <v>7</v>
      </c>
      <c r="F2">
        <v>14</v>
      </c>
    </row>
    <row r="3" spans="1:6">
      <c r="A3" s="1">
        <v>44958</v>
      </c>
      <c r="B3" s="18" t="s">
        <v>4</v>
      </c>
      <c r="C3">
        <v>621</v>
      </c>
      <c r="D3">
        <v>572</v>
      </c>
      <c r="E3">
        <v>49</v>
      </c>
      <c r="F3">
        <v>98</v>
      </c>
    </row>
    <row r="4" spans="1:6">
      <c r="A4" s="1">
        <v>44986</v>
      </c>
      <c r="B4" s="18" t="s">
        <v>4</v>
      </c>
      <c r="C4">
        <v>561</v>
      </c>
      <c r="D4">
        <v>548</v>
      </c>
      <c r="E4">
        <v>13</v>
      </c>
      <c r="F4">
        <v>26</v>
      </c>
    </row>
    <row r="5" spans="1:6">
      <c r="A5" s="1">
        <v>45017</v>
      </c>
      <c r="B5" s="18" t="s">
        <v>4</v>
      </c>
      <c r="C5">
        <v>551</v>
      </c>
      <c r="D5">
        <v>549</v>
      </c>
      <c r="E5">
        <v>2</v>
      </c>
      <c r="F5">
        <v>4</v>
      </c>
    </row>
    <row r="6" spans="1:6">
      <c r="A6" s="1">
        <v>45047</v>
      </c>
      <c r="B6" s="18" t="s">
        <v>4</v>
      </c>
      <c r="C6">
        <v>478</v>
      </c>
      <c r="D6">
        <v>523</v>
      </c>
      <c r="E6">
        <v>0</v>
      </c>
      <c r="F6">
        <v>0</v>
      </c>
    </row>
    <row r="7" spans="1:6">
      <c r="A7" s="1">
        <v>45078</v>
      </c>
      <c r="B7" s="18" t="s">
        <v>4</v>
      </c>
      <c r="C7">
        <v>524</v>
      </c>
      <c r="D7">
        <v>503</v>
      </c>
      <c r="E7">
        <v>21</v>
      </c>
      <c r="F7">
        <v>42</v>
      </c>
    </row>
    <row r="8" spans="1:6">
      <c r="A8" s="1">
        <v>45108</v>
      </c>
      <c r="B8" s="18" t="s">
        <v>4</v>
      </c>
      <c r="C8">
        <v>574</v>
      </c>
      <c r="D8">
        <v>599</v>
      </c>
      <c r="E8">
        <v>0</v>
      </c>
      <c r="F8">
        <v>0</v>
      </c>
    </row>
    <row r="9" spans="1:6">
      <c r="A9" s="1">
        <v>45139</v>
      </c>
      <c r="B9" s="18" t="s">
        <v>4</v>
      </c>
      <c r="C9">
        <v>544</v>
      </c>
      <c r="D9">
        <v>559</v>
      </c>
      <c r="E9">
        <v>0</v>
      </c>
      <c r="F9">
        <v>0</v>
      </c>
    </row>
    <row r="10" spans="1:6">
      <c r="A10" s="1">
        <v>45170</v>
      </c>
      <c r="B10" s="18" t="s">
        <v>4</v>
      </c>
      <c r="C10">
        <v>544</v>
      </c>
      <c r="D10">
        <v>545</v>
      </c>
      <c r="E10">
        <v>0</v>
      </c>
      <c r="F10">
        <v>0</v>
      </c>
    </row>
    <row r="11" spans="1:6">
      <c r="A11" s="1">
        <v>45200</v>
      </c>
      <c r="B11" s="18" t="s">
        <v>4</v>
      </c>
      <c r="C11">
        <v>506</v>
      </c>
      <c r="D11">
        <v>514</v>
      </c>
      <c r="E11">
        <v>0</v>
      </c>
      <c r="F11">
        <v>0</v>
      </c>
    </row>
    <row r="12" spans="1:6">
      <c r="A12" s="1">
        <v>45231</v>
      </c>
      <c r="B12" s="18" t="s">
        <v>4</v>
      </c>
      <c r="C12">
        <v>498</v>
      </c>
      <c r="D12">
        <v>544</v>
      </c>
      <c r="E12">
        <v>0</v>
      </c>
      <c r="F12">
        <v>0</v>
      </c>
    </row>
    <row r="13" spans="1:6">
      <c r="A13" s="1">
        <v>45261</v>
      </c>
      <c r="B13" s="18" t="s">
        <v>4</v>
      </c>
      <c r="C13">
        <v>527</v>
      </c>
      <c r="D13">
        <v>550</v>
      </c>
      <c r="E13">
        <v>0</v>
      </c>
      <c r="F13">
        <v>0</v>
      </c>
    </row>
    <row r="14" spans="1:6">
      <c r="A14" s="1">
        <v>45292</v>
      </c>
      <c r="B14" s="18" t="s">
        <v>4</v>
      </c>
      <c r="C14">
        <v>591</v>
      </c>
      <c r="D14">
        <v>564</v>
      </c>
      <c r="E14">
        <v>27</v>
      </c>
      <c r="F14">
        <v>54</v>
      </c>
    </row>
    <row r="15" spans="1:6">
      <c r="A15" s="1">
        <v>45323</v>
      </c>
      <c r="B15" s="18" t="s">
        <v>4</v>
      </c>
      <c r="C15">
        <v>576</v>
      </c>
      <c r="D15">
        <v>556</v>
      </c>
      <c r="E15">
        <v>20</v>
      </c>
      <c r="F15">
        <v>40</v>
      </c>
    </row>
    <row r="16" spans="1:6">
      <c r="A16" s="1">
        <v>45352</v>
      </c>
      <c r="B16" s="18" t="s">
        <v>4</v>
      </c>
      <c r="C16">
        <v>553</v>
      </c>
      <c r="D16">
        <v>533</v>
      </c>
      <c r="E16">
        <v>20</v>
      </c>
      <c r="F16">
        <v>40</v>
      </c>
    </row>
    <row r="17" spans="1:6">
      <c r="A17" s="1">
        <v>45383</v>
      </c>
      <c r="B17" s="18" t="s">
        <v>4</v>
      </c>
      <c r="C17">
        <v>564</v>
      </c>
      <c r="D17">
        <v>559</v>
      </c>
      <c r="E17">
        <v>5</v>
      </c>
      <c r="F17">
        <v>10</v>
      </c>
    </row>
    <row r="18" spans="1:6">
      <c r="A18" s="1">
        <v>45413</v>
      </c>
      <c r="B18" s="18" t="s">
        <v>4</v>
      </c>
      <c r="C18">
        <v>546</v>
      </c>
      <c r="D18">
        <v>527</v>
      </c>
      <c r="E18">
        <v>19</v>
      </c>
      <c r="F18">
        <v>38</v>
      </c>
    </row>
    <row r="19" spans="1:6">
      <c r="A19" s="1">
        <v>45444</v>
      </c>
      <c r="B19" s="18" t="s">
        <v>4</v>
      </c>
      <c r="C19">
        <v>535</v>
      </c>
      <c r="D19">
        <v>528</v>
      </c>
      <c r="E19">
        <v>7</v>
      </c>
      <c r="F19">
        <v>14</v>
      </c>
    </row>
    <row r="20" spans="1:6">
      <c r="A20" s="1">
        <v>45474</v>
      </c>
      <c r="B20" s="18" t="s">
        <v>4</v>
      </c>
      <c r="C20">
        <v>542</v>
      </c>
      <c r="D20">
        <v>547</v>
      </c>
      <c r="E20">
        <v>0</v>
      </c>
      <c r="F20">
        <v>0</v>
      </c>
    </row>
    <row r="21" spans="1:6">
      <c r="A21" s="1">
        <v>45505</v>
      </c>
      <c r="B21" s="18" t="s">
        <v>4</v>
      </c>
      <c r="C21">
        <v>590</v>
      </c>
      <c r="D21">
        <v>556</v>
      </c>
      <c r="E21">
        <v>34</v>
      </c>
      <c r="F21">
        <v>68</v>
      </c>
    </row>
    <row r="22" spans="1:6">
      <c r="A22" s="1">
        <v>45536</v>
      </c>
      <c r="B22" s="18" t="s">
        <v>4</v>
      </c>
      <c r="C22">
        <v>572</v>
      </c>
      <c r="D22">
        <v>579</v>
      </c>
      <c r="E22">
        <v>0</v>
      </c>
      <c r="F22">
        <v>0</v>
      </c>
    </row>
    <row r="23" spans="1:6">
      <c r="A23" s="1">
        <v>45566</v>
      </c>
      <c r="B23" s="18" t="s">
        <v>4</v>
      </c>
      <c r="C23">
        <v>522</v>
      </c>
      <c r="D23">
        <v>545</v>
      </c>
      <c r="E23">
        <v>0</v>
      </c>
      <c r="F23">
        <v>0</v>
      </c>
    </row>
    <row r="24" spans="1:6">
      <c r="A24" s="1">
        <v>45597</v>
      </c>
      <c r="B24" s="18" t="s">
        <v>4</v>
      </c>
      <c r="C24">
        <v>604</v>
      </c>
      <c r="D24">
        <v>568</v>
      </c>
      <c r="E24">
        <v>36</v>
      </c>
      <c r="F24">
        <v>72</v>
      </c>
    </row>
    <row r="25" spans="1:6">
      <c r="A25" s="1">
        <v>45627</v>
      </c>
      <c r="B25" s="18" t="s">
        <v>4</v>
      </c>
      <c r="C25">
        <v>594</v>
      </c>
      <c r="D25">
        <v>557</v>
      </c>
      <c r="E25">
        <v>37</v>
      </c>
      <c r="F25">
        <v>74</v>
      </c>
    </row>
    <row r="26" spans="1:6">
      <c r="A26" s="1">
        <v>44927</v>
      </c>
      <c r="B26" s="18" t="s">
        <v>5</v>
      </c>
      <c r="C26">
        <v>569</v>
      </c>
      <c r="D26">
        <v>537</v>
      </c>
      <c r="E26">
        <v>32</v>
      </c>
      <c r="F26">
        <v>64</v>
      </c>
    </row>
    <row r="27" spans="1:6">
      <c r="A27" s="1">
        <v>44958</v>
      </c>
      <c r="B27" s="18" t="s">
        <v>5</v>
      </c>
      <c r="C27">
        <v>575</v>
      </c>
      <c r="D27">
        <v>545</v>
      </c>
      <c r="E27">
        <v>30</v>
      </c>
      <c r="F27">
        <v>60</v>
      </c>
    </row>
    <row r="28" spans="1:6">
      <c r="A28" s="1">
        <v>44986</v>
      </c>
      <c r="B28" s="18" t="s">
        <v>5</v>
      </c>
      <c r="C28">
        <v>568</v>
      </c>
      <c r="D28">
        <v>581</v>
      </c>
      <c r="E28">
        <v>0</v>
      </c>
      <c r="F28">
        <v>0</v>
      </c>
    </row>
    <row r="29" spans="1:6">
      <c r="A29" s="1">
        <v>45017</v>
      </c>
      <c r="B29" s="18" t="s">
        <v>5</v>
      </c>
      <c r="C29">
        <v>532</v>
      </c>
      <c r="D29">
        <v>534</v>
      </c>
      <c r="E29">
        <v>0</v>
      </c>
      <c r="F29">
        <v>0</v>
      </c>
    </row>
    <row r="30" spans="1:6">
      <c r="A30" s="1">
        <v>45047</v>
      </c>
      <c r="B30" s="18" t="s">
        <v>5</v>
      </c>
      <c r="C30">
        <v>556</v>
      </c>
      <c r="D30">
        <v>519</v>
      </c>
      <c r="E30">
        <v>37</v>
      </c>
      <c r="F30">
        <v>74</v>
      </c>
    </row>
    <row r="31" spans="1:6">
      <c r="A31" s="1">
        <v>45078</v>
      </c>
      <c r="B31" s="18" t="s">
        <v>5</v>
      </c>
      <c r="C31">
        <v>489</v>
      </c>
      <c r="D31">
        <v>531</v>
      </c>
      <c r="E31">
        <v>0</v>
      </c>
      <c r="F31">
        <v>0</v>
      </c>
    </row>
    <row r="32" spans="1:6">
      <c r="A32" s="1">
        <v>45108</v>
      </c>
      <c r="B32" s="18" t="s">
        <v>5</v>
      </c>
      <c r="C32">
        <v>561</v>
      </c>
      <c r="D32">
        <v>551</v>
      </c>
      <c r="E32">
        <v>10</v>
      </c>
      <c r="F32">
        <v>20</v>
      </c>
    </row>
    <row r="33" spans="1:6">
      <c r="A33" s="1">
        <v>45139</v>
      </c>
      <c r="B33" s="18" t="s">
        <v>5</v>
      </c>
      <c r="C33">
        <v>626</v>
      </c>
      <c r="D33">
        <v>567</v>
      </c>
      <c r="E33">
        <v>59</v>
      </c>
      <c r="F33">
        <v>118</v>
      </c>
    </row>
    <row r="34" spans="1:6">
      <c r="A34" s="1">
        <v>45170</v>
      </c>
      <c r="B34" s="18" t="s">
        <v>5</v>
      </c>
      <c r="C34">
        <v>618</v>
      </c>
      <c r="D34">
        <v>560</v>
      </c>
      <c r="E34">
        <v>58</v>
      </c>
      <c r="F34">
        <v>116</v>
      </c>
    </row>
    <row r="35" spans="1:6">
      <c r="A35" s="1">
        <v>45200</v>
      </c>
      <c r="B35" s="18" t="s">
        <v>5</v>
      </c>
      <c r="C35">
        <v>502</v>
      </c>
      <c r="D35">
        <v>560</v>
      </c>
      <c r="E35">
        <v>0</v>
      </c>
      <c r="F35">
        <v>0</v>
      </c>
    </row>
    <row r="36" spans="1:6">
      <c r="A36" s="1">
        <v>45231</v>
      </c>
      <c r="B36" s="18" t="s">
        <v>5</v>
      </c>
      <c r="C36">
        <v>563</v>
      </c>
      <c r="D36">
        <v>585</v>
      </c>
      <c r="E36">
        <v>0</v>
      </c>
      <c r="F36">
        <v>0</v>
      </c>
    </row>
    <row r="37" spans="1:6">
      <c r="A37" s="1">
        <v>45261</v>
      </c>
      <c r="B37" s="18" t="s">
        <v>5</v>
      </c>
      <c r="C37">
        <v>544</v>
      </c>
      <c r="D37">
        <v>539</v>
      </c>
      <c r="E37">
        <v>5</v>
      </c>
      <c r="F37">
        <v>10</v>
      </c>
    </row>
    <row r="38" spans="1:6">
      <c r="A38" s="1">
        <v>45292</v>
      </c>
      <c r="B38" s="18" t="s">
        <v>5</v>
      </c>
      <c r="C38">
        <v>511</v>
      </c>
      <c r="D38">
        <v>550</v>
      </c>
      <c r="E38">
        <v>0</v>
      </c>
      <c r="F38">
        <v>0</v>
      </c>
    </row>
    <row r="39" spans="1:6">
      <c r="A39" s="1">
        <v>45323</v>
      </c>
      <c r="B39" s="18" t="s">
        <v>5</v>
      </c>
      <c r="C39">
        <v>527</v>
      </c>
      <c r="D39">
        <v>547</v>
      </c>
      <c r="E39">
        <v>0</v>
      </c>
      <c r="F39">
        <v>0</v>
      </c>
    </row>
    <row r="40" spans="1:6">
      <c r="A40" s="1">
        <v>45352</v>
      </c>
      <c r="B40" s="18" t="s">
        <v>5</v>
      </c>
      <c r="C40">
        <v>537</v>
      </c>
      <c r="D40">
        <v>541</v>
      </c>
      <c r="E40">
        <v>0</v>
      </c>
      <c r="F40">
        <v>0</v>
      </c>
    </row>
    <row r="41" spans="1:6">
      <c r="A41" s="1">
        <v>45383</v>
      </c>
      <c r="B41" s="18" t="s">
        <v>5</v>
      </c>
      <c r="C41">
        <v>585</v>
      </c>
      <c r="D41">
        <v>543</v>
      </c>
      <c r="E41">
        <v>42</v>
      </c>
      <c r="F41">
        <v>84</v>
      </c>
    </row>
    <row r="42" spans="1:6">
      <c r="A42" s="1">
        <v>45413</v>
      </c>
      <c r="B42" s="18" t="s">
        <v>5</v>
      </c>
      <c r="C42">
        <v>536</v>
      </c>
      <c r="D42">
        <v>537</v>
      </c>
      <c r="E42">
        <v>0</v>
      </c>
      <c r="F42">
        <v>0</v>
      </c>
    </row>
    <row r="43" spans="1:6">
      <c r="A43" s="1">
        <v>45444</v>
      </c>
      <c r="B43" s="18" t="s">
        <v>5</v>
      </c>
      <c r="C43">
        <v>545</v>
      </c>
      <c r="D43">
        <v>539</v>
      </c>
      <c r="E43">
        <v>6</v>
      </c>
      <c r="F43">
        <v>12</v>
      </c>
    </row>
    <row r="44" spans="1:6">
      <c r="A44" s="1">
        <v>45474</v>
      </c>
      <c r="B44" s="18" t="s">
        <v>5</v>
      </c>
      <c r="C44">
        <v>570</v>
      </c>
      <c r="D44">
        <v>555</v>
      </c>
      <c r="E44">
        <v>15</v>
      </c>
      <c r="F44">
        <v>30</v>
      </c>
    </row>
    <row r="45" spans="1:6">
      <c r="A45" s="1">
        <v>45505</v>
      </c>
      <c r="B45" s="18" t="s">
        <v>5</v>
      </c>
      <c r="C45">
        <v>582</v>
      </c>
      <c r="D45">
        <v>566</v>
      </c>
      <c r="E45">
        <v>16</v>
      </c>
      <c r="F45">
        <v>32</v>
      </c>
    </row>
    <row r="46" spans="1:6">
      <c r="A46" s="1">
        <v>45536</v>
      </c>
      <c r="B46" s="18" t="s">
        <v>5</v>
      </c>
      <c r="C46">
        <v>534</v>
      </c>
      <c r="D46">
        <v>534</v>
      </c>
      <c r="E46">
        <v>0</v>
      </c>
      <c r="F46">
        <v>0</v>
      </c>
    </row>
    <row r="47" spans="1:6">
      <c r="A47" s="1">
        <v>45566</v>
      </c>
      <c r="B47" s="18" t="s">
        <v>5</v>
      </c>
      <c r="C47">
        <v>497</v>
      </c>
      <c r="D47">
        <v>532</v>
      </c>
      <c r="E47">
        <v>0</v>
      </c>
      <c r="F47">
        <v>0</v>
      </c>
    </row>
    <row r="48" spans="1:6">
      <c r="A48" s="1">
        <v>45597</v>
      </c>
      <c r="B48" s="18" t="s">
        <v>5</v>
      </c>
      <c r="C48">
        <v>569</v>
      </c>
      <c r="D48">
        <v>546</v>
      </c>
      <c r="E48">
        <v>23</v>
      </c>
      <c r="F48">
        <v>46</v>
      </c>
    </row>
    <row r="49" spans="1:6">
      <c r="A49" s="1">
        <v>45627</v>
      </c>
      <c r="B49" s="18" t="s">
        <v>5</v>
      </c>
      <c r="C49">
        <v>547</v>
      </c>
      <c r="D49">
        <v>535</v>
      </c>
      <c r="E49">
        <v>12</v>
      </c>
      <c r="F49">
        <v>24</v>
      </c>
    </row>
    <row r="50" spans="1:6">
      <c r="A50" s="1">
        <v>44927</v>
      </c>
      <c r="B50" s="18" t="s">
        <v>6</v>
      </c>
      <c r="C50">
        <v>638</v>
      </c>
      <c r="D50">
        <v>611</v>
      </c>
      <c r="E50">
        <v>27</v>
      </c>
      <c r="F50">
        <v>54</v>
      </c>
    </row>
    <row r="51" spans="1:6">
      <c r="A51" s="1">
        <v>44958</v>
      </c>
      <c r="B51" s="18" t="s">
        <v>6</v>
      </c>
      <c r="C51">
        <v>585</v>
      </c>
      <c r="D51">
        <v>585</v>
      </c>
      <c r="E51">
        <v>0</v>
      </c>
      <c r="F51">
        <v>0</v>
      </c>
    </row>
    <row r="52" spans="1:6">
      <c r="A52" s="1">
        <v>44986</v>
      </c>
      <c r="B52" s="18" t="s">
        <v>6</v>
      </c>
      <c r="C52">
        <v>588</v>
      </c>
      <c r="D52">
        <v>646</v>
      </c>
      <c r="E52">
        <v>0</v>
      </c>
      <c r="F52">
        <v>0</v>
      </c>
    </row>
    <row r="53" spans="1:6">
      <c r="A53" s="1">
        <v>45017</v>
      </c>
      <c r="B53" s="18" t="s">
        <v>6</v>
      </c>
      <c r="C53">
        <v>572</v>
      </c>
      <c r="D53">
        <v>597</v>
      </c>
      <c r="E53">
        <v>0</v>
      </c>
      <c r="F53">
        <v>0</v>
      </c>
    </row>
    <row r="54" spans="1:6">
      <c r="A54" s="1">
        <v>45047</v>
      </c>
      <c r="B54" s="18" t="s">
        <v>6</v>
      </c>
      <c r="C54">
        <v>649</v>
      </c>
      <c r="D54">
        <v>609</v>
      </c>
      <c r="E54">
        <v>40</v>
      </c>
      <c r="F54">
        <v>80</v>
      </c>
    </row>
    <row r="55" spans="1:6">
      <c r="A55" s="1">
        <v>45078</v>
      </c>
      <c r="B55" s="18" t="s">
        <v>6</v>
      </c>
      <c r="C55">
        <v>609</v>
      </c>
      <c r="D55">
        <v>574</v>
      </c>
      <c r="E55">
        <v>35</v>
      </c>
      <c r="F55">
        <v>70</v>
      </c>
    </row>
    <row r="56" spans="1:6">
      <c r="A56" s="1">
        <v>45108</v>
      </c>
      <c r="B56" s="18" t="s">
        <v>6</v>
      </c>
      <c r="C56">
        <v>599</v>
      </c>
      <c r="D56">
        <v>610</v>
      </c>
      <c r="E56">
        <v>0</v>
      </c>
      <c r="F56">
        <v>0</v>
      </c>
    </row>
    <row r="57" spans="1:6">
      <c r="A57" s="1">
        <v>45139</v>
      </c>
      <c r="B57" s="18" t="s">
        <v>6</v>
      </c>
      <c r="C57">
        <v>612</v>
      </c>
      <c r="D57">
        <v>597</v>
      </c>
      <c r="E57">
        <v>15</v>
      </c>
      <c r="F57">
        <v>30</v>
      </c>
    </row>
    <row r="58" spans="1:6">
      <c r="A58" s="1">
        <v>45170</v>
      </c>
      <c r="B58" s="18" t="s">
        <v>6</v>
      </c>
      <c r="C58">
        <v>683</v>
      </c>
      <c r="D58">
        <v>600</v>
      </c>
      <c r="E58">
        <v>83</v>
      </c>
      <c r="F58">
        <v>166</v>
      </c>
    </row>
    <row r="59" spans="1:6">
      <c r="A59" s="1">
        <v>45200</v>
      </c>
      <c r="B59" s="18" t="s">
        <v>6</v>
      </c>
      <c r="C59">
        <v>571</v>
      </c>
      <c r="D59">
        <v>571</v>
      </c>
      <c r="E59">
        <v>0</v>
      </c>
      <c r="F59">
        <v>0</v>
      </c>
    </row>
    <row r="60" spans="1:6">
      <c r="A60" s="1">
        <v>45231</v>
      </c>
      <c r="B60" s="18" t="s">
        <v>6</v>
      </c>
      <c r="C60">
        <v>610</v>
      </c>
      <c r="D60">
        <v>610</v>
      </c>
      <c r="E60">
        <v>0</v>
      </c>
      <c r="F60">
        <v>0</v>
      </c>
    </row>
    <row r="61" spans="1:6">
      <c r="A61" s="1">
        <v>45261</v>
      </c>
      <c r="B61" s="18" t="s">
        <v>6</v>
      </c>
      <c r="C61">
        <v>631</v>
      </c>
      <c r="D61">
        <v>626</v>
      </c>
      <c r="E61">
        <v>5</v>
      </c>
      <c r="F61">
        <v>10</v>
      </c>
    </row>
    <row r="62" spans="1:6">
      <c r="A62" s="1">
        <v>45292</v>
      </c>
      <c r="B62" s="18" t="s">
        <v>6</v>
      </c>
      <c r="C62">
        <v>649</v>
      </c>
      <c r="D62">
        <v>631</v>
      </c>
      <c r="E62">
        <v>18</v>
      </c>
      <c r="F62">
        <v>36</v>
      </c>
    </row>
    <row r="63" spans="1:6">
      <c r="A63" s="1">
        <v>45323</v>
      </c>
      <c r="B63" s="18" t="s">
        <v>6</v>
      </c>
      <c r="C63">
        <v>634</v>
      </c>
      <c r="D63">
        <v>644</v>
      </c>
      <c r="E63">
        <v>0</v>
      </c>
      <c r="F63">
        <v>0</v>
      </c>
    </row>
    <row r="64" spans="1:6">
      <c r="A64" s="1">
        <v>45352</v>
      </c>
      <c r="B64" s="18" t="s">
        <v>6</v>
      </c>
      <c r="C64">
        <v>626</v>
      </c>
      <c r="D64">
        <v>608</v>
      </c>
      <c r="E64">
        <v>18</v>
      </c>
      <c r="F64">
        <v>36</v>
      </c>
    </row>
    <row r="65" spans="1:6">
      <c r="A65" s="1">
        <v>45383</v>
      </c>
      <c r="B65" s="18" t="s">
        <v>6</v>
      </c>
      <c r="C65">
        <v>529</v>
      </c>
      <c r="D65">
        <v>587</v>
      </c>
      <c r="E65">
        <v>0</v>
      </c>
      <c r="F65">
        <v>0</v>
      </c>
    </row>
    <row r="66" spans="1:6">
      <c r="A66" s="1">
        <v>45413</v>
      </c>
      <c r="B66" s="18" t="s">
        <v>6</v>
      </c>
      <c r="C66">
        <v>592</v>
      </c>
      <c r="D66">
        <v>582</v>
      </c>
      <c r="E66">
        <v>10</v>
      </c>
      <c r="F66">
        <v>20</v>
      </c>
    </row>
    <row r="67" spans="1:6">
      <c r="A67" s="1">
        <v>45444</v>
      </c>
      <c r="B67" s="18" t="s">
        <v>6</v>
      </c>
      <c r="C67">
        <v>571</v>
      </c>
      <c r="D67">
        <v>570</v>
      </c>
      <c r="E67">
        <v>1</v>
      </c>
      <c r="F67">
        <v>2</v>
      </c>
    </row>
    <row r="68" spans="1:6">
      <c r="A68" s="1">
        <v>45474</v>
      </c>
      <c r="B68" s="18" t="s">
        <v>6</v>
      </c>
      <c r="C68">
        <v>590</v>
      </c>
      <c r="D68">
        <v>596</v>
      </c>
      <c r="E68">
        <v>0</v>
      </c>
      <c r="F68">
        <v>0</v>
      </c>
    </row>
    <row r="69" spans="1:6">
      <c r="A69" s="1">
        <v>45505</v>
      </c>
      <c r="B69" s="18" t="s">
        <v>6</v>
      </c>
      <c r="C69">
        <v>572</v>
      </c>
      <c r="D69">
        <v>586</v>
      </c>
      <c r="E69">
        <v>0</v>
      </c>
      <c r="F69">
        <v>0</v>
      </c>
    </row>
    <row r="70" spans="1:6">
      <c r="A70" s="1">
        <v>45536</v>
      </c>
      <c r="B70" s="18" t="s">
        <v>6</v>
      </c>
      <c r="C70">
        <v>594</v>
      </c>
      <c r="D70">
        <v>612</v>
      </c>
      <c r="E70">
        <v>0</v>
      </c>
      <c r="F70">
        <v>0</v>
      </c>
    </row>
    <row r="71" spans="1:6">
      <c r="A71" s="1">
        <v>45566</v>
      </c>
      <c r="B71" s="18" t="s">
        <v>6</v>
      </c>
      <c r="C71">
        <v>575</v>
      </c>
      <c r="D71">
        <v>599</v>
      </c>
      <c r="E71">
        <v>0</v>
      </c>
      <c r="F71">
        <v>0</v>
      </c>
    </row>
    <row r="72" spans="1:6">
      <c r="A72" s="1">
        <v>45597</v>
      </c>
      <c r="B72" s="18" t="s">
        <v>6</v>
      </c>
      <c r="C72">
        <v>537</v>
      </c>
      <c r="D72">
        <v>606</v>
      </c>
      <c r="E72">
        <v>0</v>
      </c>
      <c r="F72">
        <v>0</v>
      </c>
    </row>
    <row r="73" spans="1:6">
      <c r="A73" s="1">
        <v>45627</v>
      </c>
      <c r="B73" s="18" t="s">
        <v>6</v>
      </c>
      <c r="C73">
        <v>594</v>
      </c>
      <c r="D73">
        <v>602</v>
      </c>
      <c r="E73">
        <v>0</v>
      </c>
      <c r="F73">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C3498-3033-BC4E-81C8-B71D55E6A8FE}">
  <dimension ref="A1:D7"/>
  <sheetViews>
    <sheetView workbookViewId="0">
      <selection activeCell="L23" sqref="L23"/>
    </sheetView>
  </sheetViews>
  <sheetFormatPr baseColWidth="10" defaultRowHeight="16"/>
  <cols>
    <col min="1" max="2" width="10.83203125" style="20"/>
    <col min="3" max="3" width="23" style="20" customWidth="1"/>
    <col min="4" max="4" width="23.1640625" style="20" customWidth="1"/>
  </cols>
  <sheetData>
    <row r="1" spans="1:4">
      <c r="A1" s="19" t="s">
        <v>1</v>
      </c>
      <c r="B1" s="20" t="s">
        <v>26</v>
      </c>
      <c r="C1" s="20" t="s">
        <v>36</v>
      </c>
      <c r="D1" s="20" t="s">
        <v>37</v>
      </c>
    </row>
    <row r="2" spans="1:4">
      <c r="A2" s="21" t="s">
        <v>4</v>
      </c>
      <c r="B2" s="20" t="s">
        <v>3</v>
      </c>
      <c r="C2" s="20">
        <f>SUMIFS('Inventory_Holding_Cost(Scen. D)'!F:F, 'Inventory_Holding_Cost(Scen. D)'!B:B, "SKU_A")</f>
        <v>594</v>
      </c>
      <c r="D2" s="20">
        <f>AVERAGEIFS('Inventory_Holding_Cost(Scen. D)'!E:E, 'Inventory_Holding_Cost(Scen. D)'!B:B, "SKU_A")</f>
        <v>12.375</v>
      </c>
    </row>
    <row r="3" spans="1:4">
      <c r="A3" s="21" t="s">
        <v>4</v>
      </c>
      <c r="B3" s="20" t="s">
        <v>38</v>
      </c>
      <c r="C3" s="20">
        <v>0</v>
      </c>
      <c r="D3" s="20">
        <v>0</v>
      </c>
    </row>
    <row r="4" spans="1:4">
      <c r="A4" s="21" t="s">
        <v>5</v>
      </c>
      <c r="B4" s="20" t="s">
        <v>3</v>
      </c>
      <c r="C4" s="20">
        <f>SUMIFS('Inventory_Holding_Cost(Scen. D)'!F:F, 'Inventory_Holding_Cost(Scen. D)'!B:B, "SKU_B")</f>
        <v>690</v>
      </c>
      <c r="D4" s="20">
        <f>AVERAGEIFS('Inventory_Holding_Cost(Scen. D)'!E:E, 'Inventory_Holding_Cost(Scen. D)'!B:B, "SKU_B")</f>
        <v>14.375</v>
      </c>
    </row>
    <row r="5" spans="1:4">
      <c r="A5" s="21" t="s">
        <v>5</v>
      </c>
      <c r="B5" s="20" t="s">
        <v>38</v>
      </c>
      <c r="C5" s="20">
        <v>0</v>
      </c>
      <c r="D5" s="20">
        <v>0</v>
      </c>
    </row>
    <row r="6" spans="1:4">
      <c r="A6" s="21" t="s">
        <v>6</v>
      </c>
      <c r="B6" s="20" t="s">
        <v>3</v>
      </c>
      <c r="C6" s="20">
        <f>SUMIFS('Inventory_Holding_Cost(Scen. D)'!F:F, 'Inventory_Holding_Cost(Scen. D)'!B:B, "SKU_C")</f>
        <v>504</v>
      </c>
      <c r="D6" s="20">
        <f>AVERAGEIFS('Inventory_Holding_Cost(Scen. D)'!E:E, 'Inventory_Holding_Cost(Scen. D)'!B:B, "SKU_C")</f>
        <v>10.5</v>
      </c>
    </row>
    <row r="7" spans="1:4">
      <c r="A7" s="21" t="s">
        <v>6</v>
      </c>
      <c r="B7" s="20" t="s">
        <v>38</v>
      </c>
      <c r="C7" s="20">
        <v>0</v>
      </c>
      <c r="D7" s="20">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BEB70-1E14-0B44-A331-85B88C483DCC}">
  <dimension ref="A3:B29"/>
  <sheetViews>
    <sheetView workbookViewId="0">
      <selection activeCell="O17" sqref="O17"/>
    </sheetView>
  </sheetViews>
  <sheetFormatPr baseColWidth="10" defaultRowHeight="16"/>
  <cols>
    <col min="1" max="1" width="13" bestFit="1" customWidth="1"/>
    <col min="2" max="2" width="23.1640625" bestFit="1" customWidth="1"/>
  </cols>
  <sheetData>
    <row r="3" spans="1:2">
      <c r="A3" s="12" t="s">
        <v>14</v>
      </c>
      <c r="B3" t="s">
        <v>34</v>
      </c>
    </row>
    <row r="4" spans="1:2">
      <c r="A4" s="13" t="s">
        <v>4</v>
      </c>
      <c r="B4" s="18">
        <v>594</v>
      </c>
    </row>
    <row r="5" spans="1:2">
      <c r="A5" s="13" t="s">
        <v>5</v>
      </c>
      <c r="B5" s="18">
        <v>690</v>
      </c>
    </row>
    <row r="6" spans="1:2">
      <c r="A6" s="13" t="s">
        <v>6</v>
      </c>
      <c r="B6" s="18">
        <v>504</v>
      </c>
    </row>
    <row r="7" spans="1:2">
      <c r="A7" s="13" t="s">
        <v>15</v>
      </c>
      <c r="B7" s="18">
        <v>1788</v>
      </c>
    </row>
    <row r="19" spans="1:2">
      <c r="A19" s="12" t="s">
        <v>14</v>
      </c>
      <c r="B19" t="s">
        <v>35</v>
      </c>
    </row>
    <row r="20" spans="1:2">
      <c r="A20" s="13" t="s">
        <v>4</v>
      </c>
      <c r="B20" s="18">
        <v>297</v>
      </c>
    </row>
    <row r="21" spans="1:2">
      <c r="A21" s="14" t="s">
        <v>16</v>
      </c>
      <c r="B21" s="18">
        <v>92</v>
      </c>
    </row>
    <row r="22" spans="1:2">
      <c r="A22" s="14" t="s">
        <v>17</v>
      </c>
      <c r="B22" s="18">
        <v>205</v>
      </c>
    </row>
    <row r="23" spans="1:2">
      <c r="A23" s="13" t="s">
        <v>5</v>
      </c>
      <c r="B23" s="18">
        <v>345</v>
      </c>
    </row>
    <row r="24" spans="1:2">
      <c r="A24" s="14" t="s">
        <v>16</v>
      </c>
      <c r="B24" s="18">
        <v>231</v>
      </c>
    </row>
    <row r="25" spans="1:2">
      <c r="A25" s="14" t="s">
        <v>17</v>
      </c>
      <c r="B25" s="18">
        <v>114</v>
      </c>
    </row>
    <row r="26" spans="1:2">
      <c r="A26" s="13" t="s">
        <v>6</v>
      </c>
      <c r="B26" s="18">
        <v>252</v>
      </c>
    </row>
    <row r="27" spans="1:2">
      <c r="A27" s="14" t="s">
        <v>16</v>
      </c>
      <c r="B27" s="18">
        <v>205</v>
      </c>
    </row>
    <row r="28" spans="1:2">
      <c r="A28" s="14" t="s">
        <v>17</v>
      </c>
      <c r="B28" s="18">
        <v>47</v>
      </c>
    </row>
    <row r="29" spans="1:2">
      <c r="A29" s="13" t="s">
        <v>15</v>
      </c>
      <c r="B29" s="18">
        <v>894</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I E A A B Q S w M E F A A A C A g A W K 3 x W o R F M a C l A A A A 9 g A A A B I A A A B D b 2 5 m a W c v U G F j a 2 F n Z S 5 4 b W y F j 0 s O g j A Y h K 9 C u q c P J M G Q n 7 J w K 4 k J 0 b h t a o V G K I Y W y 9 1 c e C S v I E Z R d y 5 n 5 p t k 5 n 6 9 Q T 6 2 T X B R v d W d y R D D F A X K y O 6 g T Z W h w R 3 D J c o 5 b I Q 8 i U o F E 2 x s O l q d o d q 5 c 0 q I 9 x 7 7 B e 7 6 i k S U M r I v 1 q W s V S t C b a w T R i r 0 a R 3 + t x C H 3 W s M j z C L Y 8 y S B F M g s w m F N l 8 g m v Y + 0 x 8 T V k P j h l 5 x Z c J t C W S W Q N 4 f + A N Q S w M E F A A A C A g A W K 3 x W q q 6 Y 6 m / A Q A A / g Y A A B M A A A B G b 3 J t d W x h c y 9 T Z W N 0 a W 9 u M S 5 t 7 V R N b 9 N A E L 1 H 6 n 9 Y G Q 6 O Z D l C Q p U Q 4 l A 5 i V o h I O C E C 0 K r 7 X q o V 6 x 3 Y H Y c C F X / e 8 d x k o K S U j 7 U W 0 / 2 z J t 9 8 3 b m a S N Y d h h U 2 X + f P D 8 a H A 1 i b Q g q d R a W E B h p p U / R V y 5 c 6 A I j 6 9 I 1 r T f r U y + U B x 4 o V W J L F i Q s 4 j I f o 2 0 b O Z h O n Y e 8 w M A S x D Q Z L S J Q H H E N 0 B j 6 2 k K M o z F + C x 5 N F U d 3 N s t t X C b D T H 0 Y g 3 e N Y y D p l 2 R J p g r 0 b R O i h M e Z e t s i Q 8 k r 3 8 m 5 C f L X G O D j M B O x j 5 I Z Y S N A p W o w l W h K p H R u z q V q g 5 z 2 + b S / l / T c 5 E + 8 L 6 3 x h r p m T O 2 O s a h N u B B C u 5 a i e P U F b k j n Z E L 8 h N T 0 Q u c C x v S A i k x d X i a v Z F 6 1 / H Y U q j I M V 5 J O y p e L b Y 7 h O 6 9 z U y S w J r I A Z 4 G P n + Y d 8 R o 5 s d w a v 5 / f z V i 9 W Q J 1 k v d r N t N X 3 f R V + n j 4 a 8 X V c O D C r T f + 2 T y l h W D I o Z 7 o s e w 7 V L q s 0 X 6 + J / f c 3 e 3 B P v 9 t n w k R 0 o H y 2 W R L H t r m H O h f X D L V W z 2 a U R c m 1 v d i j / 0 2 f + K L Z w + + + J 0 v F s G x n p G z s I / t x v 0 O 5 O 1 p D 1 T 0 r L f j G 0 C / l w W a c K h H t 0 Y 5 b 7 z 7 A d V f v V f X U E s D B B Q A A A g I A F i t 8 V o P y u m r p A A A A O k A A A A T A A A A W 0 N v b n R l b n R f V H l w Z X N d L n h t b G 2 O S w 7 C M A x E r x J 5 n 7 q w Q A g 1 Z Q H c g A t E w f 2 I 5 q P G R e F s L D g S V y B t d 4 i l Z + Z 5 5 v N 6 V 8 d k B / G g M f b e K d g U J Q h y x t 9 6 1 y q Y u J F 7 O N b V 9 R k o i h x 1 U U H H H A 6 I 0 X R k d S x 8 I J e d x o 9 W c z 7 H F o M 2 d 9 0 S b s t y h 8 Y 7 J s e S 5 x 9 Q V 2 d q 9 D S w u K Q s r 7 U Z B 3 F a c 3 O V A q b E u M j 4 l 7 A / e R 3 C 0 B v N 2 c Q k b Z R 2 I X E Z X n 8 B U E s B A h Q D F A A A C A g A W K 3 x W o R F M a C l A A A A 9 g A A A B I A A A A A A A A A A A A A A K S B A A A A A E N v b m Z p Z y 9 Q Y W N r Y W d l L n h t b F B L A Q I U A x Q A A A g I A F i t 8 V q q u m O p v w E A A P 4 G A A A T A A A A A A A A A A A A A A C k g d U A A A B G b 3 J t d W x h c y 9 T Z W N 0 a W 9 u M S 5 t U E s B A h Q D F A A A C A g A W K 3 x W g / K 6 a u k A A A A 6 Q A A A B M A A A A A A A A A A A A A A K S B x Q I A A F t D b 2 5 0 Z W 5 0 X 1 R 5 c G V z X S 5 4 b W x Q S w U G A A A A A A M A A w D C A A A A m 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i c A A A A A A A C Y J 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J b n Z l b n R v c n l f S G 9 s Z G l u Z 1 9 D b 3 N 0 X 1 N p b X V s Y X R p b 2 4 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z Q 0 M z U 2 Z i 0 z N 2 J m L T Q w Y j M t O G M x M S 0 4 M G Z h O D M w Y W V l M m M i I C 8 + P E V u d H J 5 I F R 5 c G U 9 I k J 1 Z m Z l c k 5 l e H R S Z W Z y Z X N o I i B W Y W x 1 Z T 0 i b D E i I C 8 + P E V u d H J 5 I F R 5 c G U 9 I l J l c 3 V s d F R 5 c G U i I F Z h b H V l P S J z V G F i b G U i I C 8 + P E V u d H J 5 I F R 5 c G U 9 I k 5 h b W V V c G R h d G V k Q W Z 0 Z X J G a W x s I i B W Y W x 1 Z T 0 i b D A i I C 8 + P E V u d H J 5 I F R 5 c G U 9 I k Z p b G x U Y X J n Z X Q i I F Z h b H V l P S J z S W 5 2 Z W 5 0 b 3 J 5 X 0 h v b G R p b m d f Q 2 9 z d C I g L z 4 8 R W 5 0 c n k g V H l w Z T 0 i R m l s b G V k Q 2 9 t c G x l d G V S Z X N 1 b H R U b 1 d v c m t z a G V l d C I g V m F s d W U 9 I m w x I i A v P j x F b n R y e S B U e X B l P S J B Z G R l Z F R v R G F 0 Y U 1 v Z G V s I i B W Y W x 1 Z T 0 i b D A i I C 8 + P E V u d H J 5 I F R 5 c G U 9 I k Z p b G x D b 3 V u d C I g V m F s d W U 9 I m w 3 M i I g L z 4 8 R W 5 0 c n k g V H l w Z T 0 i R m l s b E V y c m 9 y Q 2 9 k Z S I g V m F s d W U 9 I n N V b m t u b 3 d u I i A v P j x F b n R y e S B U e X B l P S J G a W x s R X J y b 3 J D b 3 V u d C I g V m F s d W U 9 I m w w I i A v P j x F b n R y e S B U e X B l P S J G a W x s T G F z d F V w Z G F 0 Z W Q i I F Z h b H V l P S J k M j A y N S 0 w N y 0 x N 1 Q x O T o z N j o y N S 4 0 M D U 3 O D M w W i I g L z 4 8 R W 5 0 c n k g V H l w Z T 0 i R m l s b E N v b H V t b l R 5 c G V z I i B W Y W x 1 Z T 0 i c 0 N R W U R B d 0 1 E I i A v P j x F b n R y e S B U e X B l P S J G a W x s Q 2 9 s d W 1 u T m F t Z X M i I F Z h b H V l P S J z W y Z x d W 9 0 O 0 1 v b n R o J n F 1 b 3 Q 7 L C Z x d W 9 0 O 1 N L V S Z x d W 9 0 O y w m c X V v d D t G b 3 J l Y 2 F z d C Z x d W 9 0 O y w m c X V v d D t B Y 3 R 1 Y W w m c X V v d D s s J n F 1 b 3 Q 7 S W 5 2 Z W 5 0 b 3 J 5 I E 9 2 Z X J o Y W 5 n J n F 1 b 3 Q 7 L C Z x d W 9 0 O 0 h v b G R p b m c g Q 2 9 z d C A o J C 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b n Z l b n R v c n l f S G 9 s Z G l u Z 1 9 D b 3 N 0 X 1 N p b X V s Y X R p b 2 4 v Q X V 0 b 1 J l b W 9 2 Z W R D b 2 x 1 b W 5 z M S 5 7 T W 9 u d G g s M H 0 m c X V v d D s s J n F 1 b 3 Q 7 U 2 V j d G l v b j E v S W 5 2 Z W 5 0 b 3 J 5 X 0 h v b G R p b m d f Q 2 9 z d F 9 T a W 1 1 b G F 0 a W 9 u L 0 F 1 d G 9 S Z W 1 v d m V k Q 2 9 s d W 1 u c z E u e 1 N L V S w x f S Z x d W 9 0 O y w m c X V v d D t T Z W N 0 a W 9 u M S 9 J b n Z l b n R v c n l f S G 9 s Z G l u Z 1 9 D b 3 N 0 X 1 N p b X V s Y X R p b 2 4 v Q X V 0 b 1 J l b W 9 2 Z W R D b 2 x 1 b W 5 z M S 5 7 R m 9 y Z W N h c 3 Q s M n 0 m c X V v d D s s J n F 1 b 3 Q 7 U 2 V j d G l v b j E v S W 5 2 Z W 5 0 b 3 J 5 X 0 h v b G R p b m d f Q 2 9 z d F 9 T a W 1 1 b G F 0 a W 9 u L 0 F 1 d G 9 S Z W 1 v d m V k Q 2 9 s d W 1 u c z E u e 0 F j d H V h b C w z f S Z x d W 9 0 O y w m c X V v d D t T Z W N 0 a W 9 u M S 9 J b n Z l b n R v c n l f S G 9 s Z G l u Z 1 9 D b 3 N 0 X 1 N p b X V s Y X R p b 2 4 v Q X V 0 b 1 J l b W 9 2 Z W R D b 2 x 1 b W 5 z M S 5 7 S W 5 2 Z W 5 0 b 3 J 5 I E 9 2 Z X J o Y W 5 n L D R 9 J n F 1 b 3 Q 7 L C Z x d W 9 0 O 1 N l Y 3 R p b 2 4 x L 0 l u d m V u d G 9 y e V 9 I b 2 x k a W 5 n X 0 N v c 3 R f U 2 l t d W x h d G l v b i 9 B d X R v U m V t b 3 Z l Z E N v b H V t b n M x L n t I b 2 x k a W 5 n I E N v c 3 Q g K C Q p L D V 9 J n F 1 b 3 Q 7 X S w m c X V v d D t D b 2 x 1 b W 5 D b 3 V u d C Z x d W 9 0 O z o 2 L C Z x d W 9 0 O 0 t l e U N v b H V t b k 5 h b W V z J n F 1 b 3 Q 7 O l t d L C Z x d W 9 0 O 0 N v b H V t b k l k Z W 5 0 a X R p Z X M m c X V v d D s 6 W y Z x d W 9 0 O 1 N l Y 3 R p b 2 4 x L 0 l u d m V u d G 9 y e V 9 I b 2 x k a W 5 n X 0 N v c 3 R f U 2 l t d W x h d G l v b i 9 B d X R v U m V t b 3 Z l Z E N v b H V t b n M x L n t N b 2 5 0 a C w w f S Z x d W 9 0 O y w m c X V v d D t T Z W N 0 a W 9 u M S 9 J b n Z l b n R v c n l f S G 9 s Z G l u Z 1 9 D b 3 N 0 X 1 N p b X V s Y X R p b 2 4 v Q X V 0 b 1 J l b W 9 2 Z W R D b 2 x 1 b W 5 z M S 5 7 U 0 t V L D F 9 J n F 1 b 3 Q 7 L C Z x d W 9 0 O 1 N l Y 3 R p b 2 4 x L 0 l u d m V u d G 9 y e V 9 I b 2 x k a W 5 n X 0 N v c 3 R f U 2 l t d W x h d G l v b i 9 B d X R v U m V t b 3 Z l Z E N v b H V t b n M x L n t G b 3 J l Y 2 F z d C w y f S Z x d W 9 0 O y w m c X V v d D t T Z W N 0 a W 9 u M S 9 J b n Z l b n R v c n l f S G 9 s Z G l u Z 1 9 D b 3 N 0 X 1 N p b X V s Y X R p b 2 4 v Q X V 0 b 1 J l b W 9 2 Z W R D b 2 x 1 b W 5 z M S 5 7 Q W N 0 d W F s L D N 9 J n F 1 b 3 Q 7 L C Z x d W 9 0 O 1 N l Y 3 R p b 2 4 x L 0 l u d m V u d G 9 y e V 9 I b 2 x k a W 5 n X 0 N v c 3 R f U 2 l t d W x h d G l v b i 9 B d X R v U m V t b 3 Z l Z E N v b H V t b n M x L n t J b n Z l b n R v c n k g T 3 Z l c m h h b m c s N H 0 m c X V v d D s s J n F 1 b 3 Q 7 U 2 V j d G l v b j E v S W 5 2 Z W 5 0 b 3 J 5 X 0 h v b G R p b m d f Q 2 9 z d F 9 T a W 1 1 b G F 0 a W 9 u L 0 F 1 d G 9 S Z W 1 v d m V k Q 2 9 s d W 1 u c z E u e 0 h v b G R p b m c g Q 2 9 z d C A o J C k s N X 0 m c X V v d D t d L C Z x d W 9 0 O 1 J l b G F 0 a W 9 u c 2 h p c E l u Z m 8 m c X V v d D s 6 W 1 1 9 I i A v P j x F b n R y e S B U e X B l P S J G a W x s V G F y Z 2 V 0 T m F t Z U N 1 c 3 R v b W l 6 Z W Q i I F Z h b H V l P S J s M S I g L z 4 8 L 1 N 0 Y W J s Z U V u d H J p Z X M + P C 9 J d G V t P j x J d G V t P j x J d G V t T G 9 j Y X R p b 2 4 + P E l 0 Z W 1 U e X B l P k Z v c m 1 1 b G E 8 L 0 l 0 Z W 1 U e X B l P j x J d G V t U G F 0 a D 5 T Z W N 0 a W 9 u M S 9 J b n Z l b n R v c n l f S G 9 s Z G l u Z 1 9 D b 3 N 0 X 1 N p b X V s Y X R p b 2 4 v U 2 9 1 c m N l P C 9 J d G V t U G F 0 a D 4 8 L 0 l 0 Z W 1 M b 2 N h d G l v b j 4 8 U 3 R h Y m x l R W 5 0 c m l l c y A v P j w v S X R l b T 4 8 S X R l b T 4 8 S X R l b U x v Y 2 F 0 a W 9 u P j x J d G V t V H l w Z T 5 G b 3 J t d W x h P C 9 J d G V t V H l w Z T 4 8 S X R l b V B h d G g + U 2 V j d G l v b j E v S W 5 2 Z W 5 0 b 3 J 5 X 0 h v b G R p b m d f Q 2 9 z d F 9 T a W 1 1 b G F 0 a W 9 u L 1 B y b 2 1 v d G V k J T I w a G V h Z G V y c z w v S X R l b V B h d G g + P C 9 J d G V t T G 9 j Y X R p b 2 4 + P F N 0 Y W J s Z U V u d H J p Z X M g L z 4 8 L 0 l 0 Z W 0 + P E l 0 Z W 0 + P E l 0 Z W 1 M b 2 N h d G l v b j 4 8 S X R l b V R 5 c G U + R m 9 y b X V s Y T w v S X R l b V R 5 c G U + P E l 0 Z W 1 Q Y X R o P l N l Y 3 R p b 2 4 x L 0 l u d m V u d G 9 y e V 9 I b 2 x k a W 5 n X 0 N v c 3 R f U 2 l t d W x h d G l v b i 9 D a G F u Z 2 V k J T I w Y 2 9 s d W 1 u J T I w d H l w Z T w v S X R l b V B h d G g + P C 9 J d G V t T G 9 j Y X R p b 2 4 + P F N 0 Y W J s Z U V u d H J p Z X M g L z 4 8 L 0 l 0 Z W 0 + P E l 0 Z W 0 + P E l 0 Z W 1 M b 2 N h d G l v b j 4 8 S X R l b V R 5 c G U + R m 9 y b X V s Y T w v S X R l b V R 5 c G U + P E l 0 Z W 1 Q Y X R o P l N l Y 3 R p b 2 4 x L 1 N j Z W 5 h c m l v X 0 V f R G V t Y W 5 k X 1 N o b 2 N r X 1 N p b X V s Y X R p b 2 4 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y N W Q x Y z N k Y S 0 1 O W N k L T R k M m U t Y j V k N S 0 4 N G N m M T g 2 M G Y 1 N D U i I C 8 + P E V u d H J 5 I F R 5 c G U 9 I k J 1 Z m Z l c k 5 l e H R S Z W Z y Z X N o I i B W Y W x 1 Z T 0 i b D E i I C 8 + P E V u d H J 5 I F R 5 c G U 9 I l J l c 3 V s d F R 5 c G U i I F Z h b H V l P S J z V G F i b G U i I C 8 + P E V u d H J 5 I F R 5 c G U 9 I k 5 h b W V V c G R h d G V k Q W Z 0 Z X J G a W x s I i B W Y W x 1 Z T 0 i b D A i I C 8 + P E V u d H J 5 I F R 5 c G U 9 I k Z p b G x U Y X J n Z X Q i I F Z h b H V l P S J z U 2 N l b m F y a W 9 f R V 9 E Z W 1 h b m R f U 2 h v Y 2 t f U 2 l t d W x h d G l v b i I g L z 4 8 R W 5 0 c n k g V H l w Z T 0 i R m l s b G V k Q 2 9 t c G x l d G V S Z X N 1 b H R U b 1 d v c m t z a G V l d C I g V m F s d W U 9 I m w x I i A v P j x F b n R y e S B U e X B l P S J B Z G R l Z F R v R G F 0 Y U 1 v Z G V s I i B W Y W x 1 Z T 0 i b D A i I C 8 + P E V u d H J 5 I F R 5 c G U 9 I k Z p b G x D b 3 V u d C I g V m F s d W U 9 I m w 3 M i I g L z 4 8 R W 5 0 c n k g V H l w Z T 0 i R m l s b E V y c m 9 y Q 2 9 k Z S I g V m F s d W U 9 I n N V b m t u b 3 d u I i A v P j x F b n R y e S B U e X B l P S J G a W x s R X J y b 3 J D b 3 V u d C I g V m F s d W U 9 I m w w I i A v P j x F b n R y e S B U e X B l P S J G a W x s T G F z d F V w Z G F 0 Z W Q i I F Z h b H V l P S J k M j A y N S 0 w N y 0 x O F Q w M T o z M D o w O C 4 x O D c 3 N z c w W i I g L z 4 8 R W 5 0 c n k g V H l w Z T 0 i R m l s b E N v b H V t b l R 5 c G V z I i B W Y W x 1 Z T 0 i c 0 N R W U R B d 0 1 G I i A v P j x F b n R y e S B U e X B l P S J G a W x s Q 2 9 s d W 1 u T m F t Z X M i I F Z h b H V l P S J z W y Z x d W 9 0 O 0 1 v b n R o J n F 1 b 3 Q 7 L C Z x d W 9 0 O 1 N L V S Z x d W 9 0 O y w m c X V v d D t G b 3 J l Y 2 F z d C Z x d W 9 0 O y w m c X V v d D t B Y 3 R 1 Y W w m c X V v d D s s J n F 1 b 3 Q 7 R X J y b 3 I m c X V v d D s s J n F 1 b 3 Q 7 Q V B F 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2 N l b m F y a W 9 f R V 9 E Z W 1 h b m R f U 2 h v Y 2 t f U 2 l t d W x h d G l v b i 9 B d X R v U m V t b 3 Z l Z E N v b H V t b n M x L n t N b 2 5 0 a C w w f S Z x d W 9 0 O y w m c X V v d D t T Z W N 0 a W 9 u M S 9 T Y 2 V u Y X J p b 1 9 F X 0 R l b W F u Z F 9 T a G 9 j a 1 9 T a W 1 1 b G F 0 a W 9 u L 0 F 1 d G 9 S Z W 1 v d m V k Q 2 9 s d W 1 u c z E u e 1 N L V S w x f S Z x d W 9 0 O y w m c X V v d D t T Z W N 0 a W 9 u M S 9 T Y 2 V u Y X J p b 1 9 F X 0 R l b W F u Z F 9 T a G 9 j a 1 9 T a W 1 1 b G F 0 a W 9 u L 0 F 1 d G 9 S Z W 1 v d m V k Q 2 9 s d W 1 u c z E u e 0 Z v c m V j Y X N 0 L D J 9 J n F 1 b 3 Q 7 L C Z x d W 9 0 O 1 N l Y 3 R p b 2 4 x L 1 N j Z W 5 h c m l v X 0 V f R G V t Y W 5 k X 1 N o b 2 N r X 1 N p b X V s Y X R p b 2 4 v Q X V 0 b 1 J l b W 9 2 Z W R D b 2 x 1 b W 5 z M S 5 7 Q W N 0 d W F s L D N 9 J n F 1 b 3 Q 7 L C Z x d W 9 0 O 1 N l Y 3 R p b 2 4 x L 1 N j Z W 5 h c m l v X 0 V f R G V t Y W 5 k X 1 N o b 2 N r X 1 N p b X V s Y X R p b 2 4 v Q X V 0 b 1 J l b W 9 2 Z W R D b 2 x 1 b W 5 z M S 5 7 R X J y b 3 I s N H 0 m c X V v d D s s J n F 1 b 3 Q 7 U 2 V j d G l v b j E v U 2 N l b m F y a W 9 f R V 9 E Z W 1 h b m R f U 2 h v Y 2 t f U 2 l t d W x h d G l v b i 9 B d X R v U m V t b 3 Z l Z E N v b H V t b n M x L n t B U E U s N X 0 m c X V v d D t d L C Z x d W 9 0 O 0 N v b H V t b k N v d W 5 0 J n F 1 b 3 Q 7 O j Y s J n F 1 b 3 Q 7 S 2 V 5 Q 2 9 s d W 1 u T m F t Z X M m c X V v d D s 6 W 1 0 s J n F 1 b 3 Q 7 Q 2 9 s d W 1 u S W R l b n R p d G l l c y Z x d W 9 0 O z p b J n F 1 b 3 Q 7 U 2 V j d G l v b j E v U 2 N l b m F y a W 9 f R V 9 E Z W 1 h b m R f U 2 h v Y 2 t f U 2 l t d W x h d G l v b i 9 B d X R v U m V t b 3 Z l Z E N v b H V t b n M x L n t N b 2 5 0 a C w w f S Z x d W 9 0 O y w m c X V v d D t T Z W N 0 a W 9 u M S 9 T Y 2 V u Y X J p b 1 9 F X 0 R l b W F u Z F 9 T a G 9 j a 1 9 T a W 1 1 b G F 0 a W 9 u L 0 F 1 d G 9 S Z W 1 v d m V k Q 2 9 s d W 1 u c z E u e 1 N L V S w x f S Z x d W 9 0 O y w m c X V v d D t T Z W N 0 a W 9 u M S 9 T Y 2 V u Y X J p b 1 9 F X 0 R l b W F u Z F 9 T a G 9 j a 1 9 T a W 1 1 b G F 0 a W 9 u L 0 F 1 d G 9 S Z W 1 v d m V k Q 2 9 s d W 1 u c z E u e 0 Z v c m V j Y X N 0 L D J 9 J n F 1 b 3 Q 7 L C Z x d W 9 0 O 1 N l Y 3 R p b 2 4 x L 1 N j Z W 5 h c m l v X 0 V f R G V t Y W 5 k X 1 N o b 2 N r X 1 N p b X V s Y X R p b 2 4 v Q X V 0 b 1 J l b W 9 2 Z W R D b 2 x 1 b W 5 z M S 5 7 Q W N 0 d W F s L D N 9 J n F 1 b 3 Q 7 L C Z x d W 9 0 O 1 N l Y 3 R p b 2 4 x L 1 N j Z W 5 h c m l v X 0 V f R G V t Y W 5 k X 1 N o b 2 N r X 1 N p b X V s Y X R p b 2 4 v Q X V 0 b 1 J l b W 9 2 Z W R D b 2 x 1 b W 5 z M S 5 7 R X J y b 3 I s N H 0 m c X V v d D s s J n F 1 b 3 Q 7 U 2 V j d G l v b j E v U 2 N l b m F y a W 9 f R V 9 E Z W 1 h b m R f U 2 h v Y 2 t f U 2 l t d W x h d G l v b i 9 B d X R v U m V t b 3 Z l Z E N v b H V t b n M x L n t B U E U s N X 0 m c X V v d D t d L C Z x d W 9 0 O 1 J l b G F 0 a W 9 u c 2 h p c E l u Z m 8 m c X V v d D s 6 W 1 1 9 I i A v P j w v U 3 R h Y m x l R W 5 0 c m l l c z 4 8 L 0 l 0 Z W 0 + P E l 0 Z W 0 + P E l 0 Z W 1 M b 2 N h d G l v b j 4 8 S X R l b V R 5 c G U + R m 9 y b X V s Y T w v S X R l b V R 5 c G U + P E l 0 Z W 1 Q Y X R o P l N l Y 3 R p b 2 4 x L 1 N j Z W 5 h c m l v X 0 V f R G V t Y W 5 k X 1 N o b 2 N r X 1 N p b X V s Y X R p b 2 4 v U 2 9 1 c m N l P C 9 J d G V t U G F 0 a D 4 8 L 0 l 0 Z W 1 M b 2 N h d G l v b j 4 8 U 3 R h Y m x l R W 5 0 c m l l c y A v P j w v S X R l b T 4 8 S X R l b T 4 8 S X R l b U x v Y 2 F 0 a W 9 u P j x J d G V t V H l w Z T 5 G b 3 J t d W x h P C 9 J d G V t V H l w Z T 4 8 S X R l b V B h d G g + U 2 V j d G l v b j E v U 2 N l b m F y a W 9 f R V 9 E Z W 1 h b m R f U 2 h v Y 2 t f U 2 l t d W x h d G l v b i 9 Q c m 9 t b 3 R l Z C U y M G h l Y W R l c n M 8 L 0 l 0 Z W 1 Q Y X R o P j w v S X R l b U x v Y 2 F 0 a W 9 u P j x T d G F i b G V F b n R y a W V z I C 8 + P C 9 J d G V t P j x J d G V t P j x J d G V t T G 9 j Y X R p b 2 4 + P E l 0 Z W 1 U e X B l P k Z v c m 1 1 b G E 8 L 0 l 0 Z W 1 U e X B l P j x J d G V t U G F 0 a D 5 T Z W N 0 a W 9 u M S 9 T Y 2 V u Y X J p b 1 9 F X 0 R l b W F u Z F 9 T a G 9 j a 1 9 T a W 1 1 b G F 0 a W 9 u L 0 N o Y W 5 n Z W Q l M j B j b 2 x 1 b W 4 l M j B 0 e X B l P C 9 J d G V t U G F 0 a D 4 8 L 0 l 0 Z W 1 M b 2 N h d G l v b j 4 8 U 3 R h Y m x l R W 5 0 c m l l c y A v P j w v S X R l b T 4 8 S X R l b T 4 8 S X R l b U x v Y 2 F 0 a W 9 u P j x J d G V t V H l w Z T 5 G b 3 J t d W x h P C 9 J d G V t V H l w Z T 4 8 S X R l b V B h d G g + U 2 V j d G l v b j E v U 2 N l b m F y a W 9 f R l 9 G b 3 J l Y 2 F z d F 9 0 b 1 9 D Y X 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2 V l Y m J m N 2 M t N D c 4 O S 0 0 N D d j L T k z Z D U t Y z M 5 M 2 Y 2 M 2 Y 1 O G V j I i A v P j x F b n R y e S B U e X B l P S J C d W Z m Z X J O Z X h 0 U m V m c m V z a C I g V m F s d W U 9 I m w x I i A v P j x F b n R y e S B U e X B l P S J S Z X N 1 b H R U e X B l I i B W Y W x 1 Z T 0 i c 1 R h Y m x l I i A v P j x F b n R y e S B U e X B l P S J O Y W 1 l V X B k Y X R l Z E F m d G V y R m l s b C I g V m F s d W U 9 I m w w I i A v P j x F b n R y e S B U e X B l P S J G a W x s V G F y Z 2 V 0 I i B W Y W x 1 Z T 0 i c 1 N j Z W 5 h c m l v X 0 Z f R m 9 y Z W N h c 3 R f d G 9 f Q 2 F z a C I g L z 4 8 R W 5 0 c n k g V H l w Z T 0 i R m l s b G V k Q 2 9 t c G x l d G V S Z X N 1 b H R U b 1 d v c m t z a G V l d C I g V m F s d W U 9 I m w x I i A v P j x F b n R y e S B U e X B l P S J B Z G R l Z F R v R G F 0 Y U 1 v Z G V s I i B W Y W x 1 Z T 0 i b D A i I C 8 + P E V u d H J 5 I F R 5 c G U 9 I k Z p b G x D b 3 V u d C I g V m F s d W U 9 I m w 3 M i I g L z 4 8 R W 5 0 c n k g V H l w Z T 0 i R m l s b E V y c m 9 y Q 2 9 k Z S I g V m F s d W U 9 I n N V b m t u b 3 d u I i A v P j x F b n R y e S B U e X B l P S J G a W x s R X J y b 3 J D b 3 V u d C I g V m F s d W U 9 I m w w I i A v P j x F b n R y e S B U e X B l P S J G a W x s T G F z d F V w Z G F 0 Z W Q i I F Z h b H V l P S J k M j A y N S 0 w N y 0 x O F Q w M j o 0 M j o 0 O S 4 0 O D Q 4 M j Y w W i I g L z 4 8 R W 5 0 c n k g V H l w Z T 0 i R m l s b E N v b H V t b l R 5 c G V z I i B W Y W x 1 Z T 0 i c 0 N R W U R B d 0 1 E Q X d N R C I g L z 4 8 R W 5 0 c n k g V H l w Z T 0 i R m l s b E N v b H V t b k 5 h b W V z I i B W Y W x 1 Z T 0 i c 1 s m c X V v d D t N b 2 5 0 a C Z x d W 9 0 O y w m c X V v d D t T S 1 U m c X V v d D s s J n F 1 b 3 Q 7 R m 9 y Z W N h c 3 Q m c X V v d D s s J n F 1 b 3 Q 7 Q W N 0 d W F s J n F 1 b 3 Q 7 L C Z x d W 9 0 O 1 V u a X R f U H J p Y 2 U m c X V v d D s s J n F 1 b 3 Q 7 R m 9 y Z W N h c 3 R f U m V 2 Z W 5 1 Z S Z x d W 9 0 O y w m c X V v d D t B Y 3 R 1 Y W x f U m V 2 Z W 5 1 Z S Z x d W 9 0 O y w m c X V v d D t S Z X Z l b n V l X 1 Z h c m l h b m N l J n F 1 b 3 Q 7 L C Z x d W 9 0 O 0 N h c 2 h f U m V h b G l 6 Z W 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Y 2 V u Y X J p b 1 9 G X 0 Z v c m V j Y X N 0 X 3 R v X 0 N h c 2 g v Q X V 0 b 1 J l b W 9 2 Z W R D b 2 x 1 b W 5 z M S 5 7 T W 9 u d G g s M H 0 m c X V v d D s s J n F 1 b 3 Q 7 U 2 V j d G l v b j E v U 2 N l b m F y a W 9 f R l 9 G b 3 J l Y 2 F z d F 9 0 b 1 9 D Y X N o L 0 F 1 d G 9 S Z W 1 v d m V k Q 2 9 s d W 1 u c z E u e 1 N L V S w x f S Z x d W 9 0 O y w m c X V v d D t T Z W N 0 a W 9 u M S 9 T Y 2 V u Y X J p b 1 9 G X 0 Z v c m V j Y X N 0 X 3 R v X 0 N h c 2 g v Q X V 0 b 1 J l b W 9 2 Z W R D b 2 x 1 b W 5 z M S 5 7 R m 9 y Z W N h c 3 Q s M n 0 m c X V v d D s s J n F 1 b 3 Q 7 U 2 V j d G l v b j E v U 2 N l b m F y a W 9 f R l 9 G b 3 J l Y 2 F z d F 9 0 b 1 9 D Y X N o L 0 F 1 d G 9 S Z W 1 v d m V k Q 2 9 s d W 1 u c z E u e 0 F j d H V h b C w z f S Z x d W 9 0 O y w m c X V v d D t T Z W N 0 a W 9 u M S 9 T Y 2 V u Y X J p b 1 9 G X 0 Z v c m V j Y X N 0 X 3 R v X 0 N h c 2 g v Q X V 0 b 1 J l b W 9 2 Z W R D b 2 x 1 b W 5 z M S 5 7 V W 5 p d F 9 Q c m l j Z S w 0 f S Z x d W 9 0 O y w m c X V v d D t T Z W N 0 a W 9 u M S 9 T Y 2 V u Y X J p b 1 9 G X 0 Z v c m V j Y X N 0 X 3 R v X 0 N h c 2 g v Q X V 0 b 1 J l b W 9 2 Z W R D b 2 x 1 b W 5 z M S 5 7 R m 9 y Z W N h c 3 R f U m V 2 Z W 5 1 Z S w 1 f S Z x d W 9 0 O y w m c X V v d D t T Z W N 0 a W 9 u M S 9 T Y 2 V u Y X J p b 1 9 G X 0 Z v c m V j Y X N 0 X 3 R v X 0 N h c 2 g v Q X V 0 b 1 J l b W 9 2 Z W R D b 2 x 1 b W 5 z M S 5 7 Q W N 0 d W F s X 1 J l d m V u d W U s N n 0 m c X V v d D s s J n F 1 b 3 Q 7 U 2 V j d G l v b j E v U 2 N l b m F y a W 9 f R l 9 G b 3 J l Y 2 F z d F 9 0 b 1 9 D Y X N o L 0 F 1 d G 9 S Z W 1 v d m V k Q 2 9 s d W 1 u c z E u e 1 J l d m V u d W V f V m F y a W F u Y 2 U s N 3 0 m c X V v d D s s J n F 1 b 3 Q 7 U 2 V j d G l v b j E v U 2 N l b m F y a W 9 f R l 9 G b 3 J l Y 2 F z d F 9 0 b 1 9 D Y X N o L 0 F 1 d G 9 S Z W 1 v d m V k Q 2 9 s d W 1 u c z E u e 0 N h c 2 h f U m V h b G l 6 Z W Q s O H 0 m c X V v d D t d L C Z x d W 9 0 O 0 N v b H V t b k N v d W 5 0 J n F 1 b 3 Q 7 O j k s J n F 1 b 3 Q 7 S 2 V 5 Q 2 9 s d W 1 u T m F t Z X M m c X V v d D s 6 W 1 0 s J n F 1 b 3 Q 7 Q 2 9 s d W 1 u S W R l b n R p d G l l c y Z x d W 9 0 O z p b J n F 1 b 3 Q 7 U 2 V j d G l v b j E v U 2 N l b m F y a W 9 f R l 9 G b 3 J l Y 2 F z d F 9 0 b 1 9 D Y X N o L 0 F 1 d G 9 S Z W 1 v d m V k Q 2 9 s d W 1 u c z E u e 0 1 v b n R o L D B 9 J n F 1 b 3 Q 7 L C Z x d W 9 0 O 1 N l Y 3 R p b 2 4 x L 1 N j Z W 5 h c m l v X 0 Z f R m 9 y Z W N h c 3 R f d G 9 f Q 2 F z a C 9 B d X R v U m V t b 3 Z l Z E N v b H V t b n M x L n t T S 1 U s M X 0 m c X V v d D s s J n F 1 b 3 Q 7 U 2 V j d G l v b j E v U 2 N l b m F y a W 9 f R l 9 G b 3 J l Y 2 F z d F 9 0 b 1 9 D Y X N o L 0 F 1 d G 9 S Z W 1 v d m V k Q 2 9 s d W 1 u c z E u e 0 Z v c m V j Y X N 0 L D J 9 J n F 1 b 3 Q 7 L C Z x d W 9 0 O 1 N l Y 3 R p b 2 4 x L 1 N j Z W 5 h c m l v X 0 Z f R m 9 y Z W N h c 3 R f d G 9 f Q 2 F z a C 9 B d X R v U m V t b 3 Z l Z E N v b H V t b n M x L n t B Y 3 R 1 Y W w s M 3 0 m c X V v d D s s J n F 1 b 3 Q 7 U 2 V j d G l v b j E v U 2 N l b m F y a W 9 f R l 9 G b 3 J l Y 2 F z d F 9 0 b 1 9 D Y X N o L 0 F 1 d G 9 S Z W 1 v d m V k Q 2 9 s d W 1 u c z E u e 1 V u a X R f U H J p Y 2 U s N H 0 m c X V v d D s s J n F 1 b 3 Q 7 U 2 V j d G l v b j E v U 2 N l b m F y a W 9 f R l 9 G b 3 J l Y 2 F z d F 9 0 b 1 9 D Y X N o L 0 F 1 d G 9 S Z W 1 v d m V k Q 2 9 s d W 1 u c z E u e 0 Z v c m V j Y X N 0 X 1 J l d m V u d W U s N X 0 m c X V v d D s s J n F 1 b 3 Q 7 U 2 V j d G l v b j E v U 2 N l b m F y a W 9 f R l 9 G b 3 J l Y 2 F z d F 9 0 b 1 9 D Y X N o L 0 F 1 d G 9 S Z W 1 v d m V k Q 2 9 s d W 1 u c z E u e 0 F j d H V h b F 9 S Z X Z l b n V l L D Z 9 J n F 1 b 3 Q 7 L C Z x d W 9 0 O 1 N l Y 3 R p b 2 4 x L 1 N j Z W 5 h c m l v X 0 Z f R m 9 y Z W N h c 3 R f d G 9 f Q 2 F z a C 9 B d X R v U m V t b 3 Z l Z E N v b H V t b n M x L n t S Z X Z l b n V l X 1 Z h c m l h b m N l L D d 9 J n F 1 b 3 Q 7 L C Z x d W 9 0 O 1 N l Y 3 R p b 2 4 x L 1 N j Z W 5 h c m l v X 0 Z f R m 9 y Z W N h c 3 R f d G 9 f Q 2 F z a C 9 B d X R v U m V t b 3 Z l Z E N v b H V t b n M x L n t D Y X N o X 1 J l Y W x p e m V k L D h 9 J n F 1 b 3 Q 7 X S w m c X V v d D t S Z W x h d G l v b n N o a X B J b m Z v J n F 1 b 3 Q 7 O l t d f S I g L z 4 8 L 1 N 0 Y W J s Z U V u d H J p Z X M + P C 9 J d G V t P j x J d G V t P j x J d G V t T G 9 j Y X R p b 2 4 + P E l 0 Z W 1 U e X B l P k Z v c m 1 1 b G E 8 L 0 l 0 Z W 1 U e X B l P j x J d G V t U G F 0 a D 5 T Z W N 0 a W 9 u M S 9 T Y 2 V u Y X J p b 1 9 G X 0 Z v c m V j Y X N 0 X 3 R v X 0 N h c 2 g v U 2 9 1 c m N l P C 9 J d G V t U G F 0 a D 4 8 L 0 l 0 Z W 1 M b 2 N h d G l v b j 4 8 U 3 R h Y m x l R W 5 0 c m l l c y A v P j w v S X R l b T 4 8 S X R l b T 4 8 S X R l b U x v Y 2 F 0 a W 9 u P j x J d G V t V H l w Z T 5 G b 3 J t d W x h P C 9 J d G V t V H l w Z T 4 8 S X R l b V B h d G g + U 2 V j d G l v b j E v U 2 N l b m F y a W 9 f R l 9 G b 3 J l Y 2 F z d F 9 0 b 1 9 D Y X N o L 1 B y b 2 1 v d G V k J T I w a G V h Z G V y c z w v S X R l b V B h d G g + P C 9 J d G V t T G 9 j Y X R p b 2 4 + P F N 0 Y W J s Z U V u d H J p Z X M g L z 4 8 L 0 l 0 Z W 0 + P E l 0 Z W 0 + P E l 0 Z W 1 M b 2 N h d G l v b j 4 8 S X R l b V R 5 c G U + R m 9 y b X V s Y T w v S X R l b V R 5 c G U + P E l 0 Z W 1 Q Y X R o P l N l Y 3 R p b 2 4 x L 1 N j Z W 5 h c m l v X 0 Z f R m 9 y Z W N h c 3 R f d G 9 f Q 2 F z a C 9 D a G F u Z 2 V k J T I w Y 2 9 s d W 1 u J T I w d H l w Z T w v S X R l b V B h d G g + P C 9 J d G V t T G 9 j Y X R p b 2 4 + P F N 0 Y W J s Z U V u d H J p Z X M g L z 4 8 L 0 l 0 Z W 0 + P C 9 J d G V t c z 4 8 L 0 x v Y 2 F s U G F j a 2 F n Z U 1 l d G F k Y X R h R m l s Z T 4 W A A A A U E s F B g A A A A A A A A A A A A A A A A A A A A A A A G Q A A A D t 1 y i S u F R N V L C C / B M p W U x D W P B 9 Z e Y y I C m m o + 7 B s R 2 l m i Z c D v 8 s t V V x O c A b t r f D 7 T 0 q X u 3 B n W X G j I j A p Q 1 Y M 8 i C L N L 3 Q C x r W R / c h Q r U 7 3 k 7 3 N t + 1 O + Y 0 / q R s B n k d 7 O U B y W d D 3 P g < / D a t a M a s h u p > 
</file>

<file path=customXml/itemProps1.xml><?xml version="1.0" encoding="utf-8"?>
<ds:datastoreItem xmlns:ds="http://schemas.openxmlformats.org/officeDocument/2006/customXml" ds:itemID="{6E5B908F-2E21-F94B-BF37-04FAA1ABA2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Forecast_Accuracy_Simulation_Ba</vt:lpstr>
      <vt:lpstr>KPI_Summary</vt:lpstr>
      <vt:lpstr>Scenario_B</vt:lpstr>
      <vt:lpstr>Scenario_Compare</vt:lpstr>
      <vt:lpstr>Carbon_Impact(Scenario C)</vt:lpstr>
      <vt:lpstr>Dashboard</vt:lpstr>
      <vt:lpstr>Inventory_Holding_Cost(Scen. D)</vt:lpstr>
      <vt:lpstr>Scenario_Compare_Inventory_Hold</vt:lpstr>
      <vt:lpstr>Scenario D Dashboards</vt:lpstr>
      <vt:lpstr>Scenario_E_Demand_Shock_Simulat</vt:lpstr>
      <vt:lpstr>Scenario_E Dashboard</vt:lpstr>
      <vt:lpstr>Scenario_F_Forecast_to_Cash</vt:lpstr>
      <vt:lpstr>Scenario_F Dashboards</vt:lpstr>
      <vt:lpstr>Advanced_KPIs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Ugbechie, Edwin J</dc:creator>
  <cp:lastModifiedBy>Ugbechie, Edwin J</cp:lastModifiedBy>
  <cp:lastPrinted>2025-07-17T01:29:41Z</cp:lastPrinted>
  <dcterms:created xsi:type="dcterms:W3CDTF">2025-07-16T02:36:26Z</dcterms:created>
  <dcterms:modified xsi:type="dcterms:W3CDTF">2025-07-19T20:55:41Z</dcterms:modified>
</cp:coreProperties>
</file>