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545" tabRatio="720" activeTab="3"/>
  </bookViews>
  <sheets>
    <sheet name="Schedule &amp; Dispatch" sheetId="1" r:id="rId1"/>
    <sheet name="Dispatched" sheetId="2" r:id="rId2"/>
    <sheet name="BUSBAR RESTRIKE DETAILS" sheetId="4" r:id="rId3"/>
    <sheet name="RM Received Details Challan" sheetId="3" r:id="rId4"/>
    <sheet name="RM Received Atcual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V12" i="1" l="1"/>
  <c r="V11" i="1"/>
  <c r="D7" i="1" l="1"/>
  <c r="C7" i="1"/>
  <c r="C5" i="2" l="1"/>
  <c r="C7" i="2"/>
  <c r="V6" i="1" l="1"/>
  <c r="W4" i="1"/>
  <c r="W3" i="1"/>
  <c r="C34" i="2" l="1"/>
  <c r="C27" i="2"/>
  <c r="C25" i="2"/>
  <c r="C23" i="2"/>
  <c r="C19" i="2"/>
  <c r="C17" i="2"/>
  <c r="C15" i="2"/>
  <c r="C13" i="2"/>
  <c r="C9" i="2"/>
  <c r="C17" i="5" l="1"/>
  <c r="C16" i="5"/>
  <c r="C15" i="5"/>
  <c r="C17" i="3"/>
  <c r="C16" i="3"/>
  <c r="C15" i="3"/>
  <c r="C2" i="5"/>
  <c r="C3" i="5"/>
  <c r="C6" i="5"/>
  <c r="C8" i="5"/>
  <c r="C10" i="5"/>
  <c r="C12" i="5"/>
  <c r="C13" i="5"/>
  <c r="C14" i="5"/>
  <c r="C14" i="3"/>
  <c r="C13" i="3"/>
  <c r="C10" i="3"/>
  <c r="C8" i="3"/>
  <c r="C6" i="3"/>
  <c r="C3" i="3"/>
  <c r="C2" i="3"/>
  <c r="AB18" i="5" l="1"/>
  <c r="AB14" i="5"/>
  <c r="AB10" i="5"/>
  <c r="AB6" i="5"/>
  <c r="AB22" i="5"/>
  <c r="AB20" i="5"/>
  <c r="AB19" i="5"/>
  <c r="AB17" i="5"/>
  <c r="AB16" i="5"/>
  <c r="AB15" i="5"/>
  <c r="AB13" i="5"/>
  <c r="AB8" i="5"/>
  <c r="AB3" i="5"/>
  <c r="AB2" i="5"/>
  <c r="U39" i="1"/>
  <c r="D8" i="4" l="1"/>
  <c r="D7" i="4"/>
  <c r="D6" i="4"/>
  <c r="D4" i="4"/>
  <c r="D3" i="4"/>
  <c r="D2" i="4"/>
  <c r="AB16" i="3" l="1"/>
  <c r="C3" i="4" s="1"/>
  <c r="E3" i="4" s="1"/>
  <c r="AB22" i="3"/>
  <c r="AB20" i="3"/>
  <c r="C8" i="4" s="1"/>
  <c r="E8" i="4" s="1"/>
  <c r="AB19" i="3"/>
  <c r="C7" i="4" s="1"/>
  <c r="E7" i="4" s="1"/>
  <c r="AB18" i="3"/>
  <c r="AB17" i="3"/>
  <c r="AB15" i="3"/>
  <c r="C2" i="4" s="1"/>
  <c r="E2" i="4" s="1"/>
  <c r="V40" i="1" l="1"/>
  <c r="V41" i="1" s="1"/>
  <c r="C6" i="4"/>
  <c r="E6" i="4" s="1"/>
  <c r="C4" i="4"/>
  <c r="E4" i="4" s="1"/>
  <c r="W40" i="1"/>
  <c r="W41" i="1" s="1"/>
  <c r="T41" i="1" l="1"/>
  <c r="J41" i="1"/>
  <c r="H41" i="1"/>
  <c r="F41" i="1"/>
  <c r="O36" i="1" l="1"/>
  <c r="O38" i="1" s="1"/>
  <c r="AB14" i="3" l="1"/>
  <c r="O40" i="1" s="1"/>
  <c r="O41" i="1" s="1"/>
  <c r="AB13" i="3"/>
  <c r="AB10" i="3"/>
  <c r="AB8" i="3"/>
  <c r="AB6" i="3"/>
  <c r="AB3" i="3"/>
  <c r="AB2" i="3"/>
  <c r="P40" i="1" l="1"/>
  <c r="P41" i="1" s="1"/>
  <c r="S40" i="1"/>
  <c r="S41" i="1" s="1"/>
  <c r="K40" i="1"/>
  <c r="M40" i="1"/>
  <c r="M41" i="1" s="1"/>
  <c r="I40" i="1"/>
  <c r="I41" i="1" s="1"/>
  <c r="D40" i="1"/>
  <c r="D41" i="1" s="1"/>
  <c r="C40" i="1"/>
  <c r="C41" i="1" s="1"/>
  <c r="C31" i="2" l="1"/>
  <c r="C33" i="2"/>
  <c r="C29" i="2"/>
  <c r="C21" i="2"/>
  <c r="G2" i="2" l="1"/>
  <c r="W34" i="1" l="1"/>
  <c r="D31" i="2" s="1"/>
  <c r="V34" i="1"/>
  <c r="U34" i="1"/>
  <c r="T34" i="1"/>
  <c r="T42" i="1" s="1"/>
  <c r="S34" i="1"/>
  <c r="R34" i="1"/>
  <c r="Q34" i="1"/>
  <c r="P34" i="1"/>
  <c r="P42" i="1" s="1"/>
  <c r="O34" i="1"/>
  <c r="N34" i="1"/>
  <c r="M34" i="1"/>
  <c r="L34" i="1"/>
  <c r="K34" i="1"/>
  <c r="J34" i="1"/>
  <c r="J42" i="1" s="1"/>
  <c r="I34" i="1"/>
  <c r="I42" i="1" s="1"/>
  <c r="H13" i="2" s="1"/>
  <c r="H34" i="1"/>
  <c r="H42" i="1" s="1"/>
  <c r="G34" i="1"/>
  <c r="F34" i="1"/>
  <c r="F42" i="1" s="1"/>
  <c r="D34" i="1"/>
  <c r="C34" i="1"/>
  <c r="V37" i="1" l="1"/>
  <c r="D33" i="2"/>
  <c r="D34" i="2"/>
  <c r="G34" i="2" s="1"/>
  <c r="E34" i="1"/>
  <c r="D9" i="2" s="1"/>
  <c r="G9" i="2" s="1"/>
  <c r="D7" i="2"/>
  <c r="G7" i="2" s="1"/>
  <c r="D42" i="1"/>
  <c r="H7" i="2" s="1"/>
  <c r="D15" i="2"/>
  <c r="G15" i="2" s="1"/>
  <c r="D13" i="2"/>
  <c r="G13" i="2" s="1"/>
  <c r="D17" i="2"/>
  <c r="G17" i="2" s="1"/>
  <c r="M42" i="1"/>
  <c r="H17" i="2" s="1"/>
  <c r="D23" i="2"/>
  <c r="G23" i="2" s="1"/>
  <c r="D19" i="2"/>
  <c r="G19" i="2" s="1"/>
  <c r="D25" i="2"/>
  <c r="G25" i="2" s="1"/>
  <c r="G33" i="2"/>
  <c r="D5" i="2"/>
  <c r="G5" i="2" s="1"/>
  <c r="C42" i="1"/>
  <c r="H5" i="2" s="1"/>
  <c r="D11" i="2"/>
  <c r="G11" i="2" s="1"/>
  <c r="D21" i="2"/>
  <c r="G21" i="2" s="1"/>
  <c r="K42" i="1"/>
  <c r="H21" i="2" s="1"/>
  <c r="D29" i="2"/>
  <c r="G29" i="2" s="1"/>
  <c r="O42" i="1"/>
  <c r="H29" i="2" s="1"/>
  <c r="D27" i="2"/>
  <c r="G27" i="2" s="1"/>
  <c r="S42" i="1"/>
  <c r="H27" i="2" s="1"/>
  <c r="G31" i="2"/>
  <c r="W42" i="1"/>
  <c r="H31" i="2" s="1"/>
  <c r="E25" i="2" l="1"/>
  <c r="V42" i="1"/>
  <c r="H33" i="2" s="1"/>
  <c r="E29" i="2"/>
  <c r="E11" i="2"/>
  <c r="E27" i="2"/>
  <c r="E23" i="2"/>
  <c r="E33" i="2"/>
  <c r="E34" i="2"/>
  <c r="E7" i="2"/>
  <c r="E31" i="2"/>
  <c r="E15" i="2"/>
  <c r="E21" i="2"/>
  <c r="E5" i="2"/>
  <c r="E13" i="2"/>
  <c r="E9" i="2"/>
  <c r="E17" i="2"/>
  <c r="E19" i="2"/>
  <c r="K36" i="1"/>
  <c r="K41" i="1" s="1"/>
  <c r="D37" i="1" l="1"/>
  <c r="E37" i="1"/>
  <c r="I37" i="1" l="1"/>
  <c r="E38" i="1" l="1"/>
  <c r="W37" i="1" l="1"/>
  <c r="E39" i="1"/>
  <c r="W38" i="1" l="1"/>
  <c r="Y37" i="1"/>
  <c r="Y34" i="1" s="1"/>
  <c r="S37" i="1"/>
  <c r="R37" i="1"/>
  <c r="Q37" i="1"/>
  <c r="P37" i="1"/>
  <c r="O37" i="1"/>
  <c r="S38" i="1"/>
  <c r="R38" i="1"/>
  <c r="Q38" i="1"/>
  <c r="P38" i="1"/>
  <c r="S39" i="1"/>
  <c r="R39" i="1"/>
  <c r="K38" i="1" l="1"/>
  <c r="M39" i="1" l="1"/>
  <c r="F39" i="1" l="1"/>
  <c r="V38" i="1"/>
  <c r="U38" i="1"/>
  <c r="N38" i="1"/>
  <c r="M38" i="1"/>
  <c r="L38" i="1"/>
  <c r="J38" i="1"/>
  <c r="I38" i="1"/>
  <c r="G38" i="1"/>
  <c r="F38" i="1"/>
  <c r="D38" i="1"/>
  <c r="C38" i="1"/>
  <c r="X39" i="1" l="1"/>
  <c r="W39" i="1"/>
  <c r="X37" i="1"/>
  <c r="X34" i="1" s="1"/>
  <c r="Y41" i="1" l="1"/>
  <c r="X41" i="1" s="1"/>
  <c r="M37" i="1"/>
  <c r="F37" i="1"/>
  <c r="C37" i="1" l="1"/>
  <c r="V39" i="1"/>
  <c r="G37" i="1"/>
  <c r="G39" i="1"/>
  <c r="L37" i="1"/>
  <c r="L39" i="1"/>
  <c r="T37" i="1"/>
  <c r="H37" i="1"/>
  <c r="K39" i="1"/>
  <c r="J37" i="1"/>
  <c r="J39" i="1"/>
  <c r="K37" i="1"/>
  <c r="D39" i="1"/>
  <c r="C39" i="1"/>
  <c r="N37" i="1"/>
  <c r="N39" i="1"/>
  <c r="I39" i="1"/>
  <c r="Y39" i="1" l="1"/>
  <c r="Z39" i="1" s="1"/>
  <c r="Z34" i="1"/>
  <c r="Z37" i="1"/>
  <c r="Z41" i="1" l="1"/>
  <c r="AB12" i="3" l="1"/>
  <c r="R40" i="1" s="1"/>
  <c r="R42" i="1" s="1"/>
  <c r="H25" i="2" s="1"/>
  <c r="AB12" i="5"/>
  <c r="R41" i="1" l="1"/>
  <c r="G42" i="1"/>
  <c r="G41" i="1"/>
  <c r="U41" i="1"/>
  <c r="AB5" i="5"/>
  <c r="N41" i="1"/>
  <c r="G40" i="1"/>
  <c r="L41" i="1"/>
  <c r="AB7" i="5"/>
  <c r="Q41" i="1"/>
  <c r="AB4" i="5"/>
  <c r="C11" i="5"/>
  <c r="AB11" i="5"/>
  <c r="C21" i="5"/>
  <c r="AB21" i="5"/>
  <c r="N42" i="1"/>
  <c r="H19" i="2"/>
  <c r="E41" i="1"/>
  <c r="C9" i="5"/>
  <c r="AB9" i="5"/>
  <c r="L42" i="1"/>
  <c r="H15" i="2"/>
  <c r="Q42" i="1"/>
  <c r="H23" i="2"/>
  <c r="C21" i="3"/>
  <c r="AB21" i="3"/>
  <c r="U40" i="1"/>
  <c r="U42" i="1"/>
  <c r="H34" i="2"/>
  <c r="AB5" i="3"/>
  <c r="C5" i="3"/>
  <c r="C5" i="5"/>
  <c r="C4" i="5"/>
  <c r="C4" i="3"/>
  <c r="AB4" i="3"/>
  <c r="E40" i="1"/>
  <c r="E42" i="1"/>
  <c r="H9" i="2"/>
  <c r="C7" i="5"/>
  <c r="C9" i="3"/>
  <c r="AB9" i="3"/>
  <c r="N40" i="1"/>
  <c r="C7" i="3"/>
  <c r="AB7" i="3"/>
  <c r="L40" i="1"/>
  <c r="C11" i="3"/>
  <c r="AB11" i="3"/>
  <c r="Q40" i="1"/>
</calcChain>
</file>

<file path=xl/sharedStrings.xml><?xml version="1.0" encoding="utf-8"?>
<sst xmlns="http://schemas.openxmlformats.org/spreadsheetml/2006/main" count="233" uniqueCount="91">
  <si>
    <t>PLATE 1</t>
  </si>
  <si>
    <t>PLATE 2</t>
  </si>
  <si>
    <t>551 PLATE</t>
  </si>
  <si>
    <t>HI05 N</t>
  </si>
  <si>
    <t>HI05 S</t>
  </si>
  <si>
    <t>HI05- R</t>
  </si>
  <si>
    <t>HI05-Y</t>
  </si>
  <si>
    <t>HI05- B</t>
  </si>
  <si>
    <t>R116 N</t>
  </si>
  <si>
    <t>R116 S</t>
  </si>
  <si>
    <t>R116-R</t>
  </si>
  <si>
    <t>R116-Y</t>
  </si>
  <si>
    <t>R116-B</t>
  </si>
  <si>
    <t>DATE</t>
  </si>
  <si>
    <t>Thursday</t>
  </si>
  <si>
    <t>Friday</t>
  </si>
  <si>
    <t>Saturday</t>
  </si>
  <si>
    <t>Sunday</t>
  </si>
  <si>
    <t>Monday</t>
  </si>
  <si>
    <t>Tuesday</t>
  </si>
  <si>
    <t>Wednesday</t>
  </si>
  <si>
    <t>DAY</t>
  </si>
  <si>
    <t>BRUSH PLATE  K-10</t>
  </si>
  <si>
    <t>TOTAL DISPATCH</t>
  </si>
  <si>
    <t>READY TO DISPATCH</t>
  </si>
  <si>
    <t>SCHEDULE</t>
  </si>
  <si>
    <t>PENDING</t>
  </si>
  <si>
    <t xml:space="preserve">271 PLATE </t>
  </si>
  <si>
    <t>TOTAL SCHEDULE QTY</t>
  </si>
  <si>
    <t>TOTAL DISPATCH &amp; READY QTY</t>
  </si>
  <si>
    <t>BALANCE QTY</t>
  </si>
  <si>
    <t xml:space="preserve">REQUIRED  PARTS/DAY </t>
  </si>
  <si>
    <t xml:space="preserve">ACHIVED  PARTS/DAY </t>
  </si>
  <si>
    <t>COMPLETED STROKES</t>
  </si>
  <si>
    <t>AVRAGE STROKES/DAY</t>
  </si>
  <si>
    <t>RECEIVED RM</t>
  </si>
  <si>
    <t>REQUIRED STROKES FOR  SCHEDULE</t>
  </si>
  <si>
    <t xml:space="preserve"> </t>
  </si>
  <si>
    <t xml:space="preserve">AVRAGE  PERCENTAGE  PARTS/DAY                     </t>
  </si>
  <si>
    <t>TOTAL REQUIRED STROKES</t>
  </si>
  <si>
    <t>419 WASHER</t>
  </si>
  <si>
    <t xml:space="preserve">STAY </t>
  </si>
  <si>
    <t>INSERT BRACKET -1</t>
  </si>
  <si>
    <t>RESTRIKE         R116</t>
  </si>
  <si>
    <t xml:space="preserve">   </t>
  </si>
  <si>
    <t>REQUIRED  STROKES/OPERATOR</t>
  </si>
  <si>
    <t xml:space="preserve">RESTRIKE         H105 </t>
  </si>
  <si>
    <t>U CLIP NUT</t>
  </si>
  <si>
    <t>Plate 2</t>
  </si>
  <si>
    <t>Stay A506</t>
  </si>
  <si>
    <t>Plate A551</t>
  </si>
  <si>
    <t>H105 B</t>
  </si>
  <si>
    <t>H105 Y</t>
  </si>
  <si>
    <t>H105 R</t>
  </si>
  <si>
    <t>R116 R</t>
  </si>
  <si>
    <t>R116 B</t>
  </si>
  <si>
    <t>R116 Y</t>
  </si>
  <si>
    <t>H105 S</t>
  </si>
  <si>
    <t>H105 Restrike</t>
  </si>
  <si>
    <t>R116 Restrike</t>
  </si>
  <si>
    <t xml:space="preserve">R116 N </t>
  </si>
  <si>
    <t>PART NAME</t>
  </si>
  <si>
    <t>DISPATCHED</t>
  </si>
  <si>
    <t>PENDING QTY</t>
  </si>
  <si>
    <t>COMPLETED MONTH WORK DAYS</t>
  </si>
  <si>
    <t>TOTAL MONTH WORK DAYS</t>
  </si>
  <si>
    <t>COMPLETED</t>
  </si>
  <si>
    <t>Brush Plate K-TEN</t>
  </si>
  <si>
    <t>%</t>
  </si>
  <si>
    <t>Sr.No</t>
  </si>
  <si>
    <t>Date</t>
  </si>
  <si>
    <t>Part name</t>
  </si>
  <si>
    <t>Qty</t>
  </si>
  <si>
    <t>Total</t>
  </si>
  <si>
    <t>RM BALANCE</t>
  </si>
  <si>
    <t>U Clip Nut</t>
  </si>
  <si>
    <t>RM STATUS FOR SCHEDULE</t>
  </si>
  <si>
    <t>INPROCESS/ RM DETAILS</t>
  </si>
  <si>
    <t>Opening stock</t>
  </si>
  <si>
    <t>H105 R Restrike</t>
  </si>
  <si>
    <t>H105 Y Restrike</t>
  </si>
  <si>
    <t>H105 B Restrike</t>
  </si>
  <si>
    <t>R116 R Restrike</t>
  </si>
  <si>
    <t>R116 Y Restrike</t>
  </si>
  <si>
    <t>R116 B Restrike</t>
  </si>
  <si>
    <t>RECEIVED QTY</t>
  </si>
  <si>
    <t>DISPATCHED QTY</t>
  </si>
  <si>
    <t>QTY</t>
  </si>
  <si>
    <t>REQUIRED STROCKS / DAY</t>
  </si>
  <si>
    <t>AVRAGE STROKES PERCENTAGE/DAY</t>
  </si>
  <si>
    <t>10..10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</si>
</sst>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Rs.&quot;\ * #,##0.00_ ;_ &quot;Rs.&quot;\ * \-#,##0.00_ ;_ &quot;Rs.&quot;\ * &quot;-&quot;??_ ;_ @_ "/>
    <numFmt numFmtId="164" formatCode="0.0"/>
    <numFmt numFmtId="165" formatCode="_ [$Rs.-4009]\ * #,##0.00_ ;_ [$Rs.-4009]\ * \-#,##0.00_ ;_ [$Rs.-4009]\ * &quot;-&quot;??_ ;_ @_ 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u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5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7" fontId="0" fillId="0" borderId="8" xfId="0" applyNumberForma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USTOMERS%20FILE\ATUL\ANKIT%20ENT\SCHEDULE%20vs%20DISPATCH\2024-25\SEPTEMBER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&amp; Dispatch"/>
      <sheetName val="Dispatched"/>
      <sheetName val="BUSBAR RESTRIKE DETAILS"/>
      <sheetName val="RM Received Details 1"/>
    </sheetNames>
    <sheetDataSet>
      <sheetData sheetId="0"/>
      <sheetData sheetId="1">
        <row r="5">
          <cell r="H5">
            <v>39648</v>
          </cell>
        </row>
        <row r="7">
          <cell r="H7">
            <v>32303</v>
          </cell>
        </row>
        <row r="13">
          <cell r="H13">
            <v>138969</v>
          </cell>
        </row>
        <row r="17">
          <cell r="H17">
            <v>3224</v>
          </cell>
        </row>
        <row r="21">
          <cell r="H21">
            <v>27139</v>
          </cell>
        </row>
        <row r="27">
          <cell r="H27">
            <v>8798</v>
          </cell>
        </row>
        <row r="29">
          <cell r="H29">
            <v>15057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zoomScaleNormal="10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I36" sqref="I36"/>
    </sheetView>
  </sheetViews>
  <sheetFormatPr defaultRowHeight="15" x14ac:dyDescent="0.25"/>
  <cols>
    <col min="1" max="1" width="12.42578125" style="4" customWidth="1"/>
    <col min="2" max="2" width="6" style="4" customWidth="1"/>
    <col min="3" max="3" width="7" style="4" customWidth="1"/>
    <col min="4" max="4" width="6.7109375" style="4" customWidth="1"/>
    <col min="5" max="5" width="7" style="4" bestFit="1" customWidth="1"/>
    <col min="6" max="6" width="5.7109375" style="4" customWidth="1"/>
    <col min="7" max="7" width="6.28515625" style="4" customWidth="1"/>
    <col min="8" max="8" width="7.42578125" style="4" customWidth="1"/>
    <col min="9" max="9" width="6.7109375" style="4" customWidth="1"/>
    <col min="10" max="10" width="2.42578125" style="4" customWidth="1"/>
    <col min="11" max="11" width="6.5703125" style="4" bestFit="1" customWidth="1"/>
    <col min="12" max="12" width="6.7109375" style="4" bestFit="1" customWidth="1"/>
    <col min="13" max="13" width="7" style="4" bestFit="1" customWidth="1"/>
    <col min="14" max="14" width="6.7109375" style="4" bestFit="1" customWidth="1"/>
    <col min="15" max="15" width="6.7109375" style="4" customWidth="1"/>
    <col min="16" max="16" width="2.85546875" style="4" customWidth="1"/>
    <col min="17" max="19" width="6.7109375" style="4" bestFit="1" customWidth="1"/>
    <col min="20" max="20" width="7.28515625" style="4" customWidth="1"/>
    <col min="21" max="21" width="7.42578125" style="4" customWidth="1"/>
    <col min="22" max="22" width="7.7109375" style="4" customWidth="1"/>
    <col min="23" max="23" width="8" style="4" customWidth="1"/>
    <col min="24" max="24" width="14.28515625" style="4" customWidth="1"/>
    <col min="25" max="25" width="11.42578125" style="4" customWidth="1"/>
    <col min="26" max="26" width="15" style="4" customWidth="1"/>
    <col min="27" max="16384" width="9.140625" style="4"/>
  </cols>
  <sheetData>
    <row r="1" spans="1:24" x14ac:dyDescent="0.25">
      <c r="B1" s="74">
        <v>45536</v>
      </c>
      <c r="C1" s="74"/>
    </row>
    <row r="2" spans="1:24" s="8" customFormat="1" ht="39" customHeight="1" x14ac:dyDescent="0.25">
      <c r="A2" s="6" t="s">
        <v>21</v>
      </c>
      <c r="B2" s="6" t="s">
        <v>13</v>
      </c>
      <c r="C2" s="6" t="s">
        <v>0</v>
      </c>
      <c r="D2" s="6" t="s">
        <v>1</v>
      </c>
      <c r="E2" s="6" t="s">
        <v>41</v>
      </c>
      <c r="F2" s="6" t="s">
        <v>27</v>
      </c>
      <c r="G2" s="7" t="s">
        <v>2</v>
      </c>
      <c r="H2" s="7" t="s">
        <v>40</v>
      </c>
      <c r="I2" s="7" t="s">
        <v>22</v>
      </c>
      <c r="J2" s="7" t="s">
        <v>3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 t="s">
        <v>12</v>
      </c>
      <c r="T2" s="7" t="s">
        <v>42</v>
      </c>
      <c r="U2" s="7" t="s">
        <v>47</v>
      </c>
      <c r="V2" s="7" t="s">
        <v>43</v>
      </c>
      <c r="W2" s="7" t="s">
        <v>46</v>
      </c>
    </row>
    <row r="3" spans="1:24" ht="12" customHeight="1" x14ac:dyDescent="0.25">
      <c r="A3" s="2" t="s">
        <v>19</v>
      </c>
      <c r="B3" s="2">
        <v>1</v>
      </c>
      <c r="C3" s="3"/>
      <c r="D3" s="3"/>
      <c r="E3" s="3"/>
      <c r="F3" s="3"/>
      <c r="G3" s="3"/>
      <c r="H3" s="3"/>
      <c r="I3" s="3"/>
      <c r="J3" s="3"/>
      <c r="K3" s="3">
        <v>5600</v>
      </c>
      <c r="L3" s="3"/>
      <c r="M3" s="3">
        <v>3223</v>
      </c>
      <c r="N3" s="3"/>
      <c r="O3" s="3"/>
      <c r="P3" s="3"/>
      <c r="Q3" s="3"/>
      <c r="R3" s="3"/>
      <c r="S3" s="3"/>
      <c r="T3" s="3"/>
      <c r="U3" s="3"/>
      <c r="V3" s="3"/>
      <c r="W3" s="3">
        <f>1560+1530+2109</f>
        <v>5199</v>
      </c>
    </row>
    <row r="4" spans="1:24" ht="12" customHeight="1" x14ac:dyDescent="0.25">
      <c r="A4" s="2" t="s">
        <v>20</v>
      </c>
      <c r="B4" s="2">
        <v>2</v>
      </c>
      <c r="C4" s="3"/>
      <c r="D4" s="3"/>
      <c r="E4" s="3"/>
      <c r="F4" s="3"/>
      <c r="G4" s="3"/>
      <c r="H4" s="3"/>
      <c r="I4" s="3">
        <v>16131</v>
      </c>
      <c r="J4" s="3"/>
      <c r="K4" s="3">
        <v>7014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f>3165+1984+3055</f>
        <v>8204</v>
      </c>
    </row>
    <row r="5" spans="1:24" ht="12" customHeight="1" x14ac:dyDescent="0.25">
      <c r="A5" s="28" t="s">
        <v>14</v>
      </c>
      <c r="B5" s="28">
        <v>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4"/>
    </row>
    <row r="6" spans="1:24" ht="12" customHeight="1" x14ac:dyDescent="0.25">
      <c r="A6" s="2" t="s">
        <v>15</v>
      </c>
      <c r="B6" s="2">
        <v>4</v>
      </c>
      <c r="C6" s="3"/>
      <c r="D6" s="3"/>
      <c r="E6" s="3"/>
      <c r="F6" s="3"/>
      <c r="G6" s="3"/>
      <c r="H6" s="3"/>
      <c r="I6" s="3">
        <v>12721</v>
      </c>
      <c r="J6" s="3"/>
      <c r="K6" s="3">
        <v>5472</v>
      </c>
      <c r="L6" s="3"/>
      <c r="M6" s="3"/>
      <c r="N6" s="3"/>
      <c r="O6" s="3">
        <v>3985</v>
      </c>
      <c r="P6" s="3"/>
      <c r="Q6" s="3"/>
      <c r="R6" s="3"/>
      <c r="S6" s="3"/>
      <c r="T6" s="3"/>
      <c r="U6" s="3"/>
      <c r="V6" s="3">
        <f>2069+1631+1429</f>
        <v>5129</v>
      </c>
      <c r="W6" s="3">
        <v>660</v>
      </c>
    </row>
    <row r="7" spans="1:24" ht="12" customHeight="1" x14ac:dyDescent="0.25">
      <c r="A7" s="2" t="s">
        <v>16</v>
      </c>
      <c r="B7" s="2">
        <v>5</v>
      </c>
      <c r="C7" s="3">
        <f>820+3485</f>
        <v>4305</v>
      </c>
      <c r="D7" s="3">
        <f>849+4849</f>
        <v>5698</v>
      </c>
      <c r="E7" s="3">
        <v>5520</v>
      </c>
      <c r="F7" s="3"/>
      <c r="G7" s="3"/>
      <c r="H7" s="3"/>
      <c r="I7" s="3"/>
      <c r="J7" s="3"/>
      <c r="K7" s="3">
        <v>6856</v>
      </c>
      <c r="L7" s="3"/>
      <c r="M7" s="3"/>
      <c r="N7" s="3"/>
      <c r="O7" s="3">
        <v>4060</v>
      </c>
      <c r="P7" s="3"/>
      <c r="Q7" s="3"/>
      <c r="R7" s="3"/>
      <c r="S7" s="3">
        <v>1787</v>
      </c>
      <c r="T7" s="3"/>
      <c r="U7" s="3"/>
      <c r="V7" s="3">
        <v>881</v>
      </c>
      <c r="W7" s="3"/>
    </row>
    <row r="8" spans="1:24" ht="12" customHeight="1" x14ac:dyDescent="0.25">
      <c r="A8" s="2" t="s">
        <v>17</v>
      </c>
      <c r="B8" s="2">
        <v>6</v>
      </c>
      <c r="C8" s="3">
        <v>2517</v>
      </c>
      <c r="D8" s="3">
        <v>2543</v>
      </c>
      <c r="E8" s="3"/>
      <c r="F8" s="3"/>
      <c r="G8" s="3"/>
      <c r="H8" s="3"/>
      <c r="I8" s="3"/>
      <c r="J8" s="3"/>
      <c r="K8" s="3">
        <v>6583</v>
      </c>
      <c r="L8" s="3"/>
      <c r="M8" s="3"/>
      <c r="N8" s="3"/>
      <c r="O8" s="3"/>
      <c r="P8" s="3"/>
      <c r="Q8" s="3"/>
      <c r="R8" s="3"/>
      <c r="S8" s="3">
        <v>2845</v>
      </c>
      <c r="T8" s="3"/>
      <c r="U8" s="3"/>
      <c r="V8" s="3"/>
      <c r="W8" s="3"/>
      <c r="X8" s="17"/>
    </row>
    <row r="9" spans="1:24" ht="12" customHeight="1" x14ac:dyDescent="0.25">
      <c r="A9" s="2" t="s">
        <v>18</v>
      </c>
      <c r="B9" s="2">
        <v>7</v>
      </c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17"/>
    </row>
    <row r="10" spans="1:24" ht="12" customHeight="1" x14ac:dyDescent="0.25">
      <c r="A10" s="2" t="s">
        <v>19</v>
      </c>
      <c r="B10" s="2">
        <v>8</v>
      </c>
      <c r="C10" s="5">
        <v>2782</v>
      </c>
      <c r="D10" s="5">
        <v>2787</v>
      </c>
      <c r="E10" s="3">
        <v>2488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17"/>
    </row>
    <row r="11" spans="1:24" ht="12" customHeight="1" x14ac:dyDescent="0.25">
      <c r="A11" s="2" t="s">
        <v>20</v>
      </c>
      <c r="B11" s="2">
        <v>9</v>
      </c>
      <c r="C11" s="3">
        <v>2947</v>
      </c>
      <c r="D11" s="3">
        <v>2906</v>
      </c>
      <c r="E11" s="3"/>
      <c r="F11" s="3"/>
      <c r="G11" s="3"/>
      <c r="H11" s="3"/>
      <c r="I11" s="3">
        <v>16250</v>
      </c>
      <c r="J11" s="3"/>
      <c r="K11" s="3">
        <v>6889</v>
      </c>
      <c r="L11" s="3"/>
      <c r="M11" s="3"/>
      <c r="N11" s="3"/>
      <c r="O11" s="3">
        <v>4285</v>
      </c>
      <c r="P11" s="3"/>
      <c r="Q11" s="3"/>
      <c r="R11" s="3"/>
      <c r="S11" s="3">
        <v>4724</v>
      </c>
      <c r="T11" s="3"/>
      <c r="U11" s="3"/>
      <c r="V11" s="3">
        <f>900+750</f>
        <v>1650</v>
      </c>
      <c r="W11" s="3"/>
    </row>
    <row r="12" spans="1:24" ht="12" customHeight="1" x14ac:dyDescent="0.25">
      <c r="A12" s="28" t="s">
        <v>14</v>
      </c>
      <c r="B12" s="28">
        <v>10</v>
      </c>
      <c r="C12" s="35">
        <v>3079</v>
      </c>
      <c r="D12" s="35">
        <v>3066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>
        <v>4715</v>
      </c>
      <c r="P12" s="35"/>
      <c r="Q12" s="35"/>
      <c r="R12" s="35"/>
      <c r="S12" s="35">
        <v>801</v>
      </c>
      <c r="T12" s="35"/>
      <c r="U12" s="35"/>
      <c r="V12" s="35">
        <f>2552+2417</f>
        <v>4969</v>
      </c>
      <c r="W12" s="35">
        <v>800</v>
      </c>
    </row>
    <row r="13" spans="1:24" ht="12" customHeight="1" x14ac:dyDescent="0.25">
      <c r="A13" s="2" t="s">
        <v>15</v>
      </c>
      <c r="B13" s="2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4" ht="12" customHeight="1" x14ac:dyDescent="0.25">
      <c r="A14" s="2" t="s">
        <v>16</v>
      </c>
      <c r="B14" s="2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ht="12" customHeight="1" x14ac:dyDescent="0.25">
      <c r="A15" s="2" t="s">
        <v>17</v>
      </c>
      <c r="B15" s="2">
        <v>13</v>
      </c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4" ht="12" customHeight="1" x14ac:dyDescent="0.25">
      <c r="A16" s="2" t="s">
        <v>18</v>
      </c>
      <c r="B16" s="2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1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6" ht="12" customHeight="1" x14ac:dyDescent="0.25">
      <c r="A17" s="2" t="s">
        <v>19</v>
      </c>
      <c r="B17" s="2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6" ht="12" customHeight="1" x14ac:dyDescent="0.25">
      <c r="A18" s="2" t="s">
        <v>20</v>
      </c>
      <c r="B18" s="2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6" ht="12" customHeight="1" x14ac:dyDescent="0.25">
      <c r="A19" s="28" t="s">
        <v>14</v>
      </c>
      <c r="B19" s="28">
        <v>17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Y19" s="4" t="s">
        <v>44</v>
      </c>
    </row>
    <row r="20" spans="1:26" ht="12" customHeight="1" x14ac:dyDescent="0.25">
      <c r="A20" s="2" t="s">
        <v>15</v>
      </c>
      <c r="B20" s="2">
        <v>18</v>
      </c>
      <c r="C20" s="3"/>
      <c r="D20" s="3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6" ht="12" customHeight="1" x14ac:dyDescent="0.25">
      <c r="A21" s="2" t="s">
        <v>16</v>
      </c>
      <c r="B21" s="2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6" ht="12" customHeight="1" x14ac:dyDescent="0.25">
      <c r="A22" s="2" t="s">
        <v>17</v>
      </c>
      <c r="B22" s="2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6" ht="12" customHeight="1" x14ac:dyDescent="0.25">
      <c r="A23" s="2" t="s">
        <v>18</v>
      </c>
      <c r="B23" s="2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Z23" s="16"/>
    </row>
    <row r="24" spans="1:26" ht="12" customHeight="1" x14ac:dyDescent="0.25">
      <c r="A24" s="2" t="s">
        <v>19</v>
      </c>
      <c r="B24" s="2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6" ht="12" customHeight="1" x14ac:dyDescent="0.25">
      <c r="A25" s="2" t="s">
        <v>20</v>
      </c>
      <c r="B25" s="2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6" ht="12" customHeight="1" x14ac:dyDescent="0.25">
      <c r="A26" s="28" t="s">
        <v>14</v>
      </c>
      <c r="B26" s="28">
        <v>24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1:26" ht="12" customHeight="1" x14ac:dyDescent="0.25">
      <c r="A27" s="2" t="s">
        <v>15</v>
      </c>
      <c r="B27" s="2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6" ht="12" customHeight="1" x14ac:dyDescent="0.25">
      <c r="A28" s="2" t="s">
        <v>16</v>
      </c>
      <c r="B28" s="2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6" ht="12" customHeight="1" x14ac:dyDescent="0.25">
      <c r="A29" s="2" t="s">
        <v>17</v>
      </c>
      <c r="B29" s="2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6" ht="12" customHeight="1" x14ac:dyDescent="0.25">
      <c r="A30" s="2" t="s">
        <v>18</v>
      </c>
      <c r="B30" s="2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Z30" s="4" t="s">
        <v>37</v>
      </c>
    </row>
    <row r="31" spans="1:26" ht="12" customHeight="1" x14ac:dyDescent="0.25">
      <c r="A31" s="2" t="s">
        <v>19</v>
      </c>
      <c r="B31" s="2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6" ht="12" customHeight="1" x14ac:dyDescent="0.25">
      <c r="A32" s="2" t="s">
        <v>20</v>
      </c>
      <c r="B32" s="2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6" ht="21" customHeight="1" x14ac:dyDescent="0.25">
      <c r="A33" s="28" t="s">
        <v>14</v>
      </c>
      <c r="B33" s="28">
        <v>31</v>
      </c>
      <c r="C33" s="35">
        <v>0</v>
      </c>
      <c r="D33" s="35">
        <v>0</v>
      </c>
      <c r="E33" s="35"/>
      <c r="F33" s="35"/>
      <c r="G33" s="35"/>
      <c r="H33" s="35"/>
      <c r="I33" s="35"/>
      <c r="J33" s="35"/>
      <c r="K33" s="35">
        <v>0</v>
      </c>
      <c r="L33" s="35"/>
      <c r="M33" s="35"/>
      <c r="N33" s="35">
        <v>0</v>
      </c>
      <c r="O33" s="35"/>
      <c r="P33" s="35"/>
      <c r="Q33" s="35"/>
      <c r="R33" s="35"/>
      <c r="S33" s="35"/>
      <c r="T33" s="35"/>
      <c r="U33" s="35">
        <v>0</v>
      </c>
      <c r="V33" s="35"/>
      <c r="W33" s="35">
        <v>0</v>
      </c>
      <c r="X33" s="56" t="s">
        <v>31</v>
      </c>
      <c r="Y33" s="55" t="s">
        <v>32</v>
      </c>
      <c r="Z33" s="55" t="s">
        <v>38</v>
      </c>
    </row>
    <row r="34" spans="1:26" ht="18" customHeight="1" x14ac:dyDescent="0.25">
      <c r="A34" s="77" t="s">
        <v>23</v>
      </c>
      <c r="B34" s="77"/>
      <c r="C34" s="3">
        <f>SUM(C3:C33)</f>
        <v>15630</v>
      </c>
      <c r="D34" s="3">
        <f t="shared" ref="D34:W34" si="0">SUM(D3:D33)</f>
        <v>17000</v>
      </c>
      <c r="E34" s="3">
        <f t="shared" si="0"/>
        <v>8008</v>
      </c>
      <c r="F34" s="3">
        <f t="shared" si="0"/>
        <v>0</v>
      </c>
      <c r="G34" s="3">
        <f t="shared" si="0"/>
        <v>0</v>
      </c>
      <c r="H34" s="3">
        <f t="shared" si="0"/>
        <v>0</v>
      </c>
      <c r="I34" s="3">
        <f t="shared" si="0"/>
        <v>45102</v>
      </c>
      <c r="J34" s="3">
        <f t="shared" si="0"/>
        <v>0</v>
      </c>
      <c r="K34" s="3">
        <f t="shared" si="0"/>
        <v>38414</v>
      </c>
      <c r="L34" s="3">
        <f t="shared" si="0"/>
        <v>0</v>
      </c>
      <c r="M34" s="3">
        <f t="shared" si="0"/>
        <v>3223</v>
      </c>
      <c r="N34" s="3">
        <f t="shared" si="0"/>
        <v>0</v>
      </c>
      <c r="O34" s="3">
        <f t="shared" si="0"/>
        <v>17045</v>
      </c>
      <c r="P34" s="3">
        <f t="shared" si="0"/>
        <v>0</v>
      </c>
      <c r="Q34" s="3">
        <f t="shared" si="0"/>
        <v>0</v>
      </c>
      <c r="R34" s="3">
        <f t="shared" si="0"/>
        <v>0</v>
      </c>
      <c r="S34" s="3">
        <f t="shared" si="0"/>
        <v>10157</v>
      </c>
      <c r="T34" s="3">
        <f t="shared" si="0"/>
        <v>0</v>
      </c>
      <c r="U34" s="3">
        <f t="shared" si="0"/>
        <v>0</v>
      </c>
      <c r="V34" s="3">
        <f t="shared" si="0"/>
        <v>12629</v>
      </c>
      <c r="W34" s="3">
        <f t="shared" si="0"/>
        <v>14863</v>
      </c>
      <c r="X34" s="9">
        <f>X37/27</f>
        <v>23740.740740740741</v>
      </c>
      <c r="Y34" s="5">
        <f>Y37/6</f>
        <v>30345.166666666668</v>
      </c>
      <c r="Z34" s="10">
        <f>Y34/X34*100</f>
        <v>127.81895475819034</v>
      </c>
    </row>
    <row r="35" spans="1:26" x14ac:dyDescent="0.25">
      <c r="A35" s="78" t="s">
        <v>24</v>
      </c>
      <c r="B35" s="79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61" t="s">
        <v>28</v>
      </c>
      <c r="Y35" s="67" t="s">
        <v>29</v>
      </c>
      <c r="Z35" s="69" t="s">
        <v>30</v>
      </c>
    </row>
    <row r="36" spans="1:26" x14ac:dyDescent="0.25">
      <c r="A36" s="78" t="s">
        <v>25</v>
      </c>
      <c r="B36" s="79"/>
      <c r="C36" s="3">
        <v>110000</v>
      </c>
      <c r="D36" s="3">
        <v>110000</v>
      </c>
      <c r="E36" s="3">
        <v>50000</v>
      </c>
      <c r="F36" s="3"/>
      <c r="G36" s="3">
        <v>0</v>
      </c>
      <c r="H36" s="3">
        <v>0</v>
      </c>
      <c r="I36" s="3">
        <v>125000</v>
      </c>
      <c r="J36" s="3">
        <v>0</v>
      </c>
      <c r="K36" s="3">
        <f>M36*6</f>
        <v>60000</v>
      </c>
      <c r="L36" s="3">
        <v>10000</v>
      </c>
      <c r="M36" s="3">
        <v>10000</v>
      </c>
      <c r="N36" s="3">
        <v>10000</v>
      </c>
      <c r="O36" s="3">
        <f>Q36*6</f>
        <v>54000</v>
      </c>
      <c r="P36" s="3">
        <v>0</v>
      </c>
      <c r="Q36" s="3">
        <v>9000</v>
      </c>
      <c r="R36" s="3">
        <v>9000</v>
      </c>
      <c r="S36" s="3">
        <v>9000</v>
      </c>
      <c r="T36" s="3"/>
      <c r="U36" s="3">
        <v>60000</v>
      </c>
      <c r="V36" s="3">
        <v>15000</v>
      </c>
      <c r="W36" s="3">
        <v>39000</v>
      </c>
      <c r="X36" s="62"/>
      <c r="Y36" s="68"/>
      <c r="Z36" s="70"/>
    </row>
    <row r="37" spans="1:26" x14ac:dyDescent="0.25">
      <c r="A37" s="78" t="s">
        <v>26</v>
      </c>
      <c r="B37" s="79"/>
      <c r="C37" s="3">
        <f t="shared" ref="C37:V37" si="1">C36-C34</f>
        <v>94370</v>
      </c>
      <c r="D37" s="3">
        <f t="shared" si="1"/>
        <v>93000</v>
      </c>
      <c r="E37" s="3">
        <f t="shared" si="1"/>
        <v>41992</v>
      </c>
      <c r="F37" s="3">
        <f t="shared" si="1"/>
        <v>0</v>
      </c>
      <c r="G37" s="57">
        <f t="shared" si="1"/>
        <v>0</v>
      </c>
      <c r="H37" s="3">
        <f t="shared" si="1"/>
        <v>0</v>
      </c>
      <c r="I37" s="3">
        <f t="shared" si="1"/>
        <v>79898</v>
      </c>
      <c r="J37" s="3">
        <f t="shared" si="1"/>
        <v>0</v>
      </c>
      <c r="K37" s="3">
        <f t="shared" si="1"/>
        <v>21586</v>
      </c>
      <c r="L37" s="3">
        <f t="shared" si="1"/>
        <v>10000</v>
      </c>
      <c r="M37" s="3">
        <f t="shared" si="1"/>
        <v>6777</v>
      </c>
      <c r="N37" s="3">
        <f t="shared" si="1"/>
        <v>10000</v>
      </c>
      <c r="O37" s="13">
        <f t="shared" si="1"/>
        <v>36955</v>
      </c>
      <c r="P37" s="3">
        <f t="shared" si="1"/>
        <v>0</v>
      </c>
      <c r="Q37" s="3">
        <f t="shared" si="1"/>
        <v>9000</v>
      </c>
      <c r="R37" s="3">
        <f t="shared" si="1"/>
        <v>9000</v>
      </c>
      <c r="S37" s="3">
        <f t="shared" si="1"/>
        <v>-1157</v>
      </c>
      <c r="T37" s="3">
        <f t="shared" si="1"/>
        <v>0</v>
      </c>
      <c r="U37" s="3">
        <v>0</v>
      </c>
      <c r="V37" s="3">
        <f t="shared" si="1"/>
        <v>2371</v>
      </c>
      <c r="W37" s="3">
        <f>W36-W34</f>
        <v>24137</v>
      </c>
      <c r="X37" s="54">
        <f>V36+U36+T36+S36+R36+Q36+P36+O36+N36+M36+L36+K36+J36+I36+H36+G36+F36+E36+D36+C36</f>
        <v>641000</v>
      </c>
      <c r="Y37" s="5">
        <f>V34+U34+T34+S34+R34+Q34+P34+O34+N34+M34+L34+K34+J34+I34+H34+G34+F34+E34+D34+C34+V35+U35+T35+S35+R35+Q35+P35+O35+N35+M35+L35+K35+J35+I35+H35+G35+F35+E35+D35+C35+W34</f>
        <v>182071</v>
      </c>
      <c r="Z37" s="5">
        <f>X37-Y37</f>
        <v>458929</v>
      </c>
    </row>
    <row r="38" spans="1:26" ht="34.5" customHeight="1" x14ac:dyDescent="0.25">
      <c r="A38" s="71" t="s">
        <v>36</v>
      </c>
      <c r="B38" s="71"/>
      <c r="C38" s="3">
        <f>C36*4</f>
        <v>440000</v>
      </c>
      <c r="D38" s="3">
        <f>D36*4</f>
        <v>440000</v>
      </c>
      <c r="E38" s="3">
        <f>E36*2</f>
        <v>100000</v>
      </c>
      <c r="F38" s="3">
        <f>F36*1</f>
        <v>0</v>
      </c>
      <c r="G38" s="3">
        <f>G36*2</f>
        <v>0</v>
      </c>
      <c r="H38" s="3">
        <v>0</v>
      </c>
      <c r="I38" s="3">
        <f>I36</f>
        <v>125000</v>
      </c>
      <c r="J38" s="3">
        <f>J36*2</f>
        <v>0</v>
      </c>
      <c r="K38" s="3">
        <f>K36</f>
        <v>60000</v>
      </c>
      <c r="L38" s="3">
        <f>L36*6</f>
        <v>60000</v>
      </c>
      <c r="M38" s="57">
        <f>M36*7</f>
        <v>70000</v>
      </c>
      <c r="N38" s="2">
        <f>N36*7</f>
        <v>70000</v>
      </c>
      <c r="O38" s="3">
        <f>(O36*1)+23000</f>
        <v>77000</v>
      </c>
      <c r="P38" s="3">
        <f>P36</f>
        <v>0</v>
      </c>
      <c r="Q38" s="3">
        <f>Q36*6</f>
        <v>54000</v>
      </c>
      <c r="R38" s="3">
        <f>R36*7</f>
        <v>63000</v>
      </c>
      <c r="S38" s="3">
        <f>S36*7</f>
        <v>63000</v>
      </c>
      <c r="T38" s="3"/>
      <c r="U38" s="3">
        <f>U36</f>
        <v>60000</v>
      </c>
      <c r="V38" s="3">
        <f>V36</f>
        <v>15000</v>
      </c>
      <c r="W38" s="3">
        <f>W37*1</f>
        <v>24137</v>
      </c>
      <c r="X38" s="55" t="s">
        <v>39</v>
      </c>
      <c r="Y38" s="55" t="s">
        <v>33</v>
      </c>
      <c r="Z38" s="55" t="s">
        <v>34</v>
      </c>
    </row>
    <row r="39" spans="1:26" ht="21" customHeight="1" x14ac:dyDescent="0.25">
      <c r="A39" s="72" t="s">
        <v>33</v>
      </c>
      <c r="B39" s="73"/>
      <c r="C39" s="3">
        <f>(C34+C35)*4</f>
        <v>62520</v>
      </c>
      <c r="D39" s="3">
        <f>(D34+D35)*4</f>
        <v>68000</v>
      </c>
      <c r="E39" s="3">
        <f>(E34+E35)*2</f>
        <v>16016</v>
      </c>
      <c r="F39" s="3">
        <f>F34+F35</f>
        <v>0</v>
      </c>
      <c r="G39" s="3">
        <f>G34+G35</f>
        <v>0</v>
      </c>
      <c r="H39" s="3">
        <v>0</v>
      </c>
      <c r="I39" s="3">
        <f>I34+I35</f>
        <v>45102</v>
      </c>
      <c r="J39" s="3">
        <f>(J34+J35)*2</f>
        <v>0</v>
      </c>
      <c r="K39" s="3">
        <f>K34+K35</f>
        <v>38414</v>
      </c>
      <c r="L39" s="3">
        <f t="shared" ref="L39" si="2">(L34+L35)*7</f>
        <v>0</v>
      </c>
      <c r="M39" s="3">
        <f>(M34+M35)*7</f>
        <v>22561</v>
      </c>
      <c r="N39" s="3">
        <f>(N34+N35)*7</f>
        <v>0</v>
      </c>
      <c r="O39" s="3"/>
      <c r="P39" s="3"/>
      <c r="Q39" s="3"/>
      <c r="R39" s="3">
        <f t="shared" ref="R39:S39" si="3">(R34+R35)*7</f>
        <v>0</v>
      </c>
      <c r="S39" s="3">
        <f t="shared" si="3"/>
        <v>71099</v>
      </c>
      <c r="T39" s="3"/>
      <c r="U39" s="3">
        <f>U34+U35</f>
        <v>0</v>
      </c>
      <c r="V39" s="3">
        <f>V34+V35</f>
        <v>12629</v>
      </c>
      <c r="W39" s="3">
        <f>W34*3</f>
        <v>44589</v>
      </c>
      <c r="X39" s="3">
        <f>W38+V38+T38+S38+R38+Q38+P38+O38+N38+C38+M38+L38+K38+J38+I38+G38+F38+E38+D38+U38</f>
        <v>1721137</v>
      </c>
      <c r="Y39" s="5">
        <f>W39+V39+U39+T39+S39+R39+Q39+O39+M39+L39+K39+J39+H39++G39+F39+E39+D39+C39+N39+P39+I39</f>
        <v>380930</v>
      </c>
      <c r="Z39" s="5">
        <f>Y39/6</f>
        <v>63488.333333333336</v>
      </c>
    </row>
    <row r="40" spans="1:26" ht="25.5" customHeight="1" x14ac:dyDescent="0.25">
      <c r="A40" s="63" t="s">
        <v>35</v>
      </c>
      <c r="B40" s="64"/>
      <c r="C40" s="1">
        <f>'RM Received Details Challan'!AB2</f>
        <v>79278</v>
      </c>
      <c r="D40" s="1">
        <f>'RM Received Details Challan'!AB3</f>
        <v>88321</v>
      </c>
      <c r="E40" s="3">
        <f ca="1">'RM Received Details Challan'!AB4</f>
        <v>0</v>
      </c>
      <c r="F40" s="3"/>
      <c r="G40" s="3">
        <f ca="1">'RM Received Details Challan'!AB4</f>
        <v>0</v>
      </c>
      <c r="H40" s="3"/>
      <c r="I40" s="3">
        <f>'RM Received Details Challan'!AB6</f>
        <v>138969</v>
      </c>
      <c r="J40" s="1"/>
      <c r="K40" s="1">
        <f>'RM Received Details Challan'!AB10</f>
        <v>46490</v>
      </c>
      <c r="L40" s="1">
        <f ca="1">'RM Received Details Challan'!AB7</f>
        <v>0</v>
      </c>
      <c r="M40" s="1">
        <f>'RM Received Details Challan'!AB8</f>
        <v>3224</v>
      </c>
      <c r="N40" s="1">
        <f ca="1">'RM Received Details Challan'!AB9</f>
        <v>0</v>
      </c>
      <c r="O40" s="3">
        <f>'RM Received Details Challan'!AB14</f>
        <v>28339</v>
      </c>
      <c r="P40" s="3">
        <f>'RM Received Details Challan'!AB14</f>
        <v>28339</v>
      </c>
      <c r="Q40" s="3">
        <f ca="1">'RM Received Details Challan'!AB11</f>
        <v>0</v>
      </c>
      <c r="R40" s="3">
        <f>'RM Received Details Challan'!AB12</f>
        <v>4060</v>
      </c>
      <c r="S40" s="3">
        <f>'RM Received Details Challan'!AB13</f>
        <v>8798</v>
      </c>
      <c r="T40" s="3"/>
      <c r="U40" s="3">
        <f ca="1">'RM Received Details Challan'!AB21</f>
        <v>0</v>
      </c>
      <c r="V40" s="3">
        <f>'RM Received Details Challan'!AB18+'RM Received Details Challan'!AB19+'RM Received Details Challan'!AB20</f>
        <v>12703</v>
      </c>
      <c r="W40" s="3">
        <f>'RM Received Details Challan'!AB15+'RM Received Details Challan'!AB16+'RM Received Details Challan'!AB17</f>
        <v>14597</v>
      </c>
      <c r="X40" s="55" t="s">
        <v>45</v>
      </c>
      <c r="Y40" s="55" t="s">
        <v>88</v>
      </c>
      <c r="Z40" s="55" t="s">
        <v>89</v>
      </c>
    </row>
    <row r="41" spans="1:26" ht="24.75" customHeight="1" x14ac:dyDescent="0.25">
      <c r="A41" s="65" t="s">
        <v>76</v>
      </c>
      <c r="B41" s="66"/>
      <c r="C41" s="27">
        <f>C40-C36</f>
        <v>-30722</v>
      </c>
      <c r="D41" s="27">
        <f t="shared" ref="D41:W41" si="4">D40-D36</f>
        <v>-21679</v>
      </c>
      <c r="E41" s="27">
        <f t="shared" ca="1" si="4"/>
        <v>-50000</v>
      </c>
      <c r="F41" s="27">
        <f t="shared" si="4"/>
        <v>0</v>
      </c>
      <c r="G41" s="27">
        <f t="shared" ca="1" si="4"/>
        <v>0</v>
      </c>
      <c r="H41" s="27">
        <f t="shared" si="4"/>
        <v>0</v>
      </c>
      <c r="I41" s="27">
        <f t="shared" si="4"/>
        <v>13969</v>
      </c>
      <c r="J41" s="27">
        <f t="shared" si="4"/>
        <v>0</v>
      </c>
      <c r="K41" s="27">
        <f t="shared" si="4"/>
        <v>-13510</v>
      </c>
      <c r="L41" s="27">
        <f t="shared" ca="1" si="4"/>
        <v>-10000</v>
      </c>
      <c r="M41" s="27">
        <f t="shared" si="4"/>
        <v>-6776</v>
      </c>
      <c r="N41" s="27">
        <f t="shared" ca="1" si="4"/>
        <v>-10000</v>
      </c>
      <c r="O41" s="27">
        <f t="shared" si="4"/>
        <v>-25661</v>
      </c>
      <c r="P41" s="27">
        <f t="shared" si="4"/>
        <v>28339</v>
      </c>
      <c r="Q41" s="27">
        <f t="shared" ca="1" si="4"/>
        <v>-9000</v>
      </c>
      <c r="R41" s="27">
        <f t="shared" si="4"/>
        <v>-4940</v>
      </c>
      <c r="S41" s="27">
        <f t="shared" si="4"/>
        <v>-202</v>
      </c>
      <c r="T41" s="27">
        <f t="shared" si="4"/>
        <v>0</v>
      </c>
      <c r="U41" s="27">
        <f t="shared" ca="1" si="4"/>
        <v>-60000</v>
      </c>
      <c r="V41" s="27">
        <f t="shared" si="4"/>
        <v>-2297</v>
      </c>
      <c r="W41" s="27">
        <f t="shared" si="4"/>
        <v>-24403</v>
      </c>
      <c r="X41" s="59">
        <f>Y41/11</f>
        <v>6258.6799999999994</v>
      </c>
      <c r="Y41" s="5">
        <f>X39/25</f>
        <v>68845.48</v>
      </c>
      <c r="Z41" s="10">
        <f>Z39/Y41*100</f>
        <v>92.218593484036049</v>
      </c>
    </row>
    <row r="42" spans="1:26" ht="22.5" customHeight="1" x14ac:dyDescent="0.25">
      <c r="A42" s="75" t="s">
        <v>74</v>
      </c>
      <c r="B42" s="76"/>
      <c r="C42" s="3">
        <f>C40-C34</f>
        <v>63648</v>
      </c>
      <c r="D42" s="3">
        <f t="shared" ref="D42:W42" si="5">D40-D34</f>
        <v>71321</v>
      </c>
      <c r="E42" s="3">
        <f t="shared" ca="1" si="5"/>
        <v>0</v>
      </c>
      <c r="F42" s="3">
        <f t="shared" si="5"/>
        <v>0</v>
      </c>
      <c r="G42" s="3">
        <f t="shared" ca="1" si="5"/>
        <v>0</v>
      </c>
      <c r="H42" s="3">
        <f t="shared" si="5"/>
        <v>0</v>
      </c>
      <c r="I42" s="3">
        <f>I40-I34</f>
        <v>93867</v>
      </c>
      <c r="J42" s="3">
        <f t="shared" si="5"/>
        <v>0</v>
      </c>
      <c r="K42" s="3">
        <f t="shared" si="5"/>
        <v>8076</v>
      </c>
      <c r="L42" s="3">
        <f t="shared" ca="1" si="5"/>
        <v>0</v>
      </c>
      <c r="M42" s="3">
        <f t="shared" si="5"/>
        <v>1</v>
      </c>
      <c r="N42" s="3">
        <f t="shared" ca="1" si="5"/>
        <v>0</v>
      </c>
      <c r="O42" s="3">
        <f t="shared" si="5"/>
        <v>11294</v>
      </c>
      <c r="P42" s="3">
        <f t="shared" si="5"/>
        <v>28339</v>
      </c>
      <c r="Q42" s="3">
        <f t="shared" ca="1" si="5"/>
        <v>0</v>
      </c>
      <c r="R42" s="3">
        <f t="shared" si="5"/>
        <v>4060</v>
      </c>
      <c r="S42" s="3">
        <f t="shared" si="5"/>
        <v>-1359</v>
      </c>
      <c r="T42" s="3">
        <f t="shared" si="5"/>
        <v>0</v>
      </c>
      <c r="U42" s="3">
        <f ca="1">U40-U35-U34</f>
        <v>0</v>
      </c>
      <c r="V42" s="3">
        <f t="shared" si="5"/>
        <v>74</v>
      </c>
      <c r="W42" s="3">
        <f t="shared" si="5"/>
        <v>-266</v>
      </c>
      <c r="X42" s="3"/>
      <c r="Y42" s="3"/>
      <c r="Z42" s="3"/>
    </row>
    <row r="43" spans="1:2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6" x14ac:dyDescent="0.25">
      <c r="Y44" s="15"/>
    </row>
    <row r="46" spans="1:26" x14ac:dyDescent="0.25">
      <c r="L46" s="12"/>
      <c r="Q46" s="12"/>
      <c r="R46" s="12"/>
      <c r="S46" s="12"/>
    </row>
  </sheetData>
  <mergeCells count="13">
    <mergeCell ref="B1:C1"/>
    <mergeCell ref="A42:B42"/>
    <mergeCell ref="A34:B34"/>
    <mergeCell ref="A35:B35"/>
    <mergeCell ref="A36:B36"/>
    <mergeCell ref="A37:B37"/>
    <mergeCell ref="X35:X36"/>
    <mergeCell ref="A40:B40"/>
    <mergeCell ref="A41:B41"/>
    <mergeCell ref="Y35:Y36"/>
    <mergeCell ref="Z35:Z36"/>
    <mergeCell ref="A38:B38"/>
    <mergeCell ref="A39:B39"/>
  </mergeCells>
  <conditionalFormatting sqref="Z34">
    <cfRule type="cellIs" dxfId="45" priority="38" operator="greaterThan">
      <formula>95</formula>
    </cfRule>
    <cfRule type="cellIs" dxfId="44" priority="42" operator="lessThan">
      <formula>95</formula>
    </cfRule>
    <cfRule type="cellIs" dxfId="43" priority="43" operator="lessThan">
      <formula>99</formula>
    </cfRule>
  </conditionalFormatting>
  <conditionalFormatting sqref="Z41">
    <cfRule type="cellIs" dxfId="42" priority="39" operator="greaterThan">
      <formula>95</formula>
    </cfRule>
    <cfRule type="cellIs" dxfId="41" priority="40" operator="lessThan">
      <formula>105.9</formula>
    </cfRule>
    <cfRule type="cellIs" dxfId="40" priority="41" operator="lessThan">
      <formula>99</formula>
    </cfRule>
  </conditionalFormatting>
  <conditionalFormatting sqref="C42">
    <cfRule type="cellIs" dxfId="39" priority="19" operator="greaterThan">
      <formula>$C$37</formula>
    </cfRule>
    <cfRule type="cellIs" dxfId="38" priority="21" operator="lessThan">
      <formula>$C$37</formula>
    </cfRule>
  </conditionalFormatting>
  <conditionalFormatting sqref="D42:H42 J42:W42">
    <cfRule type="cellIs" dxfId="37" priority="17" operator="greaterThan">
      <formula>$C$37</formula>
    </cfRule>
    <cfRule type="cellIs" dxfId="36" priority="18" operator="lessThan">
      <formula>$C$37</formula>
    </cfRule>
  </conditionalFormatting>
  <conditionalFormatting sqref="L42">
    <cfRule type="cellIs" dxfId="35" priority="16" operator="greaterThan">
      <formula>$L$37</formula>
    </cfRule>
  </conditionalFormatting>
  <conditionalFormatting sqref="M42:W42">
    <cfRule type="cellIs" dxfId="34" priority="15" operator="greaterThan">
      <formula>$L$37</formula>
    </cfRule>
  </conditionalFormatting>
  <conditionalFormatting sqref="Q42">
    <cfRule type="cellIs" dxfId="33" priority="14" operator="greaterThan">
      <formula>$Q$37</formula>
    </cfRule>
  </conditionalFormatting>
  <conditionalFormatting sqref="R42:S42">
    <cfRule type="cellIs" dxfId="32" priority="13" operator="greaterThan">
      <formula>$Q$37</formula>
    </cfRule>
  </conditionalFormatting>
  <conditionalFormatting sqref="T42">
    <cfRule type="cellIs" dxfId="31" priority="12" operator="greaterThan">
      <formula>$Q$37</formula>
    </cfRule>
  </conditionalFormatting>
  <conditionalFormatting sqref="U42">
    <cfRule type="cellIs" dxfId="30" priority="2" operator="lessThan">
      <formula>$U$37</formula>
    </cfRule>
    <cfRule type="cellIs" dxfId="29" priority="4" operator="lessThan">
      <formula>$U$37</formula>
    </cfRule>
    <cfRule type="cellIs" dxfId="28" priority="11" operator="greaterThan">
      <formula>$Q$37</formula>
    </cfRule>
  </conditionalFormatting>
  <conditionalFormatting sqref="V42">
    <cfRule type="cellIs" dxfId="27" priority="5" operator="greaterThan">
      <formula>$V$37</formula>
    </cfRule>
    <cfRule type="cellIs" dxfId="26" priority="10" operator="greaterThan">
      <formula>$Q$37</formula>
    </cfRule>
  </conditionalFormatting>
  <conditionalFormatting sqref="W42">
    <cfRule type="cellIs" dxfId="25" priority="9" operator="greaterThan">
      <formula>$Q$37</formula>
    </cfRule>
  </conditionalFormatting>
  <conditionalFormatting sqref="I42">
    <cfRule type="cellIs" dxfId="24" priority="6" operator="lessThan">
      <formula>$I$37</formula>
    </cfRule>
    <cfRule type="cellIs" dxfId="23" priority="7" operator="greaterThan">
      <formula>$C$37</formula>
    </cfRule>
    <cfRule type="cellIs" dxfId="22" priority="8" operator="lessThan">
      <formula>$C$37</formula>
    </cfRule>
  </conditionalFormatting>
  <conditionalFormatting sqref="U42">
    <cfRule type="cellIs" dxfId="21" priority="3" operator="greaterThan">
      <formula>$Q$37</formula>
    </cfRule>
  </conditionalFormatting>
  <conditionalFormatting sqref="P42">
    <cfRule type="cellIs" dxfId="20" priority="1" operator="lessThan">
      <formula>$P$37</formula>
    </cfRule>
  </conditionalFormatting>
  <pageMargins left="0.7" right="0.7" top="0.75" bottom="0.75" header="0.3" footer="0.3"/>
  <pageSetup paperSize="9" orientation="portrait" r:id="rId1"/>
  <ignoredErrors>
    <ignoredError sqref="J38:J39 F38 U4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opLeftCell="A4" zoomScale="115" zoomScaleNormal="115" workbookViewId="0">
      <selection activeCell="H31" sqref="H31"/>
    </sheetView>
  </sheetViews>
  <sheetFormatPr defaultRowHeight="15" x14ac:dyDescent="0.25"/>
  <cols>
    <col min="1" max="1" width="2.5703125" style="18" customWidth="1"/>
    <col min="2" max="2" width="19.140625" style="18" customWidth="1"/>
    <col min="3" max="3" width="11.140625" style="18" customWidth="1"/>
    <col min="4" max="4" width="10.5703125" style="18" customWidth="1"/>
    <col min="5" max="5" width="10.85546875" style="18" customWidth="1"/>
    <col min="6" max="6" width="0.5703125" style="18" customWidth="1"/>
    <col min="7" max="7" width="9.7109375" style="18" bestFit="1" customWidth="1"/>
    <col min="8" max="16384" width="9.140625" style="18"/>
  </cols>
  <sheetData>
    <row r="1" spans="2:8" x14ac:dyDescent="0.25">
      <c r="B1" s="21"/>
      <c r="C1" s="21" t="s">
        <v>65</v>
      </c>
      <c r="D1" s="21"/>
      <c r="E1" s="24">
        <v>26</v>
      </c>
      <c r="F1" s="21"/>
      <c r="G1" s="21" t="s">
        <v>68</v>
      </c>
      <c r="H1" s="21"/>
    </row>
    <row r="2" spans="2:8" x14ac:dyDescent="0.25">
      <c r="B2" s="21"/>
      <c r="C2" s="21" t="s">
        <v>64</v>
      </c>
      <c r="D2" s="21"/>
      <c r="E2" s="25">
        <v>8</v>
      </c>
      <c r="F2" s="21"/>
      <c r="G2" s="23">
        <f>E2/E1*100</f>
        <v>30.76923076923077</v>
      </c>
      <c r="H2" s="21"/>
    </row>
    <row r="3" spans="2:8" s="20" customFormat="1" ht="22.5" x14ac:dyDescent="0.2">
      <c r="B3" s="29" t="s">
        <v>61</v>
      </c>
      <c r="C3" s="29" t="s">
        <v>25</v>
      </c>
      <c r="D3" s="29" t="s">
        <v>62</v>
      </c>
      <c r="E3" s="29" t="s">
        <v>63</v>
      </c>
      <c r="F3" s="29"/>
      <c r="G3" s="30" t="s">
        <v>66</v>
      </c>
      <c r="H3" s="19" t="s">
        <v>77</v>
      </c>
    </row>
    <row r="4" spans="2:8" ht="2.1" customHeight="1" x14ac:dyDescent="0.25">
      <c r="B4" s="21"/>
      <c r="C4" s="21"/>
      <c r="D4" s="21"/>
      <c r="E4" s="21"/>
      <c r="F4" s="21"/>
      <c r="G4" s="21"/>
      <c r="H4" s="21"/>
    </row>
    <row r="5" spans="2:8" x14ac:dyDescent="0.25">
      <c r="B5" s="6" t="s">
        <v>0</v>
      </c>
      <c r="C5" s="21">
        <f>'Schedule &amp; Dispatch'!C36</f>
        <v>110000</v>
      </c>
      <c r="D5" s="21">
        <f>'Schedule &amp; Dispatch'!C34</f>
        <v>15630</v>
      </c>
      <c r="E5" s="21">
        <f>C5-D5</f>
        <v>94370</v>
      </c>
      <c r="F5" s="21"/>
      <c r="G5" s="22">
        <f>D5/C5*100</f>
        <v>14.209090909090911</v>
      </c>
      <c r="H5" s="21">
        <f>'Schedule &amp; Dispatch'!C42</f>
        <v>63648</v>
      </c>
    </row>
    <row r="6" spans="2:8" ht="2.1" customHeight="1" x14ac:dyDescent="0.25">
      <c r="B6" s="21"/>
      <c r="C6" s="21"/>
      <c r="D6" s="21"/>
      <c r="E6" s="21"/>
      <c r="F6" s="21"/>
      <c r="G6" s="22"/>
      <c r="H6" s="21"/>
    </row>
    <row r="7" spans="2:8" x14ac:dyDescent="0.25">
      <c r="B7" s="21" t="s">
        <v>48</v>
      </c>
      <c r="C7" s="21">
        <f>'Schedule &amp; Dispatch'!D36</f>
        <v>110000</v>
      </c>
      <c r="D7" s="21">
        <f>'Schedule &amp; Dispatch'!D34</f>
        <v>17000</v>
      </c>
      <c r="E7" s="21">
        <f>C7-D7</f>
        <v>93000</v>
      </c>
      <c r="F7" s="21"/>
      <c r="G7" s="22">
        <f>D7/C7*100</f>
        <v>15.454545454545453</v>
      </c>
      <c r="H7" s="21">
        <f>'Schedule &amp; Dispatch'!D42</f>
        <v>71321</v>
      </c>
    </row>
    <row r="8" spans="2:8" ht="2.1" customHeight="1" x14ac:dyDescent="0.25">
      <c r="B8" s="21"/>
      <c r="C8" s="21"/>
      <c r="D8" s="21"/>
      <c r="E8" s="21"/>
      <c r="F8" s="21"/>
      <c r="G8" s="22"/>
      <c r="H8" s="21"/>
    </row>
    <row r="9" spans="2:8" x14ac:dyDescent="0.25">
      <c r="B9" s="21" t="s">
        <v>49</v>
      </c>
      <c r="C9" s="21">
        <f>'Schedule &amp; Dispatch'!E36</f>
        <v>50000</v>
      </c>
      <c r="D9" s="21">
        <f>'Schedule &amp; Dispatch'!E34</f>
        <v>8008</v>
      </c>
      <c r="E9" s="21">
        <f>C9-D9</f>
        <v>41992</v>
      </c>
      <c r="F9" s="21"/>
      <c r="G9" s="22">
        <f>D9/C9*100</f>
        <v>16.015999999999998</v>
      </c>
      <c r="H9" s="21">
        <f ca="1">'Schedule &amp; Dispatch'!E42</f>
        <v>0</v>
      </c>
    </row>
    <row r="10" spans="2:8" ht="2.1" customHeight="1" x14ac:dyDescent="0.25">
      <c r="B10" s="21"/>
      <c r="C10" s="21"/>
      <c r="D10" s="21"/>
      <c r="E10" s="21"/>
      <c r="F10" s="21"/>
      <c r="G10" s="22"/>
      <c r="H10" s="21"/>
    </row>
    <row r="11" spans="2:8" x14ac:dyDescent="0.25">
      <c r="B11" s="21" t="s">
        <v>50</v>
      </c>
      <c r="C11" s="21">
        <v>1</v>
      </c>
      <c r="D11" s="21">
        <f>'Schedule &amp; Dispatch'!G34</f>
        <v>0</v>
      </c>
      <c r="E11" s="21">
        <f>C11-D11</f>
        <v>1</v>
      </c>
      <c r="F11" s="21"/>
      <c r="G11" s="22">
        <f>D11/C11*100</f>
        <v>0</v>
      </c>
      <c r="H11" s="21"/>
    </row>
    <row r="12" spans="2:8" ht="2.1" customHeight="1" x14ac:dyDescent="0.25">
      <c r="B12" s="21"/>
      <c r="C12" s="21"/>
      <c r="D12" s="21"/>
      <c r="E12" s="21"/>
      <c r="F12" s="21"/>
      <c r="G12" s="22"/>
      <c r="H12" s="21"/>
    </row>
    <row r="13" spans="2:8" x14ac:dyDescent="0.25">
      <c r="B13" s="21" t="s">
        <v>67</v>
      </c>
      <c r="C13" s="21">
        <f>'Schedule &amp; Dispatch'!I36</f>
        <v>125000</v>
      </c>
      <c r="D13" s="21">
        <f>'Schedule &amp; Dispatch'!I34</f>
        <v>45102</v>
      </c>
      <c r="E13" s="21">
        <f>C13-D13</f>
        <v>79898</v>
      </c>
      <c r="F13" s="21"/>
      <c r="G13" s="22">
        <f>D13/C13*100</f>
        <v>36.081600000000002</v>
      </c>
      <c r="H13" s="21">
        <f>'Schedule &amp; Dispatch'!I42</f>
        <v>93867</v>
      </c>
    </row>
    <row r="14" spans="2:8" ht="2.1" customHeight="1" x14ac:dyDescent="0.25">
      <c r="B14" s="21"/>
      <c r="C14" s="21"/>
      <c r="D14" s="21"/>
      <c r="E14" s="21"/>
      <c r="F14" s="21"/>
      <c r="G14" s="22"/>
      <c r="H14" s="21"/>
    </row>
    <row r="15" spans="2:8" x14ac:dyDescent="0.25">
      <c r="B15" s="21" t="s">
        <v>53</v>
      </c>
      <c r="C15" s="21">
        <f>'Schedule &amp; Dispatch'!L36</f>
        <v>10000</v>
      </c>
      <c r="D15" s="21">
        <f>'Schedule &amp; Dispatch'!L34</f>
        <v>0</v>
      </c>
      <c r="E15" s="21">
        <f>C15-D15</f>
        <v>10000</v>
      </c>
      <c r="F15" s="21"/>
      <c r="G15" s="22">
        <f>D15/C15*100</f>
        <v>0</v>
      </c>
      <c r="H15" s="21">
        <f ca="1">'Schedule &amp; Dispatch'!L42</f>
        <v>0</v>
      </c>
    </row>
    <row r="16" spans="2:8" ht="2.1" customHeight="1" x14ac:dyDescent="0.25">
      <c r="B16" s="21"/>
      <c r="C16" s="21"/>
      <c r="D16" s="21"/>
      <c r="E16" s="21"/>
      <c r="F16" s="21"/>
      <c r="G16" s="22"/>
      <c r="H16" s="21"/>
    </row>
    <row r="17" spans="2:8" x14ac:dyDescent="0.25">
      <c r="B17" s="21" t="s">
        <v>52</v>
      </c>
      <c r="C17" s="21">
        <f>'Schedule &amp; Dispatch'!M36</f>
        <v>10000</v>
      </c>
      <c r="D17" s="21">
        <f>'Schedule &amp; Dispatch'!M34</f>
        <v>3223</v>
      </c>
      <c r="E17" s="21">
        <f>C17-D17</f>
        <v>6777</v>
      </c>
      <c r="F17" s="21"/>
      <c r="G17" s="22">
        <f>D17/C17*100</f>
        <v>32.229999999999997</v>
      </c>
      <c r="H17" s="21">
        <f>'Schedule &amp; Dispatch'!M42</f>
        <v>1</v>
      </c>
    </row>
    <row r="18" spans="2:8" ht="2.1" customHeight="1" x14ac:dyDescent="0.25">
      <c r="B18" s="21"/>
      <c r="C18" s="21">
        <v>16000</v>
      </c>
      <c r="D18" s="21"/>
      <c r="E18" s="21"/>
      <c r="F18" s="21"/>
      <c r="G18" s="22"/>
      <c r="H18" s="21"/>
    </row>
    <row r="19" spans="2:8" x14ac:dyDescent="0.25">
      <c r="B19" s="21" t="s">
        <v>51</v>
      </c>
      <c r="C19" s="21">
        <f>'Schedule &amp; Dispatch'!N36</f>
        <v>10000</v>
      </c>
      <c r="D19" s="21">
        <f>'Schedule &amp; Dispatch'!N34</f>
        <v>0</v>
      </c>
      <c r="E19" s="21">
        <f>C19-D19</f>
        <v>10000</v>
      </c>
      <c r="F19" s="21"/>
      <c r="G19" s="22">
        <f>D19/C19*100</f>
        <v>0</v>
      </c>
      <c r="H19" s="21">
        <f ca="1">'Schedule &amp; Dispatch'!N42</f>
        <v>0</v>
      </c>
    </row>
    <row r="20" spans="2:8" ht="2.1" customHeight="1" x14ac:dyDescent="0.25">
      <c r="B20" s="21"/>
      <c r="C20" s="21"/>
      <c r="D20" s="21"/>
      <c r="E20" s="21"/>
      <c r="F20" s="21"/>
      <c r="G20" s="22"/>
      <c r="H20" s="21"/>
    </row>
    <row r="21" spans="2:8" x14ac:dyDescent="0.25">
      <c r="B21" s="21" t="s">
        <v>57</v>
      </c>
      <c r="C21" s="21">
        <f>6*C19</f>
        <v>60000</v>
      </c>
      <c r="D21" s="21">
        <f>'Schedule &amp; Dispatch'!K34</f>
        <v>38414</v>
      </c>
      <c r="E21" s="21">
        <f>C21-D21</f>
        <v>21586</v>
      </c>
      <c r="F21" s="21"/>
      <c r="G21" s="22">
        <f>D21/C21*100</f>
        <v>64.023333333333326</v>
      </c>
      <c r="H21" s="21">
        <f>'Schedule &amp; Dispatch'!K42</f>
        <v>8076</v>
      </c>
    </row>
    <row r="22" spans="2:8" ht="2.1" customHeight="1" x14ac:dyDescent="0.25">
      <c r="B22" s="21"/>
      <c r="C22" s="21"/>
      <c r="D22" s="21"/>
      <c r="E22" s="21"/>
      <c r="F22" s="21"/>
      <c r="G22" s="22"/>
      <c r="H22" s="21"/>
    </row>
    <row r="23" spans="2:8" x14ac:dyDescent="0.25">
      <c r="B23" s="21" t="s">
        <v>54</v>
      </c>
      <c r="C23" s="21">
        <f>'Schedule &amp; Dispatch'!Q36</f>
        <v>9000</v>
      </c>
      <c r="D23" s="21">
        <f>'Schedule &amp; Dispatch'!Q34</f>
        <v>0</v>
      </c>
      <c r="E23" s="21">
        <f>C23-D23</f>
        <v>9000</v>
      </c>
      <c r="F23" s="21"/>
      <c r="G23" s="22">
        <f>D23/C23*100</f>
        <v>0</v>
      </c>
      <c r="H23" s="21">
        <f ca="1">'Schedule &amp; Dispatch'!Q42</f>
        <v>0</v>
      </c>
    </row>
    <row r="24" spans="2:8" ht="2.1" customHeight="1" x14ac:dyDescent="0.25">
      <c r="B24" s="21"/>
      <c r="C24" s="21"/>
      <c r="D24" s="21"/>
      <c r="E24" s="21"/>
      <c r="F24" s="21"/>
      <c r="G24" s="22"/>
      <c r="H24" s="21"/>
    </row>
    <row r="25" spans="2:8" x14ac:dyDescent="0.25">
      <c r="B25" s="21" t="s">
        <v>56</v>
      </c>
      <c r="C25" s="21">
        <f>'Schedule &amp; Dispatch'!R36</f>
        <v>9000</v>
      </c>
      <c r="D25" s="21">
        <f>'Schedule &amp; Dispatch'!R34</f>
        <v>0</v>
      </c>
      <c r="E25" s="21">
        <f>C25-D25</f>
        <v>9000</v>
      </c>
      <c r="F25" s="21"/>
      <c r="G25" s="22">
        <f>D25/C25*100</f>
        <v>0</v>
      </c>
      <c r="H25" s="21">
        <f>'Schedule &amp; Dispatch'!R42</f>
        <v>4060</v>
      </c>
    </row>
    <row r="26" spans="2:8" ht="2.1" customHeight="1" x14ac:dyDescent="0.25">
      <c r="B26" s="21"/>
      <c r="C26" s="21">
        <v>5000</v>
      </c>
      <c r="D26" s="21"/>
      <c r="E26" s="21"/>
      <c r="F26" s="21"/>
      <c r="G26" s="22"/>
      <c r="H26" s="21"/>
    </row>
    <row r="27" spans="2:8" x14ac:dyDescent="0.25">
      <c r="B27" s="21" t="s">
        <v>55</v>
      </c>
      <c r="C27" s="21">
        <f>'Schedule &amp; Dispatch'!S36</f>
        <v>9000</v>
      </c>
      <c r="D27" s="21">
        <f>'Schedule &amp; Dispatch'!S34</f>
        <v>10157</v>
      </c>
      <c r="E27" s="21">
        <f>C27-D27</f>
        <v>-1157</v>
      </c>
      <c r="F27" s="21"/>
      <c r="G27" s="22">
        <f>D27/C27*100</f>
        <v>112.85555555555555</v>
      </c>
      <c r="H27" s="21">
        <f>'Schedule &amp; Dispatch'!S42</f>
        <v>-1359</v>
      </c>
    </row>
    <row r="28" spans="2:8" ht="2.1" customHeight="1" x14ac:dyDescent="0.25">
      <c r="B28" s="21"/>
      <c r="C28" s="21"/>
      <c r="D28" s="21"/>
      <c r="E28" s="21"/>
      <c r="F28" s="21"/>
      <c r="G28" s="22"/>
      <c r="H28" s="21"/>
    </row>
    <row r="29" spans="2:8" x14ac:dyDescent="0.25">
      <c r="B29" s="21" t="s">
        <v>60</v>
      </c>
      <c r="C29" s="21">
        <f>C27*6</f>
        <v>54000</v>
      </c>
      <c r="D29" s="21">
        <f>'Schedule &amp; Dispatch'!O34</f>
        <v>17045</v>
      </c>
      <c r="E29" s="21">
        <f>C29-D29</f>
        <v>36955</v>
      </c>
      <c r="F29" s="21"/>
      <c r="G29" s="22">
        <f>D29/C29*100</f>
        <v>31.564814814814813</v>
      </c>
      <c r="H29" s="21">
        <f>'Schedule &amp; Dispatch'!O42</f>
        <v>11294</v>
      </c>
    </row>
    <row r="30" spans="2:8" ht="2.1" customHeight="1" x14ac:dyDescent="0.25">
      <c r="B30" s="21"/>
      <c r="C30" s="21"/>
      <c r="D30" s="21"/>
      <c r="E30" s="21"/>
      <c r="F30" s="21"/>
      <c r="G30" s="22"/>
      <c r="H30" s="21"/>
    </row>
    <row r="31" spans="2:8" x14ac:dyDescent="0.25">
      <c r="B31" s="21" t="s">
        <v>58</v>
      </c>
      <c r="C31" s="21">
        <f>C19+C15+C17</f>
        <v>30000</v>
      </c>
      <c r="D31" s="21">
        <f>'Schedule &amp; Dispatch'!W34</f>
        <v>14863</v>
      </c>
      <c r="E31" s="21">
        <f>C31-D31</f>
        <v>15137</v>
      </c>
      <c r="F31" s="21"/>
      <c r="G31" s="22">
        <f>D31/C31*100</f>
        <v>49.543333333333337</v>
      </c>
      <c r="H31" s="21">
        <f>'Schedule &amp; Dispatch'!W42</f>
        <v>-266</v>
      </c>
    </row>
    <row r="32" spans="2:8" ht="2.1" customHeight="1" x14ac:dyDescent="0.25">
      <c r="B32" s="21"/>
      <c r="C32" s="21"/>
      <c r="D32" s="21"/>
      <c r="E32" s="21"/>
      <c r="F32" s="21"/>
      <c r="G32" s="22"/>
      <c r="H32" s="21"/>
    </row>
    <row r="33" spans="2:8" x14ac:dyDescent="0.25">
      <c r="B33" s="21" t="s">
        <v>59</v>
      </c>
      <c r="C33" s="21">
        <f>C27+C25+C23</f>
        <v>27000</v>
      </c>
      <c r="D33" s="21">
        <f>'Schedule &amp; Dispatch'!V34</f>
        <v>12629</v>
      </c>
      <c r="E33" s="21">
        <f>C33-D33</f>
        <v>14371</v>
      </c>
      <c r="F33" s="21"/>
      <c r="G33" s="22">
        <f>D33/C33*100</f>
        <v>46.774074074074072</v>
      </c>
      <c r="H33" s="21">
        <f>'Schedule &amp; Dispatch'!V42</f>
        <v>74</v>
      </c>
    </row>
    <row r="34" spans="2:8" x14ac:dyDescent="0.25">
      <c r="B34" s="21" t="s">
        <v>75</v>
      </c>
      <c r="C34" s="21">
        <f>'Schedule &amp; Dispatch'!U36</f>
        <v>60000</v>
      </c>
      <c r="D34" s="21">
        <f>'Schedule &amp; Dispatch'!U34</f>
        <v>0</v>
      </c>
      <c r="E34" s="21">
        <f>C34-D34</f>
        <v>60000</v>
      </c>
      <c r="F34" s="21"/>
      <c r="G34" s="22">
        <f>D34/C34*100</f>
        <v>0</v>
      </c>
      <c r="H34" s="21">
        <f ca="1">'Schedule &amp; Dispatch'!U42</f>
        <v>0</v>
      </c>
    </row>
  </sheetData>
  <conditionalFormatting sqref="G5">
    <cfRule type="cellIs" dxfId="19" priority="21" operator="lessThan">
      <formula>$G$2</formula>
    </cfRule>
    <cfRule type="cellIs" dxfId="18" priority="24" operator="greaterThan">
      <formula>$G$2</formula>
    </cfRule>
    <cfRule type="cellIs" dxfId="17" priority="25" operator="greaterThan">
      <formula>$G$2</formula>
    </cfRule>
  </conditionalFormatting>
  <conditionalFormatting sqref="G7">
    <cfRule type="cellIs" dxfId="16" priority="11" operator="equal">
      <formula>$G$2</formula>
    </cfRule>
    <cfRule type="cellIs" dxfId="15" priority="12" operator="equal">
      <formula>$G$2</formula>
    </cfRule>
    <cfRule type="cellIs" dxfId="14" priority="18" operator="lessThan">
      <formula>$G$2</formula>
    </cfRule>
    <cfRule type="cellIs" dxfId="13" priority="19" operator="greaterThan">
      <formula>$G$2</formula>
    </cfRule>
    <cfRule type="cellIs" dxfId="12" priority="20" operator="greaterThan">
      <formula>$G$2</formula>
    </cfRule>
  </conditionalFormatting>
  <conditionalFormatting sqref="G33 G31 G29 G27 G25 G23 G21 G19 G17 G15 G13 G11 G9">
    <cfRule type="cellIs" dxfId="11" priority="15" operator="lessThan">
      <formula>$G$2</formula>
    </cfRule>
    <cfRule type="cellIs" dxfId="10" priority="16" operator="greaterThan">
      <formula>$G$2</formula>
    </cfRule>
    <cfRule type="cellIs" dxfId="9" priority="17" operator="greaterThan">
      <formula>$G$2</formula>
    </cfRule>
  </conditionalFormatting>
  <conditionalFormatting sqref="G9">
    <cfRule type="cellIs" dxfId="8" priority="13" operator="equal">
      <formula>$G$2</formula>
    </cfRule>
    <cfRule type="cellIs" dxfId="7" priority="14" operator="equal">
      <formula>$G$2</formula>
    </cfRule>
  </conditionalFormatting>
  <conditionalFormatting sqref="G34">
    <cfRule type="cellIs" dxfId="6" priority="1" operator="equal">
      <formula>$G$2</formula>
    </cfRule>
    <cfRule type="cellIs" dxfId="5" priority="2" operator="equal">
      <formula>$G$2</formula>
    </cfRule>
    <cfRule type="cellIs" dxfId="4" priority="3" operator="equal">
      <formula>$G$2</formula>
    </cfRule>
    <cfRule type="cellIs" dxfId="3" priority="4" operator="equal">
      <formula>$G$2</formula>
    </cfRule>
    <cfRule type="cellIs" dxfId="2" priority="5" operator="lessThan">
      <formula>$G$2</formula>
    </cfRule>
    <cfRule type="cellIs" dxfId="1" priority="6" operator="greaterThan">
      <formula>$G$2</formula>
    </cfRule>
    <cfRule type="cellIs" dxfId="0" priority="7" operator="greaterThan">
      <formula>$G$2</formula>
    </cfRule>
  </conditionalFormatting>
  <pageMargins left="0.7" right="0.7" top="0.75" bottom="0.75" header="0.3" footer="0.3"/>
  <pageSetup paperSize="9" orientation="portrait" verticalDpi="0" r:id="rId1"/>
  <ignoredErrors>
    <ignoredError sqref="G9:G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0"/>
  <sheetViews>
    <sheetView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width="1" customWidth="1"/>
    <col min="2" max="2" width="9.5703125" style="18" bestFit="1" customWidth="1"/>
    <col min="3" max="3" width="8.140625" style="18" bestFit="1" customWidth="1"/>
    <col min="4" max="4" width="10.28515625" style="18" bestFit="1" customWidth="1"/>
    <col min="5" max="5" width="7.5703125" style="18" bestFit="1" customWidth="1"/>
    <col min="6" max="6" width="5.5703125" style="18" bestFit="1" customWidth="1"/>
    <col min="7" max="7" width="5" style="18" bestFit="1" customWidth="1"/>
    <col min="8" max="8" width="6" style="18" bestFit="1" customWidth="1"/>
    <col min="9" max="9" width="5" style="18" bestFit="1" customWidth="1"/>
    <col min="10" max="10" width="6" style="18" bestFit="1" customWidth="1"/>
    <col min="11" max="11" width="5" style="18" bestFit="1" customWidth="1"/>
    <col min="12" max="12" width="6" style="18" bestFit="1" customWidth="1"/>
    <col min="13" max="13" width="5" style="18" bestFit="1" customWidth="1"/>
    <col min="14" max="14" width="6" style="18" bestFit="1" customWidth="1"/>
    <col min="15" max="15" width="4.42578125" style="18" bestFit="1" customWidth="1"/>
    <col min="16" max="16" width="6" style="18" bestFit="1" customWidth="1"/>
    <col min="17" max="17" width="5" style="18" bestFit="1" customWidth="1"/>
    <col min="18" max="18" width="6" style="18" bestFit="1" customWidth="1"/>
    <col min="19" max="19" width="5" style="18" bestFit="1" customWidth="1"/>
    <col min="20" max="20" width="6" style="18" bestFit="1" customWidth="1"/>
    <col min="21" max="21" width="5" style="18" bestFit="1" customWidth="1"/>
    <col min="22" max="22" width="6" style="18" bestFit="1" customWidth="1"/>
    <col min="23" max="23" width="5" style="18" bestFit="1" customWidth="1"/>
    <col min="24" max="24" width="5.5703125" style="18" bestFit="1" customWidth="1"/>
    <col min="25" max="25" width="4.42578125" style="18" bestFit="1" customWidth="1"/>
    <col min="26" max="26" width="5.5703125" style="18" bestFit="1" customWidth="1"/>
    <col min="27" max="27" width="4.42578125" style="18" bestFit="1" customWidth="1"/>
    <col min="28" max="28" width="5.5703125" style="18" bestFit="1" customWidth="1"/>
    <col min="29" max="29" width="4.42578125" style="18" bestFit="1" customWidth="1"/>
  </cols>
  <sheetData>
    <row r="1" spans="2:29" ht="24.75" x14ac:dyDescent="0.25">
      <c r="B1" s="45" t="s">
        <v>61</v>
      </c>
      <c r="C1" s="49" t="s">
        <v>85</v>
      </c>
      <c r="D1" s="47" t="s">
        <v>86</v>
      </c>
      <c r="E1" s="46" t="s">
        <v>30</v>
      </c>
      <c r="F1" s="50" t="s">
        <v>13</v>
      </c>
      <c r="G1" s="52" t="s">
        <v>87</v>
      </c>
      <c r="H1" s="50" t="s">
        <v>13</v>
      </c>
      <c r="I1" s="52" t="s">
        <v>87</v>
      </c>
      <c r="J1" s="50" t="s">
        <v>13</v>
      </c>
      <c r="K1" s="52" t="s">
        <v>87</v>
      </c>
      <c r="L1" s="50" t="s">
        <v>13</v>
      </c>
      <c r="M1" s="52" t="s">
        <v>87</v>
      </c>
      <c r="N1" s="50" t="s">
        <v>13</v>
      </c>
      <c r="O1" s="52" t="s">
        <v>87</v>
      </c>
      <c r="P1" s="50" t="s">
        <v>13</v>
      </c>
      <c r="Q1" s="52" t="s">
        <v>87</v>
      </c>
      <c r="R1" s="50" t="s">
        <v>13</v>
      </c>
      <c r="S1" s="52" t="s">
        <v>87</v>
      </c>
      <c r="T1" s="50" t="s">
        <v>13</v>
      </c>
      <c r="U1" s="52" t="s">
        <v>87</v>
      </c>
      <c r="V1" s="50" t="s">
        <v>13</v>
      </c>
      <c r="W1" s="52" t="s">
        <v>87</v>
      </c>
      <c r="X1" s="50" t="s">
        <v>13</v>
      </c>
      <c r="Y1" s="52" t="s">
        <v>87</v>
      </c>
      <c r="Z1" s="50" t="s">
        <v>13</v>
      </c>
      <c r="AA1" s="52" t="s">
        <v>87</v>
      </c>
      <c r="AB1" s="50" t="s">
        <v>13</v>
      </c>
      <c r="AC1" s="52" t="s">
        <v>87</v>
      </c>
    </row>
    <row r="2" spans="2:29" x14ac:dyDescent="0.25">
      <c r="B2" s="38" t="s">
        <v>53</v>
      </c>
      <c r="C2" s="42">
        <f>'RM Received Details Challan'!AB15</f>
        <v>5325</v>
      </c>
      <c r="D2" s="43">
        <f>G2+I2+K2+M2+O2+Q2+S2+U2+W2+Y2+AA2+AC2</f>
        <v>0</v>
      </c>
      <c r="E2" s="44">
        <f>C2-D2</f>
        <v>5325</v>
      </c>
      <c r="F2" s="50"/>
      <c r="G2" s="52"/>
      <c r="H2" s="50"/>
      <c r="I2" s="52"/>
      <c r="J2" s="50"/>
      <c r="K2" s="52"/>
      <c r="L2" s="50"/>
      <c r="M2" s="52"/>
      <c r="N2" s="50"/>
      <c r="O2" s="52"/>
      <c r="P2" s="50"/>
      <c r="Q2" s="52"/>
      <c r="R2" s="50"/>
      <c r="S2" s="52"/>
      <c r="T2" s="50"/>
      <c r="U2" s="52"/>
      <c r="V2" s="50"/>
      <c r="W2" s="52"/>
      <c r="X2" s="50"/>
      <c r="Y2" s="52"/>
      <c r="Z2" s="50"/>
      <c r="AA2" s="52"/>
      <c r="AB2" s="50"/>
      <c r="AC2" s="52"/>
    </row>
    <row r="3" spans="2:29" x14ac:dyDescent="0.25">
      <c r="B3" s="37" t="s">
        <v>52</v>
      </c>
      <c r="C3" s="42">
        <f>'RM Received Details Challan'!AB16</f>
        <v>5077</v>
      </c>
      <c r="D3" s="43">
        <f t="shared" ref="D3:D8" si="0">G3+I3+K3+M3+O3+Q3+S3+U3+W3+Y3+AA3+AC3</f>
        <v>0</v>
      </c>
      <c r="E3" s="44">
        <f t="shared" ref="E3:E8" si="1">C3-D3</f>
        <v>5077</v>
      </c>
      <c r="F3" s="50"/>
      <c r="G3" s="52"/>
      <c r="H3" s="50"/>
      <c r="I3" s="52"/>
      <c r="J3" s="50"/>
      <c r="K3" s="52"/>
      <c r="L3" s="51"/>
      <c r="M3" s="52"/>
      <c r="N3" s="50"/>
      <c r="O3" s="52"/>
      <c r="P3" s="50"/>
      <c r="Q3" s="52"/>
      <c r="R3" s="50"/>
      <c r="S3" s="52"/>
      <c r="T3" s="50"/>
      <c r="U3" s="52"/>
      <c r="V3" s="50"/>
      <c r="W3" s="52"/>
      <c r="X3" s="50"/>
      <c r="Y3" s="52"/>
      <c r="Z3" s="50"/>
      <c r="AA3" s="52"/>
      <c r="AB3" s="50"/>
      <c r="AC3" s="52"/>
    </row>
    <row r="4" spans="2:29" x14ac:dyDescent="0.25">
      <c r="B4" s="39" t="s">
        <v>51</v>
      </c>
      <c r="C4" s="42">
        <f>'RM Received Details Challan'!AB17</f>
        <v>4195</v>
      </c>
      <c r="D4" s="43">
        <f t="shared" si="0"/>
        <v>0</v>
      </c>
      <c r="E4" s="44">
        <f t="shared" si="1"/>
        <v>4195</v>
      </c>
      <c r="F4" s="50"/>
      <c r="G4" s="52"/>
      <c r="H4" s="50"/>
      <c r="I4" s="52"/>
      <c r="J4" s="50"/>
      <c r="K4" s="52"/>
      <c r="L4" s="50"/>
      <c r="M4" s="52"/>
      <c r="N4" s="50"/>
      <c r="O4" s="52"/>
      <c r="P4" s="50"/>
      <c r="Q4" s="52"/>
      <c r="R4" s="50"/>
      <c r="S4" s="52"/>
      <c r="T4" s="50"/>
      <c r="U4" s="52"/>
      <c r="V4" s="50"/>
      <c r="W4" s="52"/>
      <c r="X4" s="50"/>
      <c r="Y4" s="52"/>
      <c r="Z4" s="50"/>
      <c r="AA4" s="52"/>
      <c r="AB4" s="50"/>
      <c r="AC4" s="52"/>
    </row>
    <row r="5" spans="2:29" s="53" customFormat="1" ht="5.25" customHeight="1" x14ac:dyDescent="0.25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2:29" x14ac:dyDescent="0.25">
      <c r="B6" s="38" t="s">
        <v>54</v>
      </c>
      <c r="C6" s="42">
        <f>'RM Received Details Challan'!AB18</f>
        <v>5766</v>
      </c>
      <c r="D6" s="43">
        <f t="shared" si="0"/>
        <v>0</v>
      </c>
      <c r="E6" s="44">
        <f t="shared" si="1"/>
        <v>5766</v>
      </c>
      <c r="F6" s="50"/>
      <c r="G6" s="52"/>
      <c r="H6" s="50"/>
      <c r="I6" s="52"/>
      <c r="J6" s="50"/>
      <c r="K6" s="52"/>
      <c r="L6" s="50"/>
      <c r="M6" s="52"/>
      <c r="N6" s="50"/>
      <c r="O6" s="52"/>
      <c r="P6" s="50"/>
      <c r="Q6" s="52"/>
      <c r="R6" s="50"/>
      <c r="S6" s="52"/>
      <c r="T6" s="50"/>
      <c r="U6" s="52"/>
      <c r="V6" s="50"/>
      <c r="W6" s="52"/>
      <c r="X6" s="50"/>
      <c r="Y6" s="52"/>
      <c r="Z6" s="50"/>
      <c r="AA6" s="52"/>
      <c r="AB6" s="50"/>
      <c r="AC6" s="52"/>
    </row>
    <row r="7" spans="2:29" x14ac:dyDescent="0.25">
      <c r="B7" s="37" t="s">
        <v>56</v>
      </c>
      <c r="C7" s="42">
        <f>'RM Received Details Challan'!AB19</f>
        <v>4765</v>
      </c>
      <c r="D7" s="43">
        <f t="shared" si="0"/>
        <v>0</v>
      </c>
      <c r="E7" s="44">
        <f t="shared" si="1"/>
        <v>4765</v>
      </c>
      <c r="F7" s="50"/>
      <c r="G7" s="52"/>
      <c r="H7" s="50"/>
      <c r="I7" s="52"/>
      <c r="J7" s="50"/>
      <c r="K7" s="52"/>
      <c r="L7" s="50"/>
      <c r="M7" s="52"/>
      <c r="N7" s="50"/>
      <c r="O7" s="52"/>
      <c r="P7" s="50"/>
      <c r="Q7" s="52"/>
      <c r="R7" s="50"/>
      <c r="S7" s="52"/>
      <c r="T7" s="50"/>
      <c r="U7" s="52"/>
      <c r="V7" s="50"/>
      <c r="W7" s="52"/>
      <c r="X7" s="50"/>
      <c r="Y7" s="52"/>
      <c r="Z7" s="50"/>
      <c r="AA7" s="52"/>
      <c r="AB7" s="50"/>
      <c r="AC7" s="52"/>
    </row>
    <row r="8" spans="2:29" x14ac:dyDescent="0.25">
      <c r="B8" s="39" t="s">
        <v>55</v>
      </c>
      <c r="C8" s="42">
        <f>'RM Received Details Challan'!AB20</f>
        <v>2172</v>
      </c>
      <c r="D8" s="43">
        <f t="shared" si="0"/>
        <v>0</v>
      </c>
      <c r="E8" s="44">
        <f t="shared" si="1"/>
        <v>2172</v>
      </c>
      <c r="F8" s="50"/>
      <c r="G8" s="52"/>
      <c r="H8" s="50"/>
      <c r="I8" s="52"/>
      <c r="J8" s="50"/>
      <c r="K8" s="52"/>
      <c r="L8" s="50"/>
      <c r="M8" s="52"/>
      <c r="N8" s="50"/>
      <c r="O8" s="52"/>
      <c r="P8" s="50"/>
      <c r="Q8" s="52"/>
      <c r="R8" s="50"/>
      <c r="S8" s="52"/>
      <c r="T8" s="50"/>
      <c r="U8" s="52"/>
      <c r="V8" s="50"/>
      <c r="W8" s="52"/>
      <c r="X8" s="50"/>
      <c r="Y8" s="52"/>
      <c r="Z8" s="50"/>
      <c r="AA8" s="52"/>
      <c r="AB8" s="50"/>
      <c r="AC8" s="52"/>
    </row>
    <row r="9" spans="2:29" s="53" customFormat="1" ht="3.75" customHeight="1" x14ac:dyDescent="0.25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</row>
    <row r="12" spans="2:29" s="60" customFormat="1" x14ac:dyDescent="0.25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spans="2:29" s="60" customFormat="1" x14ac:dyDescent="0.25"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2:29" s="60" customFormat="1" x14ac:dyDescent="0.25"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2:29" s="60" customFormat="1" x14ac:dyDescent="0.25"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2:29" s="60" customFormat="1" ht="3.75" customHeight="1" x14ac:dyDescent="0.25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 spans="2:29" s="60" customFormat="1" x14ac:dyDescent="0.25"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</row>
    <row r="18" spans="2:29" s="60" customFormat="1" x14ac:dyDescent="0.25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</row>
    <row r="19" spans="2:29" s="60" customFormat="1" x14ac:dyDescent="0.25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</row>
    <row r="20" spans="2:29" s="60" customForma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tabSelected="1" workbookViewId="0">
      <pane ySplit="1" topLeftCell="A5" activePane="bottomLeft" state="frozen"/>
      <selection pane="bottomLeft" activeCell="O20" sqref="O20"/>
    </sheetView>
  </sheetViews>
  <sheetFormatPr defaultRowHeight="15" x14ac:dyDescent="0.25"/>
  <cols>
    <col min="1" max="1" width="6.5703125" style="18" customWidth="1"/>
    <col min="2" max="2" width="18.42578125" style="18" customWidth="1"/>
    <col min="3" max="3" width="9" style="18" customWidth="1"/>
    <col min="4" max="4" width="5.140625" style="18" bestFit="1" customWidth="1"/>
    <col min="5" max="5" width="7" style="18" bestFit="1" customWidth="1"/>
    <col min="6" max="6" width="6" style="18" customWidth="1"/>
    <col min="7" max="10" width="6" style="18" bestFit="1" customWidth="1"/>
    <col min="11" max="11" width="5" style="18" bestFit="1" customWidth="1"/>
    <col min="12" max="16" width="6" style="18" bestFit="1" customWidth="1"/>
    <col min="17" max="17" width="5" style="18" bestFit="1" customWidth="1"/>
    <col min="18" max="18" width="6" style="18" bestFit="1" customWidth="1"/>
    <col min="19" max="19" width="5" style="18" bestFit="1" customWidth="1"/>
    <col min="20" max="20" width="6" style="18" bestFit="1" customWidth="1"/>
    <col min="21" max="21" width="5" style="18" bestFit="1" customWidth="1"/>
    <col min="22" max="22" width="6" style="18" bestFit="1" customWidth="1"/>
    <col min="23" max="23" width="5" style="18" bestFit="1" customWidth="1"/>
    <col min="24" max="24" width="6" style="18" bestFit="1" customWidth="1"/>
    <col min="25" max="25" width="5" style="18" customWidth="1"/>
    <col min="26" max="26" width="6" style="18" bestFit="1" customWidth="1"/>
    <col min="27" max="27" width="5" style="18" customWidth="1"/>
    <col min="28" max="28" width="8.42578125" style="18" bestFit="1" customWidth="1"/>
    <col min="29" max="16384" width="9.140625" style="18"/>
  </cols>
  <sheetData>
    <row r="1" spans="1:30" ht="30" x14ac:dyDescent="0.25">
      <c r="A1" s="21" t="s">
        <v>69</v>
      </c>
      <c r="B1" s="21" t="s">
        <v>71</v>
      </c>
      <c r="C1" s="36" t="s">
        <v>78</v>
      </c>
      <c r="D1" s="32" t="s">
        <v>70</v>
      </c>
      <c r="E1" s="34" t="s">
        <v>72</v>
      </c>
      <c r="F1" s="32" t="s">
        <v>70</v>
      </c>
      <c r="G1" s="34" t="s">
        <v>72</v>
      </c>
      <c r="H1" s="32" t="s">
        <v>70</v>
      </c>
      <c r="I1" s="34" t="s">
        <v>72</v>
      </c>
      <c r="J1" s="32" t="s">
        <v>70</v>
      </c>
      <c r="K1" s="34" t="s">
        <v>72</v>
      </c>
      <c r="L1" s="32" t="s">
        <v>70</v>
      </c>
      <c r="M1" s="34" t="s">
        <v>72</v>
      </c>
      <c r="N1" s="32" t="s">
        <v>70</v>
      </c>
      <c r="O1" s="34" t="s">
        <v>72</v>
      </c>
      <c r="P1" s="32" t="s">
        <v>70</v>
      </c>
      <c r="Q1" s="34" t="s">
        <v>72</v>
      </c>
      <c r="R1" s="32" t="s">
        <v>70</v>
      </c>
      <c r="S1" s="34" t="s">
        <v>72</v>
      </c>
      <c r="T1" s="32" t="s">
        <v>70</v>
      </c>
      <c r="U1" s="34" t="s">
        <v>72</v>
      </c>
      <c r="V1" s="32" t="s">
        <v>70</v>
      </c>
      <c r="W1" s="34" t="s">
        <v>72</v>
      </c>
      <c r="X1" s="32" t="s">
        <v>70</v>
      </c>
      <c r="Y1" s="34" t="s">
        <v>72</v>
      </c>
      <c r="Z1" s="32" t="s">
        <v>70</v>
      </c>
      <c r="AA1" s="34" t="s">
        <v>72</v>
      </c>
      <c r="AB1" s="21" t="s">
        <v>73</v>
      </c>
    </row>
    <row r="2" spans="1:30" x14ac:dyDescent="0.25">
      <c r="A2" s="21">
        <v>1</v>
      </c>
      <c r="B2" s="6" t="s">
        <v>0</v>
      </c>
      <c r="C2" s="26">
        <f>[1]Dispatched!$H$5</f>
        <v>39648</v>
      </c>
      <c r="D2" s="80">
        <v>4.0999999999999996</v>
      </c>
      <c r="E2" s="43">
        <v>39630</v>
      </c>
      <c r="F2" s="32"/>
      <c r="G2" s="43"/>
      <c r="H2" s="32"/>
      <c r="I2" s="43"/>
      <c r="J2" s="32"/>
      <c r="K2" s="43"/>
      <c r="L2" s="32"/>
      <c r="M2" s="43"/>
      <c r="N2" s="32"/>
      <c r="O2" s="43"/>
      <c r="P2" s="32"/>
      <c r="Q2" s="43"/>
      <c r="R2" s="32"/>
      <c r="S2" s="43"/>
      <c r="T2" s="32"/>
      <c r="U2" s="43"/>
      <c r="V2" s="32"/>
      <c r="W2" s="43"/>
      <c r="X2" s="32"/>
      <c r="Y2" s="43"/>
      <c r="Z2" s="32"/>
      <c r="AA2" s="43"/>
      <c r="AB2" s="21">
        <f>O2+M2+K2+I2+G2+E2+C2+Q2+S2+U2+W2</f>
        <v>79278</v>
      </c>
    </row>
    <row r="3" spans="1:30" x14ac:dyDescent="0.25">
      <c r="A3" s="21">
        <v>2</v>
      </c>
      <c r="B3" s="21" t="s">
        <v>48</v>
      </c>
      <c r="C3" s="26">
        <f>[1]Dispatched!$H$7</f>
        <v>32303</v>
      </c>
      <c r="D3" s="80">
        <v>4.0999999999999996</v>
      </c>
      <c r="E3" s="43">
        <v>56018</v>
      </c>
      <c r="F3" s="32"/>
      <c r="G3" s="43"/>
      <c r="H3" s="32"/>
      <c r="I3" s="43"/>
      <c r="J3" s="32"/>
      <c r="K3" s="43"/>
      <c r="L3" s="32"/>
      <c r="M3" s="43"/>
      <c r="N3" s="32"/>
      <c r="O3" s="43"/>
      <c r="P3" s="32"/>
      <c r="Q3" s="43"/>
      <c r="R3" s="32"/>
      <c r="S3" s="43"/>
      <c r="T3" s="32"/>
      <c r="U3" s="43"/>
      <c r="V3" s="32"/>
      <c r="W3" s="43"/>
      <c r="X3" s="32"/>
      <c r="Y3" s="43"/>
      <c r="Z3" s="32"/>
      <c r="AA3" s="43"/>
      <c r="AB3" s="21">
        <f t="shared" ref="AB3:AB22" si="0">O3+M3+K3+I3+G3+E3+C3+Q3+S3+U3+W3</f>
        <v>88321</v>
      </c>
    </row>
    <row r="4" spans="1:30" x14ac:dyDescent="0.25">
      <c r="A4" s="21">
        <v>3</v>
      </c>
      <c r="B4" s="21" t="s">
        <v>49</v>
      </c>
      <c r="C4" s="26">
        <f ca="1">'RM Received Details Challan'!C4</f>
        <v>0</v>
      </c>
      <c r="D4" s="32"/>
      <c r="E4" s="43"/>
      <c r="F4" s="32"/>
      <c r="G4" s="43"/>
      <c r="H4" s="32"/>
      <c r="I4" s="43"/>
      <c r="J4" s="32"/>
      <c r="K4" s="43"/>
      <c r="L4" s="32"/>
      <c r="M4" s="43"/>
      <c r="N4" s="32"/>
      <c r="O4" s="43"/>
      <c r="P4" s="32"/>
      <c r="Q4" s="43"/>
      <c r="R4" s="32"/>
      <c r="S4" s="43"/>
      <c r="T4" s="32"/>
      <c r="U4" s="43"/>
      <c r="V4" s="32"/>
      <c r="W4" s="43"/>
      <c r="X4" s="32"/>
      <c r="Y4" s="43"/>
      <c r="Z4" s="32"/>
      <c r="AA4" s="43"/>
      <c r="AB4" s="21">
        <f t="shared" ca="1" si="0"/>
        <v>0</v>
      </c>
    </row>
    <row r="5" spans="1:30" x14ac:dyDescent="0.25">
      <c r="A5" s="21">
        <v>4</v>
      </c>
      <c r="B5" s="21" t="s">
        <v>50</v>
      </c>
      <c r="C5" s="26">
        <f ca="1">'RM Received Details Challan'!C5</f>
        <v>0</v>
      </c>
      <c r="D5" s="32"/>
      <c r="E5" s="43"/>
      <c r="F5" s="32"/>
      <c r="G5" s="43"/>
      <c r="H5" s="32"/>
      <c r="I5" s="43"/>
      <c r="J5" s="32"/>
      <c r="K5" s="43"/>
      <c r="L5" s="32"/>
      <c r="M5" s="43"/>
      <c r="N5" s="32"/>
      <c r="O5" s="43"/>
      <c r="P5" s="32"/>
      <c r="Q5" s="43"/>
      <c r="R5" s="32"/>
      <c r="S5" s="43"/>
      <c r="T5" s="32"/>
      <c r="U5" s="43"/>
      <c r="V5" s="32"/>
      <c r="W5" s="43"/>
      <c r="X5" s="32"/>
      <c r="Y5" s="43"/>
      <c r="Z5" s="32"/>
      <c r="AA5" s="43"/>
      <c r="AB5" s="21">
        <f t="shared" ca="1" si="0"/>
        <v>0</v>
      </c>
    </row>
    <row r="6" spans="1:30" x14ac:dyDescent="0.25">
      <c r="A6" s="21">
        <v>5</v>
      </c>
      <c r="B6" s="21" t="s">
        <v>67</v>
      </c>
      <c r="C6" s="26">
        <f>[1]Dispatched!$H$13</f>
        <v>138969</v>
      </c>
      <c r="D6" s="32"/>
      <c r="E6" s="43"/>
      <c r="F6" s="32"/>
      <c r="G6" s="43"/>
      <c r="H6" s="32"/>
      <c r="I6" s="43"/>
      <c r="J6" s="32"/>
      <c r="K6" s="43"/>
      <c r="L6" s="32"/>
      <c r="M6" s="43"/>
      <c r="N6" s="32"/>
      <c r="O6" s="43"/>
      <c r="P6" s="32"/>
      <c r="Q6" s="43"/>
      <c r="R6" s="32"/>
      <c r="S6" s="43"/>
      <c r="T6" s="32"/>
      <c r="U6" s="43"/>
      <c r="V6" s="32"/>
      <c r="W6" s="43"/>
      <c r="X6" s="32"/>
      <c r="Y6" s="43"/>
      <c r="Z6" s="32"/>
      <c r="AA6" s="43"/>
      <c r="AB6" s="21">
        <f t="shared" si="0"/>
        <v>138969</v>
      </c>
    </row>
    <row r="7" spans="1:30" x14ac:dyDescent="0.25">
      <c r="A7" s="21">
        <v>6</v>
      </c>
      <c r="B7" s="21" t="s">
        <v>53</v>
      </c>
      <c r="C7" s="26">
        <f ca="1">'RM Received Details Challan'!C7</f>
        <v>0</v>
      </c>
      <c r="D7" s="32"/>
      <c r="E7" s="43"/>
      <c r="F7" s="32"/>
      <c r="G7" s="43"/>
      <c r="H7" s="32"/>
      <c r="I7" s="43"/>
      <c r="J7" s="32"/>
      <c r="K7" s="43"/>
      <c r="L7" s="32"/>
      <c r="M7" s="43"/>
      <c r="N7" s="32"/>
      <c r="O7" s="43"/>
      <c r="P7" s="32"/>
      <c r="Q7" s="43"/>
      <c r="R7" s="32"/>
      <c r="S7" s="43"/>
      <c r="T7" s="32"/>
      <c r="U7" s="43"/>
      <c r="V7" s="32"/>
      <c r="W7" s="43"/>
      <c r="X7" s="32"/>
      <c r="Y7" s="43"/>
      <c r="Z7" s="32"/>
      <c r="AA7" s="43"/>
      <c r="AB7" s="21">
        <f t="shared" ca="1" si="0"/>
        <v>0</v>
      </c>
    </row>
    <row r="8" spans="1:30" x14ac:dyDescent="0.25">
      <c r="A8" s="21">
        <v>7</v>
      </c>
      <c r="B8" s="21" t="s">
        <v>52</v>
      </c>
      <c r="C8" s="26">
        <f>[1]Dispatched!$H$17</f>
        <v>3224</v>
      </c>
      <c r="D8" s="32"/>
      <c r="E8" s="43"/>
      <c r="F8" s="32"/>
      <c r="G8" s="43"/>
      <c r="H8" s="32"/>
      <c r="I8" s="43"/>
      <c r="J8" s="32"/>
      <c r="K8" s="43"/>
      <c r="L8" s="32"/>
      <c r="M8" s="43"/>
      <c r="N8" s="32"/>
      <c r="O8" s="43"/>
      <c r="P8" s="32"/>
      <c r="Q8" s="43"/>
      <c r="R8" s="32"/>
      <c r="S8" s="43"/>
      <c r="T8" s="32"/>
      <c r="U8" s="43"/>
      <c r="V8" s="32"/>
      <c r="W8" s="43"/>
      <c r="X8" s="32"/>
      <c r="Y8" s="43"/>
      <c r="Z8" s="32"/>
      <c r="AA8" s="43"/>
      <c r="AB8" s="21">
        <f t="shared" si="0"/>
        <v>3224</v>
      </c>
    </row>
    <row r="9" spans="1:30" x14ac:dyDescent="0.25">
      <c r="A9" s="21">
        <v>8</v>
      </c>
      <c r="B9" s="21" t="s">
        <v>51</v>
      </c>
      <c r="C9" s="26">
        <f ca="1">'RM Received Details Challan'!C9</f>
        <v>0</v>
      </c>
      <c r="D9" s="32"/>
      <c r="E9" s="43"/>
      <c r="F9" s="32"/>
      <c r="G9" s="43"/>
      <c r="H9" s="32"/>
      <c r="I9" s="43"/>
      <c r="J9" s="32"/>
      <c r="K9" s="43"/>
      <c r="L9" s="80"/>
      <c r="M9" s="43"/>
      <c r="N9" s="32"/>
      <c r="O9" s="43"/>
      <c r="P9" s="32"/>
      <c r="Q9" s="43"/>
      <c r="R9" s="32"/>
      <c r="S9" s="43"/>
      <c r="T9" s="32"/>
      <c r="U9" s="43"/>
      <c r="V9" s="32"/>
      <c r="W9" s="43"/>
      <c r="X9" s="32"/>
      <c r="Y9" s="43"/>
      <c r="Z9" s="32"/>
      <c r="AA9" s="43"/>
      <c r="AB9" s="21">
        <f t="shared" ca="1" si="0"/>
        <v>0</v>
      </c>
      <c r="AD9" s="33"/>
    </row>
    <row r="10" spans="1:30" x14ac:dyDescent="0.25">
      <c r="A10" s="21">
        <v>9</v>
      </c>
      <c r="B10" s="21" t="s">
        <v>57</v>
      </c>
      <c r="C10" s="26">
        <f>[1]Dispatched!$H$21</f>
        <v>27139</v>
      </c>
      <c r="D10" s="80">
        <v>1.1000000000000001</v>
      </c>
      <c r="E10" s="43">
        <v>13815</v>
      </c>
      <c r="F10" s="80">
        <v>1.1000000000000001</v>
      </c>
      <c r="G10" s="43">
        <v>1351</v>
      </c>
      <c r="H10" s="80">
        <v>8.1</v>
      </c>
      <c r="I10" s="43">
        <v>4185</v>
      </c>
      <c r="J10" s="32"/>
      <c r="K10" s="43"/>
      <c r="L10" s="32"/>
      <c r="M10" s="43"/>
      <c r="N10" s="32"/>
      <c r="O10" s="43"/>
      <c r="P10" s="32"/>
      <c r="Q10" s="43"/>
      <c r="R10" s="32"/>
      <c r="S10" s="43"/>
      <c r="T10" s="32"/>
      <c r="U10" s="43"/>
      <c r="V10" s="32"/>
      <c r="W10" s="43"/>
      <c r="X10" s="32"/>
      <c r="Y10" s="43"/>
      <c r="Z10" s="32"/>
      <c r="AA10" s="43"/>
      <c r="AB10" s="21">
        <f t="shared" si="0"/>
        <v>46490</v>
      </c>
    </row>
    <row r="11" spans="1:30" x14ac:dyDescent="0.25">
      <c r="A11" s="21">
        <v>10</v>
      </c>
      <c r="B11" s="21" t="s">
        <v>54</v>
      </c>
      <c r="C11" s="26">
        <f ca="1">'RM Received Details Challan'!C11</f>
        <v>0</v>
      </c>
      <c r="D11" s="80">
        <v>6.1</v>
      </c>
      <c r="E11" s="43">
        <v>4298</v>
      </c>
      <c r="F11" s="80"/>
      <c r="G11" s="43"/>
      <c r="H11" s="32"/>
      <c r="I11" s="43"/>
      <c r="J11" s="32"/>
      <c r="K11" s="43"/>
      <c r="L11" s="32"/>
      <c r="M11" s="43"/>
      <c r="N11" s="32"/>
      <c r="O11" s="43"/>
      <c r="P11" s="32"/>
      <c r="Q11" s="43"/>
      <c r="R11" s="32"/>
      <c r="S11" s="43"/>
      <c r="T11" s="32"/>
      <c r="U11" s="43"/>
      <c r="V11" s="32"/>
      <c r="W11" s="43"/>
      <c r="X11" s="32"/>
      <c r="Y11" s="43"/>
      <c r="Z11" s="32"/>
      <c r="AA11" s="43"/>
      <c r="AB11" s="21">
        <f t="shared" ca="1" si="0"/>
        <v>0</v>
      </c>
    </row>
    <row r="12" spans="1:30" x14ac:dyDescent="0.25">
      <c r="A12" s="21">
        <v>11</v>
      </c>
      <c r="B12" s="21" t="s">
        <v>56</v>
      </c>
      <c r="C12" s="26">
        <v>0</v>
      </c>
      <c r="D12" s="80">
        <v>8.1</v>
      </c>
      <c r="E12" s="43">
        <v>4060</v>
      </c>
      <c r="F12" s="80"/>
      <c r="G12" s="43"/>
      <c r="H12" s="32"/>
      <c r="I12" s="43"/>
      <c r="J12" s="32"/>
      <c r="K12" s="43"/>
      <c r="L12" s="32"/>
      <c r="M12" s="43"/>
      <c r="N12" s="32"/>
      <c r="O12" s="43"/>
      <c r="P12" s="32"/>
      <c r="Q12" s="43"/>
      <c r="R12" s="32"/>
      <c r="S12" s="43"/>
      <c r="T12" s="32"/>
      <c r="U12" s="43"/>
      <c r="V12" s="32"/>
      <c r="W12" s="43"/>
      <c r="X12" s="32"/>
      <c r="Y12" s="43"/>
      <c r="Z12" s="32"/>
      <c r="AA12" s="43"/>
      <c r="AB12" s="21">
        <f t="shared" si="0"/>
        <v>4060</v>
      </c>
    </row>
    <row r="13" spans="1:30" x14ac:dyDescent="0.25">
      <c r="A13" s="21">
        <v>12</v>
      </c>
      <c r="B13" s="21" t="s">
        <v>55</v>
      </c>
      <c r="C13" s="26">
        <f>[1]Dispatched!$H$27</f>
        <v>8798</v>
      </c>
      <c r="D13" s="80"/>
      <c r="E13" s="43"/>
      <c r="F13" s="80"/>
      <c r="G13" s="43"/>
      <c r="H13" s="32"/>
      <c r="I13" s="43"/>
      <c r="J13" s="32"/>
      <c r="K13" s="43"/>
      <c r="L13" s="32"/>
      <c r="M13" s="43"/>
      <c r="N13" s="32"/>
      <c r="O13" s="43"/>
      <c r="P13" s="32"/>
      <c r="Q13" s="43"/>
      <c r="R13" s="32"/>
      <c r="S13" s="43"/>
      <c r="T13" s="32"/>
      <c r="U13" s="43"/>
      <c r="V13" s="32"/>
      <c r="W13" s="43"/>
      <c r="X13" s="32"/>
      <c r="Y13" s="43"/>
      <c r="Z13" s="32"/>
      <c r="AA13" s="43"/>
      <c r="AB13" s="21">
        <f t="shared" si="0"/>
        <v>8798</v>
      </c>
    </row>
    <row r="14" spans="1:30" x14ac:dyDescent="0.25">
      <c r="A14" s="21">
        <v>13</v>
      </c>
      <c r="B14" s="21" t="s">
        <v>60</v>
      </c>
      <c r="C14" s="26">
        <f>[1]Dispatched!$H$29</f>
        <v>15057</v>
      </c>
      <c r="D14" s="80">
        <v>1.1000000000000001</v>
      </c>
      <c r="E14" s="43">
        <v>2962</v>
      </c>
      <c r="F14" s="80">
        <v>1.1000000000000001</v>
      </c>
      <c r="G14" s="43">
        <v>1141</v>
      </c>
      <c r="H14" s="80">
        <v>2.1</v>
      </c>
      <c r="I14" s="43">
        <v>851</v>
      </c>
      <c r="J14" s="80">
        <v>5.0999999999999996</v>
      </c>
      <c r="K14" s="43">
        <v>2257</v>
      </c>
      <c r="L14" s="80">
        <v>8.1</v>
      </c>
      <c r="M14" s="43">
        <v>6071</v>
      </c>
      <c r="N14" s="32"/>
      <c r="O14" s="43"/>
      <c r="P14" s="32"/>
      <c r="Q14" s="43"/>
      <c r="R14" s="32"/>
      <c r="S14" s="43"/>
      <c r="T14" s="32"/>
      <c r="U14" s="43"/>
      <c r="V14" s="32"/>
      <c r="W14" s="43"/>
      <c r="X14" s="32"/>
      <c r="Y14" s="43"/>
      <c r="Z14" s="32"/>
      <c r="AA14" s="43"/>
      <c r="AB14" s="21">
        <f t="shared" si="0"/>
        <v>28339</v>
      </c>
    </row>
    <row r="15" spans="1:30" x14ac:dyDescent="0.25">
      <c r="A15" s="21">
        <v>14</v>
      </c>
      <c r="B15" s="38" t="s">
        <v>79</v>
      </c>
      <c r="C15" s="21">
        <f>700+623+500+600+586+460+665</f>
        <v>4134</v>
      </c>
      <c r="D15" s="80">
        <v>2.1</v>
      </c>
      <c r="E15" s="43">
        <v>591</v>
      </c>
      <c r="F15" s="80">
        <v>8.1</v>
      </c>
      <c r="G15" s="43">
        <v>600</v>
      </c>
      <c r="H15" s="32"/>
      <c r="I15" s="43"/>
      <c r="J15" s="32"/>
      <c r="K15" s="43"/>
      <c r="L15" s="32"/>
      <c r="M15" s="43"/>
      <c r="N15" s="32"/>
      <c r="O15" s="43"/>
      <c r="P15" s="32"/>
      <c r="Q15" s="43"/>
      <c r="R15" s="32"/>
      <c r="S15" s="43"/>
      <c r="T15" s="32"/>
      <c r="U15" s="43"/>
      <c r="V15" s="32"/>
      <c r="W15" s="43"/>
      <c r="X15" s="32"/>
      <c r="Y15" s="43"/>
      <c r="Z15" s="32"/>
      <c r="AA15" s="43"/>
      <c r="AB15" s="41">
        <f t="shared" si="0"/>
        <v>5325</v>
      </c>
    </row>
    <row r="16" spans="1:30" x14ac:dyDescent="0.25">
      <c r="A16" s="21">
        <v>15</v>
      </c>
      <c r="B16" s="37" t="s">
        <v>80</v>
      </c>
      <c r="C16" s="21">
        <f>600+600+500+230+700+700</f>
        <v>3330</v>
      </c>
      <c r="D16" s="80">
        <v>1.1000000000000001</v>
      </c>
      <c r="E16" s="43">
        <v>184</v>
      </c>
      <c r="F16" s="80">
        <v>10.1</v>
      </c>
      <c r="G16" s="43">
        <v>1563</v>
      </c>
      <c r="H16" s="32"/>
      <c r="I16" s="43"/>
      <c r="J16" s="32"/>
      <c r="K16" s="43"/>
      <c r="L16" s="32"/>
      <c r="M16" s="43"/>
      <c r="N16" s="32"/>
      <c r="O16" s="43"/>
      <c r="P16" s="32"/>
      <c r="Q16" s="43"/>
      <c r="R16" s="32"/>
      <c r="S16" s="43"/>
      <c r="T16" s="32"/>
      <c r="U16" s="43"/>
      <c r="V16" s="32"/>
      <c r="W16" s="43"/>
      <c r="X16" s="32"/>
      <c r="Y16" s="43"/>
      <c r="Z16" s="32"/>
      <c r="AA16" s="43"/>
      <c r="AB16" s="37">
        <f t="shared" si="0"/>
        <v>5077</v>
      </c>
    </row>
    <row r="17" spans="1:28" x14ac:dyDescent="0.25">
      <c r="A17" s="21">
        <v>16</v>
      </c>
      <c r="B17" s="40" t="s">
        <v>81</v>
      </c>
      <c r="C17" s="21">
        <f>500+700+309+500+600+500+409</f>
        <v>3518</v>
      </c>
      <c r="D17" s="80">
        <v>1.1000000000000001</v>
      </c>
      <c r="E17" s="43">
        <v>677</v>
      </c>
      <c r="F17" s="32"/>
      <c r="G17" s="43"/>
      <c r="H17" s="32"/>
      <c r="I17" s="43"/>
      <c r="J17" s="32"/>
      <c r="K17" s="43"/>
      <c r="L17" s="32"/>
      <c r="M17" s="43"/>
      <c r="N17" s="32"/>
      <c r="O17" s="43"/>
      <c r="P17" s="32"/>
      <c r="Q17" s="43"/>
      <c r="R17" s="32"/>
      <c r="S17" s="43"/>
      <c r="T17" s="32"/>
      <c r="U17" s="43"/>
      <c r="V17" s="32"/>
      <c r="W17" s="43"/>
      <c r="X17" s="32"/>
      <c r="Y17" s="43"/>
      <c r="Z17" s="32"/>
      <c r="AA17" s="43"/>
      <c r="AB17" s="39">
        <f t="shared" si="0"/>
        <v>4195</v>
      </c>
    </row>
    <row r="18" spans="1:28" x14ac:dyDescent="0.25">
      <c r="A18" s="21">
        <v>17</v>
      </c>
      <c r="B18" s="38" t="s">
        <v>82</v>
      </c>
      <c r="C18" s="26">
        <v>146</v>
      </c>
      <c r="D18" s="80">
        <v>2.1</v>
      </c>
      <c r="E18" s="43">
        <v>1838</v>
      </c>
      <c r="F18" s="80">
        <v>5.0999999999999996</v>
      </c>
      <c r="G18" s="43">
        <v>3135</v>
      </c>
      <c r="H18" s="32" t="s">
        <v>90</v>
      </c>
      <c r="I18" s="43">
        <v>647</v>
      </c>
      <c r="J18" s="32"/>
      <c r="K18" s="43"/>
      <c r="L18" s="32"/>
      <c r="M18" s="43"/>
      <c r="N18" s="32"/>
      <c r="O18" s="43"/>
      <c r="P18" s="32"/>
      <c r="Q18" s="43"/>
      <c r="R18" s="32"/>
      <c r="S18" s="43"/>
      <c r="T18" s="32"/>
      <c r="U18" s="43"/>
      <c r="V18" s="32"/>
      <c r="W18" s="43"/>
      <c r="X18" s="32"/>
      <c r="Y18" s="43"/>
      <c r="Z18" s="32"/>
      <c r="AA18" s="43"/>
      <c r="AB18" s="41">
        <f t="shared" si="0"/>
        <v>5766</v>
      </c>
    </row>
    <row r="19" spans="1:28" x14ac:dyDescent="0.25">
      <c r="A19" s="21">
        <v>18</v>
      </c>
      <c r="B19" s="37" t="s">
        <v>83</v>
      </c>
      <c r="C19" s="26">
        <v>192</v>
      </c>
      <c r="D19" s="80">
        <v>2.1</v>
      </c>
      <c r="E19" s="43">
        <v>1322</v>
      </c>
      <c r="F19" s="80">
        <v>5.0999999999999996</v>
      </c>
      <c r="G19" s="43">
        <v>939</v>
      </c>
      <c r="H19" s="80">
        <v>8.1</v>
      </c>
      <c r="I19" s="43">
        <v>788</v>
      </c>
      <c r="J19" s="80">
        <v>10.1</v>
      </c>
      <c r="K19" s="43">
        <v>1524</v>
      </c>
      <c r="L19" s="32"/>
      <c r="M19" s="43"/>
      <c r="N19" s="32"/>
      <c r="O19" s="43"/>
      <c r="P19" s="32"/>
      <c r="Q19" s="43"/>
      <c r="R19" s="32"/>
      <c r="S19" s="43"/>
      <c r="T19" s="32"/>
      <c r="U19" s="43"/>
      <c r="V19" s="32"/>
      <c r="W19" s="43"/>
      <c r="X19" s="32"/>
      <c r="Y19" s="43"/>
      <c r="Z19" s="32"/>
      <c r="AA19" s="43"/>
      <c r="AB19" s="37">
        <f t="shared" si="0"/>
        <v>4765</v>
      </c>
    </row>
    <row r="20" spans="1:28" x14ac:dyDescent="0.25">
      <c r="A20" s="21">
        <v>19</v>
      </c>
      <c r="B20" s="40" t="s">
        <v>84</v>
      </c>
      <c r="C20" s="26">
        <v>1371</v>
      </c>
      <c r="D20" s="80">
        <v>2.1</v>
      </c>
      <c r="E20" s="43">
        <v>801</v>
      </c>
      <c r="F20" s="32"/>
      <c r="G20" s="43"/>
      <c r="H20" s="32"/>
      <c r="I20" s="43"/>
      <c r="J20" s="32"/>
      <c r="K20" s="43"/>
      <c r="L20" s="32"/>
      <c r="M20" s="43"/>
      <c r="N20" s="32"/>
      <c r="O20" s="43"/>
      <c r="P20" s="32"/>
      <c r="Q20" s="43"/>
      <c r="R20" s="32"/>
      <c r="S20" s="43"/>
      <c r="T20" s="32"/>
      <c r="U20" s="43"/>
      <c r="V20" s="32"/>
      <c r="W20" s="43"/>
      <c r="X20" s="32"/>
      <c r="Y20" s="43"/>
      <c r="Z20" s="32"/>
      <c r="AA20" s="43"/>
      <c r="AB20" s="39">
        <f t="shared" si="0"/>
        <v>2172</v>
      </c>
    </row>
    <row r="21" spans="1:28" x14ac:dyDescent="0.25">
      <c r="A21" s="21">
        <v>20</v>
      </c>
      <c r="B21" s="21" t="s">
        <v>47</v>
      </c>
      <c r="C21" s="26">
        <f ca="1">'RM Received Details Challan'!C21</f>
        <v>0</v>
      </c>
      <c r="D21" s="32"/>
      <c r="E21" s="43"/>
      <c r="F21" s="32"/>
      <c r="G21" s="43"/>
      <c r="H21" s="32"/>
      <c r="I21" s="43"/>
      <c r="J21" s="32"/>
      <c r="K21" s="43"/>
      <c r="L21" s="32"/>
      <c r="M21" s="43"/>
      <c r="N21" s="32"/>
      <c r="O21" s="43"/>
      <c r="P21" s="32"/>
      <c r="Q21" s="43"/>
      <c r="R21" s="32"/>
      <c r="S21" s="43"/>
      <c r="T21" s="32"/>
      <c r="U21" s="43"/>
      <c r="V21" s="32"/>
      <c r="W21" s="43"/>
      <c r="X21" s="32"/>
      <c r="Y21" s="43"/>
      <c r="Z21" s="32"/>
      <c r="AA21" s="43"/>
      <c r="AB21" s="21">
        <f t="shared" ca="1" si="0"/>
        <v>0</v>
      </c>
    </row>
    <row r="22" spans="1:28" x14ac:dyDescent="0.25">
      <c r="A22" s="21"/>
      <c r="B22" s="21"/>
      <c r="C22" s="21"/>
      <c r="D22" s="32"/>
      <c r="E22" s="43"/>
      <c r="F22" s="32"/>
      <c r="G22" s="43"/>
      <c r="H22" s="32"/>
      <c r="I22" s="43"/>
      <c r="J22" s="32"/>
      <c r="K22" s="43"/>
      <c r="L22" s="32"/>
      <c r="M22" s="43"/>
      <c r="N22" s="32"/>
      <c r="O22" s="43"/>
      <c r="P22" s="32"/>
      <c r="Q22" s="43"/>
      <c r="R22" s="32"/>
      <c r="S22" s="43"/>
      <c r="T22" s="32"/>
      <c r="U22" s="43"/>
      <c r="V22" s="32"/>
      <c r="W22" s="43"/>
      <c r="X22" s="32"/>
      <c r="Y22" s="43"/>
      <c r="Z22" s="32"/>
      <c r="AA22" s="43"/>
      <c r="AB22" s="21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6.5703125" style="18" customWidth="1"/>
    <col min="2" max="2" width="18.42578125" style="18" customWidth="1"/>
    <col min="3" max="3" width="9" style="18" customWidth="1"/>
    <col min="4" max="4" width="6" style="18" bestFit="1" customWidth="1"/>
    <col min="5" max="5" width="7" style="18" bestFit="1" customWidth="1"/>
    <col min="6" max="10" width="6" style="18" bestFit="1" customWidth="1"/>
    <col min="11" max="11" width="5" style="18" bestFit="1" customWidth="1"/>
    <col min="12" max="16" width="6" style="18" bestFit="1" customWidth="1"/>
    <col min="17" max="17" width="5" style="18" bestFit="1" customWidth="1"/>
    <col min="18" max="18" width="6" style="18" bestFit="1" customWidth="1"/>
    <col min="19" max="19" width="5" style="18" bestFit="1" customWidth="1"/>
    <col min="20" max="20" width="6" style="18" bestFit="1" customWidth="1"/>
    <col min="21" max="21" width="5" style="18" bestFit="1" customWidth="1"/>
    <col min="22" max="22" width="6" style="18" bestFit="1" customWidth="1"/>
    <col min="23" max="23" width="5" style="18" bestFit="1" customWidth="1"/>
    <col min="24" max="24" width="6" style="18" bestFit="1" customWidth="1"/>
    <col min="25" max="25" width="5" style="18" customWidth="1"/>
    <col min="26" max="26" width="6" style="18" bestFit="1" customWidth="1"/>
    <col min="27" max="27" width="5" style="18" customWidth="1"/>
    <col min="28" max="28" width="8.42578125" style="18" bestFit="1" customWidth="1"/>
    <col min="29" max="16384" width="9.140625" style="18"/>
  </cols>
  <sheetData>
    <row r="1" spans="1:30" ht="30" x14ac:dyDescent="0.25">
      <c r="A1" s="21" t="s">
        <v>69</v>
      </c>
      <c r="B1" s="21" t="s">
        <v>71</v>
      </c>
      <c r="C1" s="36" t="s">
        <v>78</v>
      </c>
      <c r="D1" s="32" t="s">
        <v>70</v>
      </c>
      <c r="E1" s="34" t="s">
        <v>72</v>
      </c>
      <c r="F1" s="32" t="s">
        <v>70</v>
      </c>
      <c r="G1" s="34" t="s">
        <v>72</v>
      </c>
      <c r="H1" s="32" t="s">
        <v>70</v>
      </c>
      <c r="I1" s="34" t="s">
        <v>72</v>
      </c>
      <c r="J1" s="32" t="s">
        <v>70</v>
      </c>
      <c r="K1" s="34" t="s">
        <v>72</v>
      </c>
      <c r="L1" s="32" t="s">
        <v>70</v>
      </c>
      <c r="M1" s="34" t="s">
        <v>72</v>
      </c>
      <c r="N1" s="32" t="s">
        <v>70</v>
      </c>
      <c r="O1" s="34" t="s">
        <v>72</v>
      </c>
      <c r="P1" s="32" t="s">
        <v>70</v>
      </c>
      <c r="Q1" s="34" t="s">
        <v>72</v>
      </c>
      <c r="R1" s="32" t="s">
        <v>70</v>
      </c>
      <c r="S1" s="34" t="s">
        <v>72</v>
      </c>
      <c r="T1" s="32" t="s">
        <v>70</v>
      </c>
      <c r="U1" s="34" t="s">
        <v>72</v>
      </c>
      <c r="V1" s="32" t="s">
        <v>70</v>
      </c>
      <c r="W1" s="34" t="s">
        <v>72</v>
      </c>
      <c r="X1" s="32" t="s">
        <v>70</v>
      </c>
      <c r="Y1" s="34" t="s">
        <v>72</v>
      </c>
      <c r="Z1" s="32" t="s">
        <v>70</v>
      </c>
      <c r="AA1" s="34" t="s">
        <v>72</v>
      </c>
      <c r="AB1" s="21" t="s">
        <v>73</v>
      </c>
    </row>
    <row r="2" spans="1:30" x14ac:dyDescent="0.25">
      <c r="A2" s="21">
        <v>1</v>
      </c>
      <c r="B2" s="6" t="s">
        <v>0</v>
      </c>
      <c r="C2" s="26">
        <f>[1]Dispatched!$H$5</f>
        <v>39648</v>
      </c>
      <c r="D2" s="32"/>
      <c r="E2" s="43"/>
      <c r="F2" s="32"/>
      <c r="G2" s="43"/>
      <c r="H2" s="32"/>
      <c r="I2" s="43"/>
      <c r="J2" s="32"/>
      <c r="K2" s="43"/>
      <c r="L2" s="32"/>
      <c r="M2" s="43"/>
      <c r="N2" s="32"/>
      <c r="O2" s="43"/>
      <c r="P2" s="32"/>
      <c r="Q2" s="43"/>
      <c r="R2" s="32"/>
      <c r="S2" s="43"/>
      <c r="T2" s="32"/>
      <c r="U2" s="43"/>
      <c r="V2" s="32"/>
      <c r="W2" s="43"/>
      <c r="X2" s="32"/>
      <c r="Y2" s="43"/>
      <c r="Z2" s="32"/>
      <c r="AA2" s="43"/>
      <c r="AB2" s="21">
        <f>O2+M2+K2+I2+G2+E2+C2+Q2+S2+U2+W2</f>
        <v>39648</v>
      </c>
    </row>
    <row r="3" spans="1:30" x14ac:dyDescent="0.25">
      <c r="A3" s="21">
        <v>2</v>
      </c>
      <c r="B3" s="21" t="s">
        <v>48</v>
      </c>
      <c r="C3" s="26">
        <f>[1]Dispatched!$H$7</f>
        <v>32303</v>
      </c>
      <c r="D3" s="32"/>
      <c r="E3" s="43"/>
      <c r="F3" s="32"/>
      <c r="G3" s="43"/>
      <c r="H3" s="32"/>
      <c r="I3" s="43"/>
      <c r="J3" s="32"/>
      <c r="K3" s="43"/>
      <c r="L3" s="32"/>
      <c r="M3" s="43"/>
      <c r="N3" s="32"/>
      <c r="O3" s="43"/>
      <c r="P3" s="32"/>
      <c r="Q3" s="43"/>
      <c r="R3" s="32"/>
      <c r="S3" s="43"/>
      <c r="T3" s="32"/>
      <c r="U3" s="43"/>
      <c r="V3" s="32"/>
      <c r="W3" s="43"/>
      <c r="X3" s="32"/>
      <c r="Y3" s="43"/>
      <c r="Z3" s="32"/>
      <c r="AA3" s="43"/>
      <c r="AB3" s="21">
        <f t="shared" ref="AB3:AB22" si="0">O3+M3+K3+I3+G3+E3+C3+Q3+S3+U3+W3</f>
        <v>32303</v>
      </c>
    </row>
    <row r="4" spans="1:30" x14ac:dyDescent="0.25">
      <c r="A4" s="21">
        <v>3</v>
      </c>
      <c r="B4" s="21" t="s">
        <v>49</v>
      </c>
      <c r="C4" s="26">
        <f ca="1">'RM Received Details Challan'!C4</f>
        <v>0</v>
      </c>
      <c r="D4" s="32"/>
      <c r="E4" s="43"/>
      <c r="F4" s="32"/>
      <c r="G4" s="43"/>
      <c r="H4" s="32"/>
      <c r="I4" s="43"/>
      <c r="J4" s="32"/>
      <c r="K4" s="43"/>
      <c r="L4" s="32"/>
      <c r="M4" s="43"/>
      <c r="N4" s="32"/>
      <c r="O4" s="43"/>
      <c r="P4" s="32"/>
      <c r="Q4" s="43"/>
      <c r="R4" s="32"/>
      <c r="S4" s="43"/>
      <c r="T4" s="32"/>
      <c r="U4" s="43"/>
      <c r="V4" s="32"/>
      <c r="W4" s="43"/>
      <c r="X4" s="32"/>
      <c r="Y4" s="43"/>
      <c r="Z4" s="32"/>
      <c r="AA4" s="43"/>
      <c r="AB4" s="21">
        <f t="shared" ca="1" si="0"/>
        <v>0</v>
      </c>
    </row>
    <row r="5" spans="1:30" x14ac:dyDescent="0.25">
      <c r="A5" s="21">
        <v>4</v>
      </c>
      <c r="B5" s="21" t="s">
        <v>50</v>
      </c>
      <c r="C5" s="26">
        <f ca="1">'RM Received Details Challan'!C5</f>
        <v>0</v>
      </c>
      <c r="D5" s="32"/>
      <c r="E5" s="43"/>
      <c r="F5" s="32"/>
      <c r="G5" s="43"/>
      <c r="H5" s="32"/>
      <c r="I5" s="43"/>
      <c r="J5" s="32"/>
      <c r="K5" s="43"/>
      <c r="L5" s="32"/>
      <c r="M5" s="43"/>
      <c r="N5" s="32"/>
      <c r="O5" s="43"/>
      <c r="P5" s="32"/>
      <c r="Q5" s="43"/>
      <c r="R5" s="32"/>
      <c r="S5" s="43"/>
      <c r="T5" s="32"/>
      <c r="U5" s="43"/>
      <c r="V5" s="32"/>
      <c r="W5" s="43"/>
      <c r="X5" s="32"/>
      <c r="Y5" s="43"/>
      <c r="Z5" s="32"/>
      <c r="AA5" s="43"/>
      <c r="AB5" s="21">
        <f t="shared" ca="1" si="0"/>
        <v>0</v>
      </c>
    </row>
    <row r="6" spans="1:30" x14ac:dyDescent="0.25">
      <c r="A6" s="21">
        <v>5</v>
      </c>
      <c r="B6" s="21" t="s">
        <v>67</v>
      </c>
      <c r="C6" s="26">
        <f>[1]Dispatched!$H$13</f>
        <v>138969</v>
      </c>
      <c r="D6" s="32"/>
      <c r="E6" s="43"/>
      <c r="F6" s="32"/>
      <c r="G6" s="43"/>
      <c r="H6" s="32"/>
      <c r="I6" s="43"/>
      <c r="J6" s="32"/>
      <c r="K6" s="43"/>
      <c r="L6" s="32"/>
      <c r="M6" s="43"/>
      <c r="N6" s="32"/>
      <c r="O6" s="43"/>
      <c r="P6" s="32"/>
      <c r="Q6" s="43"/>
      <c r="R6" s="32"/>
      <c r="S6" s="43"/>
      <c r="T6" s="32"/>
      <c r="U6" s="43"/>
      <c r="V6" s="32"/>
      <c r="W6" s="43"/>
      <c r="X6" s="32"/>
      <c r="Y6" s="43"/>
      <c r="Z6" s="32"/>
      <c r="AA6" s="43"/>
      <c r="AB6" s="21">
        <f t="shared" si="0"/>
        <v>138969</v>
      </c>
    </row>
    <row r="7" spans="1:30" x14ac:dyDescent="0.25">
      <c r="A7" s="21">
        <v>6</v>
      </c>
      <c r="B7" s="21" t="s">
        <v>53</v>
      </c>
      <c r="C7" s="26">
        <f ca="1">'RM Received Details Challan'!C7</f>
        <v>0</v>
      </c>
      <c r="D7" s="32"/>
      <c r="E7" s="43"/>
      <c r="F7" s="32"/>
      <c r="G7" s="43"/>
      <c r="H7" s="32"/>
      <c r="I7" s="43"/>
      <c r="J7" s="32"/>
      <c r="K7" s="43"/>
      <c r="L7" s="32"/>
      <c r="M7" s="43"/>
      <c r="N7" s="32"/>
      <c r="O7" s="43"/>
      <c r="P7" s="32"/>
      <c r="Q7" s="43"/>
      <c r="R7" s="32"/>
      <c r="S7" s="43"/>
      <c r="T7" s="32"/>
      <c r="U7" s="43"/>
      <c r="V7" s="32"/>
      <c r="W7" s="43"/>
      <c r="X7" s="32"/>
      <c r="Y7" s="43"/>
      <c r="Z7" s="32"/>
      <c r="AA7" s="43"/>
      <c r="AB7" s="21">
        <f t="shared" ca="1" si="0"/>
        <v>0</v>
      </c>
    </row>
    <row r="8" spans="1:30" x14ac:dyDescent="0.25">
      <c r="A8" s="21">
        <v>7</v>
      </c>
      <c r="B8" s="21" t="s">
        <v>52</v>
      </c>
      <c r="C8" s="26">
        <f>[1]Dispatched!$H$17</f>
        <v>3224</v>
      </c>
      <c r="D8" s="32"/>
      <c r="E8" s="43"/>
      <c r="F8" s="32"/>
      <c r="G8" s="43"/>
      <c r="H8" s="32"/>
      <c r="I8" s="43"/>
      <c r="J8" s="32"/>
      <c r="K8" s="43"/>
      <c r="L8" s="32"/>
      <c r="M8" s="43"/>
      <c r="N8" s="32"/>
      <c r="O8" s="43"/>
      <c r="P8" s="32"/>
      <c r="Q8" s="43"/>
      <c r="R8" s="32"/>
      <c r="S8" s="43"/>
      <c r="T8" s="32"/>
      <c r="U8" s="43"/>
      <c r="V8" s="32"/>
      <c r="W8" s="43"/>
      <c r="X8" s="32"/>
      <c r="Y8" s="43"/>
      <c r="Z8" s="32"/>
      <c r="AA8" s="43"/>
      <c r="AB8" s="21">
        <f t="shared" si="0"/>
        <v>3224</v>
      </c>
    </row>
    <row r="9" spans="1:30" x14ac:dyDescent="0.25">
      <c r="A9" s="21">
        <v>8</v>
      </c>
      <c r="B9" s="21" t="s">
        <v>51</v>
      </c>
      <c r="C9" s="26">
        <f ca="1">'RM Received Details Challan'!C9</f>
        <v>0</v>
      </c>
      <c r="D9" s="32"/>
      <c r="E9" s="43"/>
      <c r="F9" s="32"/>
      <c r="G9" s="43"/>
      <c r="H9" s="32"/>
      <c r="I9" s="43"/>
      <c r="J9" s="32"/>
      <c r="K9" s="43"/>
      <c r="L9" s="32"/>
      <c r="M9" s="43"/>
      <c r="N9" s="32"/>
      <c r="O9" s="43"/>
      <c r="P9" s="32"/>
      <c r="Q9" s="43"/>
      <c r="R9" s="32"/>
      <c r="S9" s="43"/>
      <c r="T9" s="32"/>
      <c r="U9" s="43"/>
      <c r="V9" s="32"/>
      <c r="W9" s="43"/>
      <c r="X9" s="32"/>
      <c r="Y9" s="43"/>
      <c r="Z9" s="32"/>
      <c r="AA9" s="43"/>
      <c r="AB9" s="21">
        <f t="shared" ca="1" si="0"/>
        <v>0</v>
      </c>
      <c r="AD9" s="33"/>
    </row>
    <row r="10" spans="1:30" x14ac:dyDescent="0.25">
      <c r="A10" s="21">
        <v>9</v>
      </c>
      <c r="B10" s="21" t="s">
        <v>57</v>
      </c>
      <c r="C10" s="26">
        <f>[1]Dispatched!$H$21</f>
        <v>27139</v>
      </c>
      <c r="D10" s="32"/>
      <c r="E10" s="43"/>
      <c r="F10" s="32"/>
      <c r="G10" s="43"/>
      <c r="H10" s="32"/>
      <c r="I10" s="43"/>
      <c r="J10" s="32"/>
      <c r="K10" s="43"/>
      <c r="L10" s="32"/>
      <c r="M10" s="43"/>
      <c r="N10" s="32"/>
      <c r="O10" s="43"/>
      <c r="P10" s="32"/>
      <c r="Q10" s="43"/>
      <c r="R10" s="32"/>
      <c r="S10" s="43"/>
      <c r="T10" s="32"/>
      <c r="U10" s="43"/>
      <c r="V10" s="32"/>
      <c r="W10" s="43"/>
      <c r="X10" s="32"/>
      <c r="Y10" s="43"/>
      <c r="Z10" s="32"/>
      <c r="AA10" s="43"/>
      <c r="AB10" s="21">
        <f t="shared" si="0"/>
        <v>27139</v>
      </c>
    </row>
    <row r="11" spans="1:30" x14ac:dyDescent="0.25">
      <c r="A11" s="21">
        <v>10</v>
      </c>
      <c r="B11" s="21" t="s">
        <v>54</v>
      </c>
      <c r="C11" s="26">
        <f ca="1">'RM Received Details Challan'!C11</f>
        <v>0</v>
      </c>
      <c r="D11" s="32"/>
      <c r="E11" s="43"/>
      <c r="F11" s="32"/>
      <c r="G11" s="43"/>
      <c r="H11" s="32"/>
      <c r="I11" s="43"/>
      <c r="J11" s="32"/>
      <c r="K11" s="43"/>
      <c r="L11" s="32"/>
      <c r="M11" s="43"/>
      <c r="N11" s="32"/>
      <c r="O11" s="43"/>
      <c r="P11" s="32"/>
      <c r="Q11" s="43"/>
      <c r="R11" s="32"/>
      <c r="S11" s="43"/>
      <c r="T11" s="32"/>
      <c r="U11" s="43"/>
      <c r="V11" s="32"/>
      <c r="W11" s="43"/>
      <c r="X11" s="32"/>
      <c r="Y11" s="43"/>
      <c r="Z11" s="32"/>
      <c r="AA11" s="43"/>
      <c r="AB11" s="21">
        <f t="shared" ca="1" si="0"/>
        <v>0</v>
      </c>
    </row>
    <row r="12" spans="1:30" x14ac:dyDescent="0.25">
      <c r="A12" s="21">
        <v>11</v>
      </c>
      <c r="B12" s="21" t="s">
        <v>56</v>
      </c>
      <c r="C12" s="26">
        <f>'RM Received Details Challan'!C12</f>
        <v>0</v>
      </c>
      <c r="D12" s="32"/>
      <c r="E12" s="43"/>
      <c r="F12" s="32"/>
      <c r="G12" s="43"/>
      <c r="H12" s="32"/>
      <c r="I12" s="43"/>
      <c r="J12" s="32"/>
      <c r="K12" s="43"/>
      <c r="L12" s="32"/>
      <c r="M12" s="43"/>
      <c r="N12" s="32"/>
      <c r="O12" s="43"/>
      <c r="P12" s="32"/>
      <c r="Q12" s="43"/>
      <c r="R12" s="32"/>
      <c r="S12" s="43"/>
      <c r="T12" s="32"/>
      <c r="U12" s="43"/>
      <c r="V12" s="32"/>
      <c r="W12" s="43"/>
      <c r="X12" s="32"/>
      <c r="Y12" s="43"/>
      <c r="Z12" s="32"/>
      <c r="AA12" s="43"/>
      <c r="AB12" s="21">
        <f t="shared" si="0"/>
        <v>0</v>
      </c>
    </row>
    <row r="13" spans="1:30" x14ac:dyDescent="0.25">
      <c r="A13" s="21">
        <v>12</v>
      </c>
      <c r="B13" s="21" t="s">
        <v>55</v>
      </c>
      <c r="C13" s="26">
        <f>[1]Dispatched!$H$27</f>
        <v>8798</v>
      </c>
      <c r="D13" s="32"/>
      <c r="E13" s="43"/>
      <c r="F13" s="32"/>
      <c r="G13" s="43"/>
      <c r="H13" s="32"/>
      <c r="I13" s="43"/>
      <c r="J13" s="32"/>
      <c r="K13" s="43"/>
      <c r="L13" s="32"/>
      <c r="M13" s="43"/>
      <c r="N13" s="32"/>
      <c r="O13" s="43"/>
      <c r="P13" s="32"/>
      <c r="Q13" s="43"/>
      <c r="R13" s="32"/>
      <c r="S13" s="43"/>
      <c r="T13" s="32"/>
      <c r="U13" s="43"/>
      <c r="V13" s="32"/>
      <c r="W13" s="43"/>
      <c r="X13" s="32"/>
      <c r="Y13" s="43"/>
      <c r="Z13" s="32"/>
      <c r="AA13" s="43"/>
      <c r="AB13" s="21">
        <f t="shared" si="0"/>
        <v>8798</v>
      </c>
    </row>
    <row r="14" spans="1:30" x14ac:dyDescent="0.25">
      <c r="A14" s="21">
        <v>13</v>
      </c>
      <c r="B14" s="21" t="s">
        <v>60</v>
      </c>
      <c r="C14" s="26">
        <f>[1]Dispatched!$H$29</f>
        <v>15057</v>
      </c>
      <c r="D14" s="32"/>
      <c r="E14" s="43"/>
      <c r="F14" s="32"/>
      <c r="G14" s="43"/>
      <c r="H14" s="32"/>
      <c r="I14" s="43"/>
      <c r="J14" s="32"/>
      <c r="K14" s="43"/>
      <c r="L14" s="32"/>
      <c r="M14" s="43"/>
      <c r="N14" s="32"/>
      <c r="O14" s="43"/>
      <c r="P14" s="32"/>
      <c r="Q14" s="43"/>
      <c r="R14" s="32"/>
      <c r="S14" s="43"/>
      <c r="T14" s="32"/>
      <c r="U14" s="43"/>
      <c r="V14" s="32"/>
      <c r="W14" s="43"/>
      <c r="X14" s="32"/>
      <c r="Y14" s="43"/>
      <c r="Z14" s="32"/>
      <c r="AA14" s="43"/>
      <c r="AB14" s="21">
        <f t="shared" si="0"/>
        <v>15057</v>
      </c>
    </row>
    <row r="15" spans="1:30" x14ac:dyDescent="0.25">
      <c r="A15" s="21">
        <v>14</v>
      </c>
      <c r="B15" s="38" t="s">
        <v>79</v>
      </c>
      <c r="C15" s="21">
        <f>700+623+500+600+586+460+665</f>
        <v>4134</v>
      </c>
      <c r="D15" s="32"/>
      <c r="E15" s="43"/>
      <c r="F15" s="32"/>
      <c r="G15" s="43"/>
      <c r="H15" s="32"/>
      <c r="I15" s="43"/>
      <c r="J15" s="32"/>
      <c r="K15" s="43"/>
      <c r="L15" s="32"/>
      <c r="M15" s="43"/>
      <c r="N15" s="32"/>
      <c r="O15" s="43"/>
      <c r="P15" s="32"/>
      <c r="Q15" s="43"/>
      <c r="R15" s="32"/>
      <c r="S15" s="43"/>
      <c r="T15" s="32"/>
      <c r="U15" s="43"/>
      <c r="V15" s="32"/>
      <c r="W15" s="43"/>
      <c r="X15" s="32"/>
      <c r="Y15" s="43"/>
      <c r="Z15" s="32"/>
      <c r="AA15" s="43"/>
      <c r="AB15" s="41">
        <f t="shared" si="0"/>
        <v>4134</v>
      </c>
    </row>
    <row r="16" spans="1:30" x14ac:dyDescent="0.25">
      <c r="A16" s="21">
        <v>15</v>
      </c>
      <c r="B16" s="37" t="s">
        <v>80</v>
      </c>
      <c r="C16" s="21">
        <f>600+600+500+230+700+700</f>
        <v>3330</v>
      </c>
      <c r="D16" s="32"/>
      <c r="E16" s="43"/>
      <c r="F16" s="32"/>
      <c r="G16" s="43"/>
      <c r="H16" s="32"/>
      <c r="I16" s="43"/>
      <c r="J16" s="32"/>
      <c r="K16" s="43"/>
      <c r="L16" s="32"/>
      <c r="M16" s="43"/>
      <c r="N16" s="32"/>
      <c r="O16" s="43"/>
      <c r="P16" s="32"/>
      <c r="Q16" s="43"/>
      <c r="R16" s="32"/>
      <c r="S16" s="43"/>
      <c r="T16" s="32"/>
      <c r="U16" s="43"/>
      <c r="V16" s="32"/>
      <c r="W16" s="43"/>
      <c r="X16" s="32"/>
      <c r="Y16" s="43"/>
      <c r="Z16" s="32"/>
      <c r="AA16" s="43"/>
      <c r="AB16" s="37">
        <f t="shared" si="0"/>
        <v>3330</v>
      </c>
    </row>
    <row r="17" spans="1:28" x14ac:dyDescent="0.25">
      <c r="A17" s="21">
        <v>16</v>
      </c>
      <c r="B17" s="40" t="s">
        <v>81</v>
      </c>
      <c r="C17" s="21">
        <f>500+700+309+500+600+500+409</f>
        <v>3518</v>
      </c>
      <c r="D17" s="32"/>
      <c r="E17" s="43"/>
      <c r="F17" s="32"/>
      <c r="G17" s="43"/>
      <c r="H17" s="32"/>
      <c r="I17" s="43"/>
      <c r="J17" s="32"/>
      <c r="K17" s="43"/>
      <c r="L17" s="32"/>
      <c r="M17" s="43"/>
      <c r="N17" s="32"/>
      <c r="O17" s="43"/>
      <c r="P17" s="32"/>
      <c r="Q17" s="43"/>
      <c r="R17" s="32"/>
      <c r="S17" s="43"/>
      <c r="T17" s="32"/>
      <c r="U17" s="43"/>
      <c r="V17" s="32"/>
      <c r="W17" s="43"/>
      <c r="X17" s="32"/>
      <c r="Y17" s="43"/>
      <c r="Z17" s="32"/>
      <c r="AA17" s="43"/>
      <c r="AB17" s="39">
        <f t="shared" si="0"/>
        <v>3518</v>
      </c>
    </row>
    <row r="18" spans="1:28" x14ac:dyDescent="0.25">
      <c r="A18" s="21">
        <v>17</v>
      </c>
      <c r="B18" s="38" t="s">
        <v>82</v>
      </c>
      <c r="C18" s="26">
        <v>146</v>
      </c>
      <c r="D18" s="32"/>
      <c r="E18" s="43"/>
      <c r="F18" s="32"/>
      <c r="G18" s="43"/>
      <c r="H18" s="32"/>
      <c r="I18" s="43"/>
      <c r="J18" s="32"/>
      <c r="K18" s="43"/>
      <c r="L18" s="32"/>
      <c r="M18" s="43"/>
      <c r="N18" s="32"/>
      <c r="O18" s="43"/>
      <c r="P18" s="32"/>
      <c r="Q18" s="43"/>
      <c r="R18" s="32"/>
      <c r="S18" s="43"/>
      <c r="T18" s="32"/>
      <c r="U18" s="43"/>
      <c r="V18" s="32"/>
      <c r="W18" s="43"/>
      <c r="X18" s="32"/>
      <c r="Y18" s="43"/>
      <c r="Z18" s="32"/>
      <c r="AA18" s="43"/>
      <c r="AB18" s="41">
        <f t="shared" si="0"/>
        <v>146</v>
      </c>
    </row>
    <row r="19" spans="1:28" x14ac:dyDescent="0.25">
      <c r="A19" s="21">
        <v>18</v>
      </c>
      <c r="B19" s="37" t="s">
        <v>83</v>
      </c>
      <c r="C19" s="26">
        <v>192</v>
      </c>
      <c r="D19" s="32"/>
      <c r="E19" s="43"/>
      <c r="F19" s="32"/>
      <c r="G19" s="43"/>
      <c r="H19" s="32"/>
      <c r="I19" s="43"/>
      <c r="J19" s="32"/>
      <c r="K19" s="43"/>
      <c r="L19" s="32"/>
      <c r="M19" s="43"/>
      <c r="N19" s="32"/>
      <c r="O19" s="43"/>
      <c r="P19" s="32"/>
      <c r="Q19" s="43"/>
      <c r="R19" s="32"/>
      <c r="S19" s="43"/>
      <c r="T19" s="32"/>
      <c r="U19" s="43"/>
      <c r="V19" s="32"/>
      <c r="W19" s="43"/>
      <c r="X19" s="32"/>
      <c r="Y19" s="43"/>
      <c r="Z19" s="32"/>
      <c r="AA19" s="43"/>
      <c r="AB19" s="37">
        <f t="shared" si="0"/>
        <v>192</v>
      </c>
    </row>
    <row r="20" spans="1:28" x14ac:dyDescent="0.25">
      <c r="A20" s="21">
        <v>19</v>
      </c>
      <c r="B20" s="40" t="s">
        <v>84</v>
      </c>
      <c r="C20" s="26">
        <v>1371</v>
      </c>
      <c r="D20" s="32"/>
      <c r="E20" s="43"/>
      <c r="F20" s="32"/>
      <c r="G20" s="43"/>
      <c r="H20" s="32"/>
      <c r="I20" s="43"/>
      <c r="J20" s="32"/>
      <c r="K20" s="43"/>
      <c r="L20" s="32"/>
      <c r="M20" s="43"/>
      <c r="N20" s="32"/>
      <c r="O20" s="43"/>
      <c r="P20" s="32"/>
      <c r="Q20" s="43"/>
      <c r="R20" s="32"/>
      <c r="S20" s="43"/>
      <c r="T20" s="32"/>
      <c r="U20" s="43"/>
      <c r="V20" s="32"/>
      <c r="W20" s="43"/>
      <c r="X20" s="32"/>
      <c r="Y20" s="43"/>
      <c r="Z20" s="32"/>
      <c r="AA20" s="43"/>
      <c r="AB20" s="39">
        <f t="shared" si="0"/>
        <v>1371</v>
      </c>
    </row>
    <row r="21" spans="1:28" x14ac:dyDescent="0.25">
      <c r="A21" s="21">
        <v>20</v>
      </c>
      <c r="B21" s="21" t="s">
        <v>47</v>
      </c>
      <c r="C21" s="26">
        <f ca="1">'RM Received Details Challan'!C21</f>
        <v>0</v>
      </c>
      <c r="D21" s="32"/>
      <c r="E21" s="43"/>
      <c r="F21" s="32"/>
      <c r="G21" s="43"/>
      <c r="H21" s="32"/>
      <c r="I21" s="43"/>
      <c r="J21" s="32"/>
      <c r="K21" s="43"/>
      <c r="L21" s="32"/>
      <c r="M21" s="43"/>
      <c r="N21" s="32"/>
      <c r="O21" s="43"/>
      <c r="P21" s="32"/>
      <c r="Q21" s="43"/>
      <c r="R21" s="32"/>
      <c r="S21" s="43"/>
      <c r="T21" s="32"/>
      <c r="U21" s="43"/>
      <c r="V21" s="32"/>
      <c r="W21" s="43"/>
      <c r="X21" s="32"/>
      <c r="Y21" s="43"/>
      <c r="Z21" s="32"/>
      <c r="AA21" s="43"/>
      <c r="AB21" s="21">
        <f t="shared" ca="1" si="0"/>
        <v>0</v>
      </c>
    </row>
    <row r="22" spans="1:28" x14ac:dyDescent="0.25">
      <c r="A22" s="21"/>
      <c r="B22" s="21"/>
      <c r="C22" s="21"/>
      <c r="D22" s="32"/>
      <c r="E22" s="43"/>
      <c r="F22" s="32"/>
      <c r="G22" s="43"/>
      <c r="H22" s="32"/>
      <c r="I22" s="43"/>
      <c r="J22" s="32"/>
      <c r="K22" s="43"/>
      <c r="L22" s="32"/>
      <c r="M22" s="43"/>
      <c r="N22" s="32"/>
      <c r="O22" s="43"/>
      <c r="P22" s="32"/>
      <c r="Q22" s="43"/>
      <c r="R22" s="32"/>
      <c r="S22" s="43"/>
      <c r="T22" s="32"/>
      <c r="U22" s="43"/>
      <c r="V22" s="32"/>
      <c r="W22" s="43"/>
      <c r="X22" s="32"/>
      <c r="Y22" s="43"/>
      <c r="Z22" s="32"/>
      <c r="AA22" s="43"/>
      <c r="AB22" s="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 &amp; Dispatch</vt:lpstr>
      <vt:lpstr>Dispatched</vt:lpstr>
      <vt:lpstr>BUSBAR RESTRIKE DETAILS</vt:lpstr>
      <vt:lpstr>RM Received Details Challan</vt:lpstr>
      <vt:lpstr>RM Received Atcual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2024-10-10T10:51:49Z</dcterms:modified>
</cp:coreProperties>
</file>