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8_{B8D5E2A5-3BB6-4912-84DE-E8F28DB31C4A}" xr6:coauthVersionLast="47" xr6:coauthVersionMax="47" xr10:uidLastSave="{00000000-0000-0000-0000-000000000000}"/>
  <bookViews>
    <workbookView xWindow="-108" yWindow="-108" windowWidth="23256" windowHeight="12456" firstSheet="11" activeTab="12" xr2:uid="{00000000-000D-0000-FFFF-FFFF00000000}"/>
  </bookViews>
  <sheets>
    <sheet name="Dashboard" sheetId="5" r:id="rId1"/>
    <sheet name="De echte KPI's" sheetId="17" r:id="rId2"/>
    <sheet name="KPI´s" sheetId="1" r:id="rId3"/>
    <sheet name="CO2 calculations" sheetId="2" r:id="rId4"/>
    <sheet name="FLEET RENEWAL" sheetId="18" r:id="rId5"/>
    <sheet name="BRONNEN" sheetId="10" r:id="rId6"/>
    <sheet name="Competition CAPA" sheetId="9" r:id="rId7"/>
    <sheet name="Competition" sheetId="8" r:id="rId8"/>
    <sheet name="Aircraft Data" sheetId="6" r:id="rId9"/>
    <sheet name="Taxi-Out (TXO) IATA Summer 2024" sheetId="3" r:id="rId10"/>
    <sheet name="Taxi-In (TXI) IATA Summer 2024" sheetId="4" r:id="rId11"/>
    <sheet name="main" sheetId="11" r:id="rId12"/>
    <sheet name="balance sheet" sheetId="12" r:id="rId13"/>
    <sheet name="assumptions" sheetId="13" r:id="rId14"/>
    <sheet name="Lithium Carbon Offsetting" sheetId="15" r:id="rId15"/>
    <sheet name="Passenger Calc" sheetId="14" r:id="rId16"/>
  </sheets>
  <definedNames>
    <definedName name="_xlnm._FilterDatabase" localSheetId="10" hidden="1">'Taxi-In (TXI) IATA Summer 2024'!$A$1:$H$488</definedName>
    <definedName name="_xlnm._FilterDatabase" localSheetId="9" hidden="1">'Taxi-Out (TXO) IATA Summer 2024'!$A$1:$T$572</definedName>
    <definedName name="_xlnm.Print_Titles" localSheetId="9">'Taxi-Out (TXO) IATA Summer 2024'!$1:$1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4" l="1"/>
  <c r="Z23" i="14"/>
  <c r="Z21" i="14"/>
  <c r="D6" i="18"/>
  <c r="C6" i="18"/>
  <c r="B6" i="18"/>
  <c r="E15" i="17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J29" i="1"/>
  <c r="O7" i="15"/>
  <c r="O8" i="15"/>
  <c r="O14" i="15"/>
  <c r="O15" i="15"/>
  <c r="O24" i="15"/>
  <c r="O30" i="15"/>
  <c r="O31" i="15"/>
  <c r="O32" i="15"/>
  <c r="O46" i="15"/>
  <c r="O47" i="15"/>
  <c r="O48" i="15"/>
  <c r="O54" i="15"/>
  <c r="O70" i="15"/>
  <c r="D71" i="15"/>
  <c r="K71" i="15" s="1"/>
  <c r="B3" i="15"/>
  <c r="C3" i="15" s="1"/>
  <c r="O3" i="15" s="1"/>
  <c r="B4" i="15"/>
  <c r="C4" i="15" s="1"/>
  <c r="O4" i="15" s="1"/>
  <c r="B5" i="15"/>
  <c r="C5" i="15" s="1"/>
  <c r="O5" i="15" s="1"/>
  <c r="B6" i="15"/>
  <c r="C6" i="15" s="1"/>
  <c r="O6" i="15" s="1"/>
  <c r="B7" i="15"/>
  <c r="C7" i="15" s="1"/>
  <c r="B8" i="15"/>
  <c r="C8" i="15" s="1"/>
  <c r="B9" i="15"/>
  <c r="C9" i="15" s="1"/>
  <c r="O9" i="15" s="1"/>
  <c r="B10" i="15"/>
  <c r="C10" i="15" s="1"/>
  <c r="O10" i="15" s="1"/>
  <c r="B11" i="15"/>
  <c r="C11" i="15" s="1"/>
  <c r="O11" i="15" s="1"/>
  <c r="B12" i="15"/>
  <c r="C12" i="15" s="1"/>
  <c r="O12" i="15" s="1"/>
  <c r="B13" i="15"/>
  <c r="C13" i="15" s="1"/>
  <c r="O13" i="15" s="1"/>
  <c r="B14" i="15"/>
  <c r="C14" i="15" s="1"/>
  <c r="B15" i="15"/>
  <c r="C15" i="15" s="1"/>
  <c r="B16" i="15"/>
  <c r="C16" i="15" s="1"/>
  <c r="O16" i="15" s="1"/>
  <c r="B17" i="15"/>
  <c r="C17" i="15" s="1"/>
  <c r="O17" i="15" s="1"/>
  <c r="B18" i="15"/>
  <c r="C18" i="15" s="1"/>
  <c r="O18" i="15" s="1"/>
  <c r="B19" i="15"/>
  <c r="C19" i="15" s="1"/>
  <c r="O19" i="15" s="1"/>
  <c r="B20" i="15"/>
  <c r="C20" i="15" s="1"/>
  <c r="O20" i="15" s="1"/>
  <c r="B21" i="15"/>
  <c r="C21" i="15" s="1"/>
  <c r="O21" i="15" s="1"/>
  <c r="B22" i="15"/>
  <c r="C22" i="15" s="1"/>
  <c r="O22" i="15" s="1"/>
  <c r="B23" i="15"/>
  <c r="C23" i="15" s="1"/>
  <c r="O23" i="15" s="1"/>
  <c r="B24" i="15"/>
  <c r="C24" i="15" s="1"/>
  <c r="B25" i="15"/>
  <c r="C25" i="15" s="1"/>
  <c r="O25" i="15" s="1"/>
  <c r="B26" i="15"/>
  <c r="C26" i="15" s="1"/>
  <c r="O26" i="15" s="1"/>
  <c r="B27" i="15"/>
  <c r="C27" i="15" s="1"/>
  <c r="O27" i="15" s="1"/>
  <c r="B28" i="15"/>
  <c r="C28" i="15" s="1"/>
  <c r="O28" i="15" s="1"/>
  <c r="B29" i="15"/>
  <c r="B30" i="15"/>
  <c r="C30" i="15" s="1"/>
  <c r="B31" i="15"/>
  <c r="C31" i="15" s="1"/>
  <c r="B32" i="15"/>
  <c r="C32" i="15" s="1"/>
  <c r="B33" i="15"/>
  <c r="C33" i="15" s="1"/>
  <c r="O33" i="15" s="1"/>
  <c r="B34" i="15"/>
  <c r="C34" i="15" s="1"/>
  <c r="O34" i="15" s="1"/>
  <c r="B35" i="15"/>
  <c r="C35" i="15" s="1"/>
  <c r="O35" i="15" s="1"/>
  <c r="B36" i="15"/>
  <c r="C36" i="15" s="1"/>
  <c r="O36" i="15" s="1"/>
  <c r="B37" i="15"/>
  <c r="C37" i="15" s="1"/>
  <c r="O37" i="15" s="1"/>
  <c r="B38" i="15"/>
  <c r="C38" i="15" s="1"/>
  <c r="O38" i="15" s="1"/>
  <c r="B39" i="15"/>
  <c r="C39" i="15" s="1"/>
  <c r="O39" i="15" s="1"/>
  <c r="B40" i="15"/>
  <c r="C40" i="15" s="1"/>
  <c r="O40" i="15" s="1"/>
  <c r="B41" i="15"/>
  <c r="C41" i="15" s="1"/>
  <c r="O41" i="15" s="1"/>
  <c r="B42" i="15"/>
  <c r="C42" i="15" s="1"/>
  <c r="O42" i="15" s="1"/>
  <c r="B43" i="15"/>
  <c r="C43" i="15" s="1"/>
  <c r="O43" i="15" s="1"/>
  <c r="B44" i="15"/>
  <c r="C44" i="15" s="1"/>
  <c r="O44" i="15" s="1"/>
  <c r="B45" i="15"/>
  <c r="C45" i="15" s="1"/>
  <c r="O45" i="15" s="1"/>
  <c r="B46" i="15"/>
  <c r="C46" i="15" s="1"/>
  <c r="B47" i="15"/>
  <c r="C47" i="15" s="1"/>
  <c r="B48" i="15"/>
  <c r="C48" i="15" s="1"/>
  <c r="B49" i="15"/>
  <c r="C49" i="15" s="1"/>
  <c r="O49" i="15" s="1"/>
  <c r="B50" i="15"/>
  <c r="C50" i="15" s="1"/>
  <c r="O50" i="15" s="1"/>
  <c r="B51" i="15"/>
  <c r="C51" i="15" s="1"/>
  <c r="O51" i="15" s="1"/>
  <c r="B52" i="15"/>
  <c r="C52" i="15" s="1"/>
  <c r="O52" i="15" s="1"/>
  <c r="B53" i="15"/>
  <c r="C53" i="15" s="1"/>
  <c r="O53" i="15" s="1"/>
  <c r="B54" i="15"/>
  <c r="C54" i="15" s="1"/>
  <c r="B55" i="15"/>
  <c r="C55" i="15" s="1"/>
  <c r="I55" i="15" s="1"/>
  <c r="B56" i="15"/>
  <c r="C56" i="15" s="1"/>
  <c r="O56" i="15" s="1"/>
  <c r="B57" i="15"/>
  <c r="C57" i="15" s="1"/>
  <c r="I57" i="15" s="1"/>
  <c r="B58" i="15"/>
  <c r="C58" i="15" s="1"/>
  <c r="O58" i="15" s="1"/>
  <c r="B59" i="15"/>
  <c r="B60" i="15"/>
  <c r="B61" i="15"/>
  <c r="B62" i="15"/>
  <c r="B63" i="15"/>
  <c r="B64" i="15"/>
  <c r="B65" i="15"/>
  <c r="B66" i="15"/>
  <c r="B67" i="15"/>
  <c r="B68" i="15"/>
  <c r="C68" i="15" s="1"/>
  <c r="B69" i="15"/>
  <c r="C69" i="15" s="1"/>
  <c r="B70" i="15"/>
  <c r="C70" i="15" s="1"/>
  <c r="I70" i="15" s="1"/>
  <c r="B71" i="15"/>
  <c r="B72" i="15"/>
  <c r="B73" i="15"/>
  <c r="B74" i="15"/>
  <c r="B75" i="15"/>
  <c r="D75" i="15" s="1"/>
  <c r="C75" i="15" s="1"/>
  <c r="I75" i="15" s="1"/>
  <c r="B76" i="15"/>
  <c r="D76" i="15" s="1"/>
  <c r="C76" i="15" s="1"/>
  <c r="I76" i="15" s="1"/>
  <c r="B77" i="15"/>
  <c r="D77" i="15" s="1"/>
  <c r="C77" i="15" s="1"/>
  <c r="I77" i="15" s="1"/>
  <c r="B78" i="15"/>
  <c r="B79" i="15"/>
  <c r="D79" i="15" s="1"/>
  <c r="K79" i="15" s="1"/>
  <c r="B80" i="15"/>
  <c r="D80" i="15" s="1"/>
  <c r="K80" i="15" s="1"/>
  <c r="B81" i="15"/>
  <c r="B82" i="15"/>
  <c r="D82" i="15" s="1"/>
  <c r="K82" i="15" s="1"/>
  <c r="B83" i="15"/>
  <c r="B84" i="15"/>
  <c r="B85" i="15"/>
  <c r="D85" i="15" s="1"/>
  <c r="K85" i="15" s="1"/>
  <c r="B86" i="15"/>
  <c r="B87" i="15"/>
  <c r="B88" i="15"/>
  <c r="B89" i="15"/>
  <c r="C29" i="15"/>
  <c r="O29" i="15" s="1"/>
  <c r="A88" i="15"/>
  <c r="A89" i="15" s="1"/>
  <c r="A86" i="15"/>
  <c r="A87" i="15" s="1"/>
  <c r="A5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4" i="15"/>
  <c r="B2" i="15"/>
  <c r="C14" i="17"/>
  <c r="D14" i="17"/>
  <c r="E14" i="17"/>
  <c r="B14" i="17"/>
  <c r="P22" i="1"/>
  <c r="Q17" i="1"/>
  <c r="Q18" i="1"/>
  <c r="Q19" i="1"/>
  <c r="Q20" i="1"/>
  <c r="Q21" i="1"/>
  <c r="Q16" i="1"/>
  <c r="P17" i="1"/>
  <c r="P18" i="1"/>
  <c r="P19" i="1"/>
  <c r="P20" i="1"/>
  <c r="P21" i="1"/>
  <c r="P16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P2" i="1"/>
  <c r="Q2" i="1"/>
  <c r="AN27" i="2"/>
  <c r="BI26" i="2"/>
  <c r="AG27" i="2"/>
  <c r="Z27" i="2"/>
  <c r="Z26" i="2"/>
  <c r="S27" i="2"/>
  <c r="S26" i="2"/>
  <c r="H36" i="2"/>
  <c r="H37" i="2"/>
  <c r="H38" i="2"/>
  <c r="AG26" i="2" s="1"/>
  <c r="H35" i="2"/>
  <c r="G36" i="2"/>
  <c r="G37" i="2"/>
  <c r="G38" i="2"/>
  <c r="G39" i="2"/>
  <c r="H39" i="2" s="1"/>
  <c r="AN26" i="2" s="1"/>
  <c r="G35" i="2"/>
  <c r="AJ22" i="2"/>
  <c r="AC22" i="2"/>
  <c r="V22" i="2"/>
  <c r="O22" i="2"/>
  <c r="AJ21" i="2"/>
  <c r="AC21" i="2"/>
  <c r="V21" i="2"/>
  <c r="O21" i="2"/>
  <c r="AJ20" i="2"/>
  <c r="AC20" i="2"/>
  <c r="V20" i="2"/>
  <c r="O20" i="2"/>
  <c r="AJ19" i="2"/>
  <c r="AC19" i="2"/>
  <c r="V19" i="2"/>
  <c r="O19" i="2"/>
  <c r="AJ18" i="2"/>
  <c r="AC18" i="2"/>
  <c r="V18" i="2"/>
  <c r="O18" i="2"/>
  <c r="AJ17" i="2"/>
  <c r="AC17" i="2"/>
  <c r="V17" i="2"/>
  <c r="O17" i="2"/>
  <c r="AJ16" i="2"/>
  <c r="AC16" i="2"/>
  <c r="V16" i="2"/>
  <c r="O16" i="2"/>
  <c r="AJ15" i="2"/>
  <c r="AC15" i="2"/>
  <c r="V15" i="2"/>
  <c r="O15" i="2"/>
  <c r="AJ14" i="2"/>
  <c r="AC14" i="2"/>
  <c r="V14" i="2"/>
  <c r="O14" i="2"/>
  <c r="AJ13" i="2"/>
  <c r="AC13" i="2"/>
  <c r="V13" i="2"/>
  <c r="O13" i="2"/>
  <c r="AJ12" i="2"/>
  <c r="AC12" i="2"/>
  <c r="V12" i="2"/>
  <c r="O12" i="2"/>
  <c r="AJ11" i="2"/>
  <c r="AC11" i="2"/>
  <c r="V11" i="2"/>
  <c r="O11" i="2"/>
  <c r="AJ10" i="2"/>
  <c r="AC10" i="2"/>
  <c r="V10" i="2"/>
  <c r="O10" i="2"/>
  <c r="AJ9" i="2"/>
  <c r="AC9" i="2"/>
  <c r="V9" i="2"/>
  <c r="O9" i="2"/>
  <c r="AJ8" i="2"/>
  <c r="AC8" i="2"/>
  <c r="V8" i="2"/>
  <c r="O8" i="2"/>
  <c r="AJ7" i="2"/>
  <c r="AC7" i="2"/>
  <c r="V7" i="2"/>
  <c r="O7" i="2"/>
  <c r="AJ6" i="2"/>
  <c r="AC6" i="2"/>
  <c r="V6" i="2"/>
  <c r="O6" i="2"/>
  <c r="AJ5" i="2"/>
  <c r="AC5" i="2"/>
  <c r="V5" i="2"/>
  <c r="O5" i="2"/>
  <c r="AJ4" i="2"/>
  <c r="AC4" i="2"/>
  <c r="V4" i="2"/>
  <c r="O4" i="2"/>
  <c r="AJ3" i="2"/>
  <c r="AC3" i="2"/>
  <c r="V3" i="2"/>
  <c r="W3" i="2" s="1"/>
  <c r="O3" i="2"/>
  <c r="E38" i="2"/>
  <c r="E37" i="2"/>
  <c r="E36" i="2"/>
  <c r="E39" i="2"/>
  <c r="E35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4" i="2"/>
  <c r="AX3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4" i="2"/>
  <c r="AQ3" i="2"/>
  <c r="O4" i="14"/>
  <c r="V23" i="14"/>
  <c r="V22" i="14"/>
  <c r="V21" i="14"/>
  <c r="A11" i="14"/>
  <c r="A12" i="14" s="1"/>
  <c r="J22" i="12"/>
  <c r="O5" i="14"/>
  <c r="P5" i="14" s="1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X22" i="14" s="1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X21" i="14" s="1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4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I18" i="1"/>
  <c r="E11" i="6"/>
  <c r="F5" i="14"/>
  <c r="K48" i="15"/>
  <c r="K49" i="15"/>
  <c r="K50" i="15"/>
  <c r="K51" i="15"/>
  <c r="K52" i="15"/>
  <c r="K53" i="15"/>
  <c r="K54" i="15"/>
  <c r="K56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55" i="15"/>
  <c r="K57" i="15"/>
  <c r="K68" i="15"/>
  <c r="K69" i="15"/>
  <c r="K70" i="15"/>
  <c r="Q6" i="12"/>
  <c r="J10" i="12"/>
  <c r="L5" i="12"/>
  <c r="S5" i="12" s="1"/>
  <c r="N12" i="5"/>
  <c r="O69" i="15" l="1"/>
  <c r="I69" i="15"/>
  <c r="O55" i="15"/>
  <c r="I68" i="15"/>
  <c r="O68" i="15"/>
  <c r="D84" i="15"/>
  <c r="K84" i="15" s="1"/>
  <c r="D83" i="15"/>
  <c r="K83" i="15" s="1"/>
  <c r="C74" i="15"/>
  <c r="D89" i="15"/>
  <c r="K89" i="15" s="1"/>
  <c r="D73" i="15"/>
  <c r="K73" i="15" s="1"/>
  <c r="C87" i="15"/>
  <c r="I87" i="15" s="1"/>
  <c r="C71" i="15"/>
  <c r="I71" i="15" s="1"/>
  <c r="C86" i="15"/>
  <c r="I86" i="15" s="1"/>
  <c r="D86" i="15"/>
  <c r="K86" i="15" s="1"/>
  <c r="D78" i="15"/>
  <c r="K78" i="15" s="1"/>
  <c r="C82" i="15"/>
  <c r="D74" i="15"/>
  <c r="K74" i="15" s="1"/>
  <c r="D81" i="15"/>
  <c r="K81" i="15" s="1"/>
  <c r="C80" i="15"/>
  <c r="I80" i="15" s="1"/>
  <c r="D88" i="15"/>
  <c r="K88" i="15" s="1"/>
  <c r="D72" i="15"/>
  <c r="K72" i="15" s="1"/>
  <c r="C79" i="15"/>
  <c r="I79" i="15" s="1"/>
  <c r="D87" i="15"/>
  <c r="K87" i="15" s="1"/>
  <c r="O57" i="15"/>
  <c r="O77" i="15"/>
  <c r="O79" i="15"/>
  <c r="C85" i="15"/>
  <c r="O76" i="15"/>
  <c r="O75" i="15"/>
  <c r="K77" i="15"/>
  <c r="K76" i="15"/>
  <c r="K75" i="15"/>
  <c r="Y3" i="2"/>
  <c r="X3" i="2"/>
  <c r="K35" i="12"/>
  <c r="K58" i="15"/>
  <c r="O71" i="15" l="1"/>
  <c r="O87" i="15"/>
  <c r="C72" i="15"/>
  <c r="C88" i="15"/>
  <c r="I88" i="15" s="1"/>
  <c r="C89" i="15"/>
  <c r="I89" i="15"/>
  <c r="O89" i="15"/>
  <c r="I74" i="15"/>
  <c r="O74" i="15"/>
  <c r="C81" i="15"/>
  <c r="I82" i="15"/>
  <c r="O82" i="15"/>
  <c r="O88" i="15"/>
  <c r="C84" i="15"/>
  <c r="O80" i="15"/>
  <c r="O86" i="15"/>
  <c r="C78" i="15"/>
  <c r="C73" i="15"/>
  <c r="C83" i="15"/>
  <c r="I85" i="15"/>
  <c r="O85" i="15"/>
  <c r="I5" i="14"/>
  <c r="H36" i="12"/>
  <c r="I8" i="14"/>
  <c r="J8" i="14" s="1"/>
  <c r="H9" i="14"/>
  <c r="F9" i="14"/>
  <c r="F6" i="14"/>
  <c r="F5" i="12"/>
  <c r="G10" i="13"/>
  <c r="D5" i="12"/>
  <c r="F6" i="12"/>
  <c r="L6" i="12"/>
  <c r="S6" i="12" s="1"/>
  <c r="S18" i="12" s="1"/>
  <c r="D7" i="12"/>
  <c r="J7" i="12"/>
  <c r="D8" i="12"/>
  <c r="J8" i="12"/>
  <c r="D9" i="12"/>
  <c r="J9" i="12"/>
  <c r="D11" i="12"/>
  <c r="J11" i="12"/>
  <c r="Q11" i="12" s="1"/>
  <c r="D12" i="12"/>
  <c r="J12" i="12"/>
  <c r="Q12" i="12" s="1"/>
  <c r="D13" i="12"/>
  <c r="J13" i="12"/>
  <c r="Q13" i="12" s="1"/>
  <c r="D14" i="12"/>
  <c r="J14" i="12" s="1"/>
  <c r="Q14" i="12" s="1"/>
  <c r="D15" i="12"/>
  <c r="J15" i="12"/>
  <c r="Q15" i="12" s="1"/>
  <c r="D16" i="12"/>
  <c r="J16" i="12"/>
  <c r="Q16" i="12" s="1"/>
  <c r="C11" i="11"/>
  <c r="J5" i="12" s="1"/>
  <c r="C12" i="11"/>
  <c r="D6" i="12" s="1"/>
  <c r="C18" i="11"/>
  <c r="I72" i="15" l="1"/>
  <c r="O72" i="15"/>
  <c r="I83" i="15"/>
  <c r="O83" i="15"/>
  <c r="I73" i="15"/>
  <c r="O73" i="15"/>
  <c r="I81" i="15"/>
  <c r="O81" i="15"/>
  <c r="I78" i="15"/>
  <c r="O78" i="15"/>
  <c r="I84" i="15"/>
  <c r="O84" i="15"/>
  <c r="J5" i="14"/>
  <c r="F10" i="14"/>
  <c r="S19" i="12"/>
  <c r="I9" i="14"/>
  <c r="I6" i="14"/>
  <c r="L18" i="12"/>
  <c r="F18" i="12"/>
  <c r="D10" i="12"/>
  <c r="J17" i="12" s="1"/>
  <c r="Q17" i="12" s="1"/>
  <c r="Q18" i="12" s="1"/>
  <c r="J6" i="12"/>
  <c r="Q19" i="12" l="1"/>
  <c r="Q22" i="12"/>
  <c r="R22" i="12" s="1"/>
  <c r="L19" i="12"/>
  <c r="F19" i="12"/>
  <c r="J18" i="12"/>
  <c r="K22" i="12" s="1"/>
  <c r="G5" i="11"/>
  <c r="H5" i="11"/>
  <c r="D17" i="12"/>
  <c r="D18" i="12" s="1"/>
  <c r="G4" i="11" s="1"/>
  <c r="D22" i="12" l="1"/>
  <c r="E22" i="12" s="1"/>
  <c r="J19" i="12"/>
  <c r="H4" i="11"/>
  <c r="H7" i="11" s="1"/>
  <c r="D19" i="12"/>
  <c r="H6" i="11" l="1"/>
  <c r="G6" i="11"/>
  <c r="G7" i="11"/>
  <c r="I6" i="8" l="1"/>
  <c r="I5" i="8"/>
  <c r="J3" i="4" l="1"/>
  <c r="J2" i="4"/>
  <c r="J2" i="3" l="1"/>
  <c r="I3" i="8" l="1"/>
  <c r="U2" i="8"/>
  <c r="U3" i="8"/>
  <c r="T2" i="8"/>
  <c r="S2" i="8"/>
  <c r="O2" i="8"/>
  <c r="N21" i="9"/>
  <c r="P2" i="8"/>
  <c r="Q2" i="8"/>
  <c r="Q3" i="8"/>
  <c r="G21" i="9"/>
  <c r="G26" i="9"/>
  <c r="N26" i="9"/>
  <c r="G30" i="9"/>
  <c r="N30" i="9"/>
  <c r="I2" i="8"/>
  <c r="B6" i="5"/>
  <c r="C40" i="1"/>
  <c r="C20" i="2"/>
  <c r="F20" i="2" s="1"/>
  <c r="C21" i="2"/>
  <c r="F21" i="2" s="1"/>
  <c r="C22" i="2"/>
  <c r="F22" i="2" s="1"/>
  <c r="C4" i="2"/>
  <c r="Q3" i="1" s="1"/>
  <c r="T3" i="1" s="1"/>
  <c r="C5" i="2"/>
  <c r="Q4" i="1" s="1"/>
  <c r="T4" i="1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Q11" i="1" s="1"/>
  <c r="T11" i="1" s="1"/>
  <c r="C13" i="2"/>
  <c r="Q12" i="1" s="1"/>
  <c r="T12" i="1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3" i="2"/>
  <c r="T2" i="1" s="1"/>
  <c r="I2" i="1"/>
  <c r="Q13" i="1" l="1"/>
  <c r="T13" i="1" s="1"/>
  <c r="Q15" i="1"/>
  <c r="T15" i="1" s="1"/>
  <c r="T16" i="1"/>
  <c r="Q14" i="1"/>
  <c r="T14" i="1" s="1"/>
  <c r="Q9" i="1"/>
  <c r="T9" i="1" s="1"/>
  <c r="Q7" i="1"/>
  <c r="T7" i="1" s="1"/>
  <c r="Q6" i="1"/>
  <c r="T6" i="1" s="1"/>
  <c r="F13" i="2"/>
  <c r="F12" i="2"/>
  <c r="Q10" i="1"/>
  <c r="T10" i="1" s="1"/>
  <c r="Q8" i="1"/>
  <c r="T8" i="1" s="1"/>
  <c r="F5" i="2"/>
  <c r="T21" i="1"/>
  <c r="Q5" i="1"/>
  <c r="T5" i="1" s="1"/>
  <c r="F4" i="2"/>
  <c r="T20" i="1"/>
  <c r="F3" i="2"/>
  <c r="T19" i="1"/>
  <c r="T18" i="1"/>
  <c r="T17" i="1"/>
  <c r="R2" i="1"/>
  <c r="O2" i="1" s="1"/>
  <c r="J3" i="3"/>
  <c r="H20" i="2" s="1"/>
  <c r="J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J5" i="3"/>
  <c r="J6" i="3"/>
  <c r="J7" i="3"/>
  <c r="H6" i="2" s="1"/>
  <c r="J8" i="3"/>
  <c r="J9" i="3"/>
  <c r="H8" i="2" s="1"/>
  <c r="J10" i="3"/>
  <c r="J11" i="3"/>
  <c r="J12" i="3"/>
  <c r="J13" i="3"/>
  <c r="J14" i="3"/>
  <c r="J15" i="3"/>
  <c r="H14" i="2" s="1"/>
  <c r="J16" i="3"/>
  <c r="H15" i="2" s="1"/>
  <c r="J17" i="3"/>
  <c r="H16" i="2" s="1"/>
  <c r="J18" i="3"/>
  <c r="H17" i="2" s="1"/>
  <c r="J19" i="3"/>
  <c r="H18" i="2" s="1"/>
  <c r="J20" i="3"/>
  <c r="H19" i="2" s="1"/>
  <c r="J21" i="3"/>
  <c r="J22" i="3"/>
  <c r="J23" i="3"/>
  <c r="H22" i="2" s="1"/>
  <c r="J4" i="3"/>
  <c r="H3" i="2" s="1"/>
  <c r="J5" i="4"/>
  <c r="G4" i="2" s="1"/>
  <c r="J6" i="4"/>
  <c r="G5" i="2" s="1"/>
  <c r="J7" i="4"/>
  <c r="G6" i="2" s="1"/>
  <c r="J8" i="4"/>
  <c r="G7" i="2" s="1"/>
  <c r="J9" i="4"/>
  <c r="G8" i="2" s="1"/>
  <c r="J10" i="4"/>
  <c r="G9" i="2" s="1"/>
  <c r="J11" i="4"/>
  <c r="G10" i="2" s="1"/>
  <c r="J12" i="4"/>
  <c r="G11" i="2" s="1"/>
  <c r="J13" i="4"/>
  <c r="G12" i="2" s="1"/>
  <c r="J14" i="4"/>
  <c r="G13" i="2" s="1"/>
  <c r="J15" i="4"/>
  <c r="G14" i="2" s="1"/>
  <c r="J16" i="4"/>
  <c r="G15" i="2" s="1"/>
  <c r="J17" i="4"/>
  <c r="G16" i="2" s="1"/>
  <c r="J18" i="4"/>
  <c r="G17" i="2" s="1"/>
  <c r="J19" i="4"/>
  <c r="G18" i="2" s="1"/>
  <c r="J20" i="4"/>
  <c r="G19" i="2" s="1"/>
  <c r="J21" i="4"/>
  <c r="G20" i="2" s="1"/>
  <c r="J22" i="4"/>
  <c r="G21" i="2" s="1"/>
  <c r="J23" i="4"/>
  <c r="G22" i="2" s="1"/>
  <c r="U2" i="1" l="1"/>
  <c r="R12" i="1"/>
  <c r="R10" i="1"/>
  <c r="R7" i="1"/>
  <c r="R21" i="1"/>
  <c r="R3" i="1"/>
  <c r="R11" i="1"/>
  <c r="R9" i="1"/>
  <c r="R8" i="1"/>
  <c r="R6" i="1"/>
  <c r="R5" i="1"/>
  <c r="R4" i="1"/>
  <c r="R17" i="1"/>
  <c r="R16" i="1"/>
  <c r="R15" i="1"/>
  <c r="I22" i="1"/>
  <c r="R14" i="1"/>
  <c r="R13" i="1"/>
  <c r="I23" i="1"/>
  <c r="H9" i="2"/>
  <c r="I9" i="2" s="1"/>
  <c r="J9" i="2" s="1"/>
  <c r="H7" i="2"/>
  <c r="I7" i="2" s="1"/>
  <c r="J7" i="2" s="1"/>
  <c r="H10" i="2"/>
  <c r="I10" i="2" s="1"/>
  <c r="J10" i="2" s="1"/>
  <c r="H11" i="2"/>
  <c r="I11" i="2" s="1"/>
  <c r="J11" i="2" s="1"/>
  <c r="H5" i="2"/>
  <c r="I5" i="2" s="1"/>
  <c r="J5" i="2" s="1"/>
  <c r="H4" i="2"/>
  <c r="I4" i="2" s="1"/>
  <c r="J4" i="2" s="1"/>
  <c r="I6" i="2"/>
  <c r="J6" i="2" s="1"/>
  <c r="H12" i="2"/>
  <c r="I12" i="2" s="1"/>
  <c r="J12" i="2" s="1"/>
  <c r="H13" i="2"/>
  <c r="I13" i="2" s="1"/>
  <c r="J13" i="2" s="1"/>
  <c r="H21" i="2"/>
  <c r="I21" i="2" s="1"/>
  <c r="J21" i="2" s="1"/>
  <c r="I22" i="2"/>
  <c r="J22" i="2" s="1"/>
  <c r="G3" i="2"/>
  <c r="I3" i="2" s="1"/>
  <c r="J3" i="2" s="1"/>
  <c r="R19" i="1"/>
  <c r="R20" i="1"/>
  <c r="R18" i="1"/>
  <c r="A41" i="1"/>
  <c r="A42" i="1" s="1"/>
  <c r="A43" i="1" s="1"/>
  <c r="L27" i="1" s="1"/>
  <c r="C4" i="5"/>
  <c r="C5" i="5"/>
  <c r="I20" i="2"/>
  <c r="J20" i="2" s="1"/>
  <c r="I8" i="2"/>
  <c r="J8" i="2" s="1"/>
  <c r="I16" i="2"/>
  <c r="J16" i="2" s="1"/>
  <c r="I19" i="2"/>
  <c r="J19" i="2" s="1"/>
  <c r="I15" i="2"/>
  <c r="J15" i="2" s="1"/>
  <c r="I14" i="2"/>
  <c r="J14" i="2" s="1"/>
  <c r="I17" i="2"/>
  <c r="J17" i="2" s="1"/>
  <c r="I18" i="2"/>
  <c r="J18" i="2" s="1"/>
  <c r="U15" i="1" l="1"/>
  <c r="O15" i="1"/>
  <c r="U11" i="1"/>
  <c r="O11" i="1"/>
  <c r="U16" i="1"/>
  <c r="O16" i="1"/>
  <c r="U3" i="1"/>
  <c r="U22" i="1" s="1"/>
  <c r="D2" i="8" s="1"/>
  <c r="O3" i="1"/>
  <c r="O22" i="1" s="1"/>
  <c r="U17" i="1"/>
  <c r="O17" i="1"/>
  <c r="U21" i="1"/>
  <c r="O21" i="1"/>
  <c r="U4" i="1"/>
  <c r="O4" i="1"/>
  <c r="U7" i="1"/>
  <c r="O7" i="1"/>
  <c r="U5" i="1"/>
  <c r="O5" i="1"/>
  <c r="U10" i="1"/>
  <c r="O10" i="1"/>
  <c r="U18" i="1"/>
  <c r="O18" i="1"/>
  <c r="U13" i="1"/>
  <c r="O13" i="1"/>
  <c r="U6" i="1"/>
  <c r="O6" i="1"/>
  <c r="U12" i="1"/>
  <c r="O12" i="1"/>
  <c r="U20" i="1"/>
  <c r="O20" i="1"/>
  <c r="U14" i="1"/>
  <c r="O14" i="1"/>
  <c r="U8" i="1"/>
  <c r="O8" i="1"/>
  <c r="U19" i="1"/>
  <c r="O19" i="1"/>
  <c r="U9" i="1"/>
  <c r="O9" i="1"/>
  <c r="AK3" i="2"/>
  <c r="AD3" i="2"/>
  <c r="AE3" i="2" s="1"/>
  <c r="P3" i="2"/>
  <c r="AK13" i="2"/>
  <c r="AM13" i="2" s="1"/>
  <c r="AD13" i="2"/>
  <c r="AF13" i="2" s="1"/>
  <c r="P13" i="2"/>
  <c r="R13" i="2" s="1"/>
  <c r="W13" i="2"/>
  <c r="Y13" i="2" s="1"/>
  <c r="AD14" i="2"/>
  <c r="AF14" i="2" s="1"/>
  <c r="W14" i="2"/>
  <c r="Y14" i="2" s="1"/>
  <c r="P14" i="2"/>
  <c r="R14" i="2" s="1"/>
  <c r="AE14" i="2"/>
  <c r="AG14" i="2" s="1"/>
  <c r="AH14" i="2" s="1"/>
  <c r="AK14" i="2"/>
  <c r="AM14" i="2" s="1"/>
  <c r="AL14" i="2"/>
  <c r="AN14" i="2" s="1"/>
  <c r="AD15" i="2"/>
  <c r="AF15" i="2" s="1"/>
  <c r="P15" i="2"/>
  <c r="R15" i="2" s="1"/>
  <c r="W15" i="2"/>
  <c r="Y15" i="2" s="1"/>
  <c r="AK15" i="2"/>
  <c r="AM15" i="2" s="1"/>
  <c r="AL15" i="2"/>
  <c r="AN15" i="2" s="1"/>
  <c r="P4" i="2"/>
  <c r="R4" i="2" s="1"/>
  <c r="AD4" i="2"/>
  <c r="AF4" i="2" s="1"/>
  <c r="Q4" i="2"/>
  <c r="S4" i="2" s="1"/>
  <c r="AE4" i="2"/>
  <c r="AG4" i="2" s="1"/>
  <c r="AH4" i="2" s="1"/>
  <c r="AK4" i="2"/>
  <c r="AM4" i="2" s="1"/>
  <c r="W4" i="2"/>
  <c r="W16" i="2"/>
  <c r="Y16" i="2" s="1"/>
  <c r="P16" i="2"/>
  <c r="R16" i="2" s="1"/>
  <c r="X16" i="2"/>
  <c r="Z16" i="2" s="1"/>
  <c r="AD16" i="2"/>
  <c r="AF16" i="2" s="1"/>
  <c r="Q16" i="2"/>
  <c r="S16" i="2" s="1"/>
  <c r="AE16" i="2"/>
  <c r="AG16" i="2" s="1"/>
  <c r="AK16" i="2"/>
  <c r="AM16" i="2" s="1"/>
  <c r="P11" i="2"/>
  <c r="R11" i="2" s="1"/>
  <c r="Q11" i="2"/>
  <c r="S11" i="2" s="1"/>
  <c r="AK11" i="2"/>
  <c r="AM11" i="2" s="1"/>
  <c r="AL11" i="2"/>
  <c r="AN11" i="2" s="1"/>
  <c r="W11" i="2"/>
  <c r="Y11" i="2" s="1"/>
  <c r="AD11" i="2"/>
  <c r="AF11" i="2" s="1"/>
  <c r="W20" i="2"/>
  <c r="Y20" i="2" s="1"/>
  <c r="AD20" i="2"/>
  <c r="AF20" i="2" s="1"/>
  <c r="X20" i="2"/>
  <c r="Z20" i="2" s="1"/>
  <c r="AK20" i="2"/>
  <c r="AM20" i="2" s="1"/>
  <c r="P20" i="2"/>
  <c r="R20" i="2" s="1"/>
  <c r="AD10" i="2"/>
  <c r="AF10" i="2" s="1"/>
  <c r="AE10" i="2"/>
  <c r="AG10" i="2" s="1"/>
  <c r="AH10" i="2" s="1"/>
  <c r="W10" i="2"/>
  <c r="Y10" i="2" s="1"/>
  <c r="X10" i="2"/>
  <c r="Z10" i="2" s="1"/>
  <c r="P10" i="2"/>
  <c r="R10" i="2" s="1"/>
  <c r="AK10" i="2"/>
  <c r="AM10" i="2" s="1"/>
  <c r="AK22" i="2"/>
  <c r="AM22" i="2" s="1"/>
  <c r="AL22" i="2"/>
  <c r="AN22" i="2" s="1"/>
  <c r="AD22" i="2"/>
  <c r="AF22" i="2" s="1"/>
  <c r="W22" i="2"/>
  <c r="Y22" i="2" s="1"/>
  <c r="P22" i="2"/>
  <c r="R22" i="2" s="1"/>
  <c r="P18" i="2"/>
  <c r="R18" i="2" s="1"/>
  <c r="AK18" i="2"/>
  <c r="AM18" i="2" s="1"/>
  <c r="Q18" i="2"/>
  <c r="S18" i="2" s="1"/>
  <c r="W18" i="2"/>
  <c r="Y18" i="2" s="1"/>
  <c r="AD18" i="2"/>
  <c r="AF18" i="2" s="1"/>
  <c r="AK21" i="2"/>
  <c r="AM21" i="2" s="1"/>
  <c r="P21" i="2"/>
  <c r="R21" i="2" s="1"/>
  <c r="W21" i="2"/>
  <c r="Y21" i="2" s="1"/>
  <c r="AD21" i="2"/>
  <c r="AF21" i="2" s="1"/>
  <c r="AL21" i="2"/>
  <c r="AN21" i="2" s="1"/>
  <c r="W17" i="2"/>
  <c r="Y17" i="2" s="1"/>
  <c r="P17" i="2"/>
  <c r="R17" i="2" s="1"/>
  <c r="AD17" i="2"/>
  <c r="AF17" i="2" s="1"/>
  <c r="AK17" i="2"/>
  <c r="AM17" i="2" s="1"/>
  <c r="AD12" i="2"/>
  <c r="AF12" i="2" s="1"/>
  <c r="P12" i="2"/>
  <c r="R12" i="2" s="1"/>
  <c r="Q12" i="2"/>
  <c r="S12" i="2" s="1"/>
  <c r="W12" i="2"/>
  <c r="Y12" i="2" s="1"/>
  <c r="X12" i="2"/>
  <c r="Z12" i="2" s="1"/>
  <c r="AK12" i="2"/>
  <c r="AM12" i="2" s="1"/>
  <c r="AD6" i="2"/>
  <c r="AF6" i="2" s="1"/>
  <c r="AK6" i="2"/>
  <c r="AM6" i="2" s="1"/>
  <c r="P6" i="2"/>
  <c r="R6" i="2" s="1"/>
  <c r="W6" i="2"/>
  <c r="Y6" i="2" s="1"/>
  <c r="AL6" i="2"/>
  <c r="AN6" i="2" s="1"/>
  <c r="AK19" i="2"/>
  <c r="AM19" i="2" s="1"/>
  <c r="P19" i="2"/>
  <c r="R19" i="2" s="1"/>
  <c r="W19" i="2"/>
  <c r="Y19" i="2" s="1"/>
  <c r="AD19" i="2"/>
  <c r="AF19" i="2" s="1"/>
  <c r="AL19" i="2"/>
  <c r="AN19" i="2" s="1"/>
  <c r="X19" i="2"/>
  <c r="Z19" i="2" s="1"/>
  <c r="Q19" i="2"/>
  <c r="S19" i="2" s="1"/>
  <c r="P5" i="2"/>
  <c r="R5" i="2" s="1"/>
  <c r="W5" i="2"/>
  <c r="Q5" i="2"/>
  <c r="S5" i="2" s="1"/>
  <c r="AK5" i="2"/>
  <c r="AM5" i="2" s="1"/>
  <c r="AD5" i="2"/>
  <c r="AF5" i="2" s="1"/>
  <c r="AD8" i="2"/>
  <c r="AF8" i="2" s="1"/>
  <c r="AE8" i="2"/>
  <c r="AG8" i="2" s="1"/>
  <c r="AH8" i="2" s="1"/>
  <c r="W8" i="2"/>
  <c r="Y8" i="2" s="1"/>
  <c r="AK8" i="2"/>
  <c r="AM8" i="2" s="1"/>
  <c r="X8" i="2"/>
  <c r="Z8" i="2" s="1"/>
  <c r="P8" i="2"/>
  <c r="R8" i="2" s="1"/>
  <c r="Q8" i="2"/>
  <c r="S8" i="2" s="1"/>
  <c r="AD7" i="2"/>
  <c r="AF7" i="2" s="1"/>
  <c r="P7" i="2"/>
  <c r="R7" i="2" s="1"/>
  <c r="AK7" i="2"/>
  <c r="AM7" i="2" s="1"/>
  <c r="W7" i="2"/>
  <c r="AD9" i="2"/>
  <c r="AF9" i="2" s="1"/>
  <c r="AE9" i="2"/>
  <c r="AG9" i="2" s="1"/>
  <c r="P9" i="2"/>
  <c r="R9" i="2" s="1"/>
  <c r="AK9" i="2"/>
  <c r="AM9" i="2" s="1"/>
  <c r="W9" i="2"/>
  <c r="Y9" i="2" s="1"/>
  <c r="Q9" i="2"/>
  <c r="S9" i="2" s="1"/>
  <c r="AY4" i="2"/>
  <c r="AZ4" i="2" s="1"/>
  <c r="AY16" i="2"/>
  <c r="AZ16" i="2" s="1"/>
  <c r="AY22" i="2"/>
  <c r="AZ22" i="2" s="1"/>
  <c r="AY18" i="2"/>
  <c r="AZ18" i="2" s="1"/>
  <c r="AY21" i="2"/>
  <c r="AZ21" i="2" s="1"/>
  <c r="AY12" i="2"/>
  <c r="AZ12" i="2" s="1"/>
  <c r="AY19" i="2"/>
  <c r="AZ19" i="2" s="1"/>
  <c r="AY8" i="2"/>
  <c r="AZ8" i="2" s="1"/>
  <c r="AY11" i="2"/>
  <c r="AZ11" i="2" s="1"/>
  <c r="AY20" i="2"/>
  <c r="AZ20" i="2" s="1"/>
  <c r="AY10" i="2"/>
  <c r="AZ10" i="2" s="1"/>
  <c r="AY7" i="2"/>
  <c r="AZ7" i="2" s="1"/>
  <c r="AY9" i="2"/>
  <c r="AZ9" i="2" s="1"/>
  <c r="J20" i="1"/>
  <c r="J11" i="1"/>
  <c r="J21" i="1"/>
  <c r="L27" i="2"/>
  <c r="AR17" i="2"/>
  <c r="AS17" i="2" s="1"/>
  <c r="AY17" i="2"/>
  <c r="AZ17" i="2" s="1"/>
  <c r="J19" i="1"/>
  <c r="J7" i="1"/>
  <c r="J17" i="1"/>
  <c r="J5" i="1"/>
  <c r="BF6" i="2"/>
  <c r="BH6" i="2" s="1"/>
  <c r="AY6" i="2"/>
  <c r="AZ6" i="2" s="1"/>
  <c r="J4" i="1"/>
  <c r="AY5" i="2"/>
  <c r="AZ5" i="2" s="1"/>
  <c r="J12" i="1"/>
  <c r="AY13" i="2"/>
  <c r="AZ13" i="2" s="1"/>
  <c r="AY3" i="2"/>
  <c r="AZ3" i="2" s="1"/>
  <c r="J13" i="1"/>
  <c r="AY14" i="2"/>
  <c r="AZ14" i="2" s="1"/>
  <c r="J16" i="1"/>
  <c r="J14" i="1"/>
  <c r="AY15" i="2"/>
  <c r="AZ15" i="2" s="1"/>
  <c r="AR4" i="2"/>
  <c r="AS4" i="2" s="1"/>
  <c r="BM4" i="2"/>
  <c r="BF4" i="2"/>
  <c r="J3" i="1"/>
  <c r="AR9" i="2"/>
  <c r="AS9" i="2" s="1"/>
  <c r="BF9" i="2"/>
  <c r="BH9" i="2" s="1"/>
  <c r="BM9" i="2"/>
  <c r="BO9" i="2" s="1"/>
  <c r="J8" i="1"/>
  <c r="BM7" i="2"/>
  <c r="BO7" i="2" s="1"/>
  <c r="BF7" i="2"/>
  <c r="BH7" i="2" s="1"/>
  <c r="AR7" i="2"/>
  <c r="AS7" i="2" s="1"/>
  <c r="J6" i="1"/>
  <c r="BF10" i="2"/>
  <c r="BH10" i="2" s="1"/>
  <c r="BM10" i="2"/>
  <c r="BO10" i="2" s="1"/>
  <c r="AR10" i="2"/>
  <c r="AT10" i="2" s="1"/>
  <c r="BF18" i="2"/>
  <c r="BH18" i="2" s="1"/>
  <c r="AR18" i="2"/>
  <c r="AS18" i="2" s="1"/>
  <c r="AU18" i="2" s="1"/>
  <c r="BM18" i="2"/>
  <c r="BO18" i="2" s="1"/>
  <c r="K11" i="2"/>
  <c r="K10" i="1" s="1"/>
  <c r="L10" i="1" s="1"/>
  <c r="M10" i="1" s="1"/>
  <c r="N10" i="1" s="1"/>
  <c r="AR11" i="2"/>
  <c r="AS11" i="2" s="1"/>
  <c r="BF11" i="2"/>
  <c r="BH11" i="2" s="1"/>
  <c r="BM11" i="2"/>
  <c r="BO11" i="2" s="1"/>
  <c r="K17" i="2"/>
  <c r="K16" i="1" s="1"/>
  <c r="L16" i="1" s="1"/>
  <c r="M16" i="1" s="1"/>
  <c r="BF17" i="2"/>
  <c r="BH17" i="2" s="1"/>
  <c r="BM17" i="2"/>
  <c r="BO17" i="2" s="1"/>
  <c r="AR6" i="2"/>
  <c r="AT6" i="2" s="1"/>
  <c r="BM6" i="2"/>
  <c r="BO6" i="2" s="1"/>
  <c r="J10" i="1"/>
  <c r="K6" i="2"/>
  <c r="K5" i="1" s="1"/>
  <c r="L5" i="1" s="1"/>
  <c r="M5" i="1" s="1"/>
  <c r="N5" i="1" s="1"/>
  <c r="BF15" i="2"/>
  <c r="BH15" i="2" s="1"/>
  <c r="AR15" i="2"/>
  <c r="AS15" i="2" s="1"/>
  <c r="BM15" i="2"/>
  <c r="BO15" i="2" s="1"/>
  <c r="BM3" i="2"/>
  <c r="BF3" i="2"/>
  <c r="AR3" i="2"/>
  <c r="J2" i="1"/>
  <c r="AR16" i="2"/>
  <c r="AS16" i="2" s="1"/>
  <c r="BF16" i="2"/>
  <c r="BH16" i="2" s="1"/>
  <c r="BM16" i="2"/>
  <c r="BO16" i="2" s="1"/>
  <c r="K21" i="2"/>
  <c r="K20" i="1" s="1"/>
  <c r="L20" i="1" s="1"/>
  <c r="M20" i="1" s="1"/>
  <c r="BM21" i="2"/>
  <c r="BO21" i="2" s="1"/>
  <c r="AR21" i="2"/>
  <c r="AS21" i="2" s="1"/>
  <c r="BF21" i="2"/>
  <c r="BH21" i="2" s="1"/>
  <c r="J15" i="1"/>
  <c r="BF5" i="2"/>
  <c r="BH5" i="2" s="1"/>
  <c r="BM5" i="2"/>
  <c r="BO5" i="2" s="1"/>
  <c r="AR5" i="2"/>
  <c r="AS5" i="2" s="1"/>
  <c r="K19" i="2"/>
  <c r="K18" i="1" s="1"/>
  <c r="L18" i="1" s="1"/>
  <c r="M18" i="1" s="1"/>
  <c r="BF19" i="2"/>
  <c r="BH19" i="2" s="1"/>
  <c r="AR19" i="2"/>
  <c r="AS19" i="2" s="1"/>
  <c r="BM19" i="2"/>
  <c r="BO19" i="2" s="1"/>
  <c r="J18" i="1"/>
  <c r="BM8" i="2"/>
  <c r="BO8" i="2" s="1"/>
  <c r="AR8" i="2"/>
  <c r="AS8" i="2" s="1"/>
  <c r="BF8" i="2"/>
  <c r="BH8" i="2" s="1"/>
  <c r="K13" i="2"/>
  <c r="K12" i="1" s="1"/>
  <c r="L12" i="1" s="1"/>
  <c r="BF13" i="2"/>
  <c r="BH13" i="2" s="1"/>
  <c r="BM13" i="2"/>
  <c r="BO13" i="2" s="1"/>
  <c r="AR13" i="2"/>
  <c r="AS13" i="2" s="1"/>
  <c r="AU13" i="2" s="1"/>
  <c r="K14" i="2"/>
  <c r="K13" i="1" s="1"/>
  <c r="L13" i="1" s="1"/>
  <c r="AR14" i="2"/>
  <c r="AS14" i="2" s="1"/>
  <c r="BF14" i="2"/>
  <c r="BH14" i="2" s="1"/>
  <c r="BM14" i="2"/>
  <c r="BO14" i="2" s="1"/>
  <c r="BF22" i="2"/>
  <c r="BH22" i="2" s="1"/>
  <c r="BM22" i="2"/>
  <c r="BO22" i="2" s="1"/>
  <c r="AR22" i="2"/>
  <c r="AT22" i="2" s="1"/>
  <c r="K20" i="2"/>
  <c r="K19" i="1" s="1"/>
  <c r="L19" i="1" s="1"/>
  <c r="M19" i="1" s="1"/>
  <c r="BM20" i="2"/>
  <c r="AR20" i="2"/>
  <c r="AS20" i="2" s="1"/>
  <c r="BF20" i="2"/>
  <c r="K12" i="2"/>
  <c r="M12" i="2" s="1"/>
  <c r="L12" i="2" s="1"/>
  <c r="AR12" i="2"/>
  <c r="AS12" i="2" s="1"/>
  <c r="BM12" i="2"/>
  <c r="BF12" i="2"/>
  <c r="J9" i="1"/>
  <c r="L56" i="15"/>
  <c r="L17" i="15"/>
  <c r="L18" i="15"/>
  <c r="L19" i="15"/>
  <c r="L22" i="15"/>
  <c r="L48" i="15"/>
  <c r="L6" i="15"/>
  <c r="L8" i="15"/>
  <c r="L24" i="15"/>
  <c r="L50" i="15"/>
  <c r="L4" i="15"/>
  <c r="L10" i="15"/>
  <c r="L26" i="15"/>
  <c r="L51" i="15"/>
  <c r="L3" i="15"/>
  <c r="L11" i="15"/>
  <c r="L27" i="15"/>
  <c r="L52" i="15"/>
  <c r="L40" i="15"/>
  <c r="L74" i="15"/>
  <c r="L25" i="15"/>
  <c r="L41" i="15"/>
  <c r="L46" i="15"/>
  <c r="L7" i="15"/>
  <c r="L23" i="15"/>
  <c r="L49" i="15"/>
  <c r="L53" i="15"/>
  <c r="L13" i="15"/>
  <c r="L44" i="15"/>
  <c r="L30" i="15"/>
  <c r="L31" i="15"/>
  <c r="L28" i="15"/>
  <c r="L36" i="15"/>
  <c r="L9" i="15"/>
  <c r="L34" i="15"/>
  <c r="L84" i="15"/>
  <c r="J78" i="15"/>
  <c r="L2" i="15"/>
  <c r="L37" i="15"/>
  <c r="J79" i="15"/>
  <c r="L33" i="15"/>
  <c r="L12" i="15"/>
  <c r="L5" i="15"/>
  <c r="L20" i="15"/>
  <c r="L55" i="15"/>
  <c r="L57" i="15"/>
  <c r="J80" i="15"/>
  <c r="L80" i="15"/>
  <c r="L68" i="15"/>
  <c r="L38" i="15"/>
  <c r="L79" i="15"/>
  <c r="J69" i="15"/>
  <c r="J84" i="15"/>
  <c r="J74" i="15"/>
  <c r="L87" i="15"/>
  <c r="J85" i="15"/>
  <c r="L16" i="15"/>
  <c r="L14" i="15"/>
  <c r="J68" i="15"/>
  <c r="J55" i="15"/>
  <c r="L83" i="15"/>
  <c r="L15" i="15"/>
  <c r="J89" i="15"/>
  <c r="J71" i="15"/>
  <c r="J70" i="15"/>
  <c r="J75" i="15"/>
  <c r="L29" i="15"/>
  <c r="L43" i="15"/>
  <c r="L77" i="15"/>
  <c r="L88" i="15"/>
  <c r="J82" i="15"/>
  <c r="J77" i="15"/>
  <c r="J76" i="15"/>
  <c r="L86" i="15"/>
  <c r="L85" i="15"/>
  <c r="L42" i="15"/>
  <c r="L72" i="15"/>
  <c r="J72" i="15"/>
  <c r="J57" i="15"/>
  <c r="L47" i="15"/>
  <c r="J81" i="15"/>
  <c r="J73" i="15"/>
  <c r="L71" i="15"/>
  <c r="J83" i="15"/>
  <c r="J88" i="15"/>
  <c r="L81" i="15"/>
  <c r="L39" i="15"/>
  <c r="L82" i="15"/>
  <c r="L58" i="15"/>
  <c r="L89" i="15"/>
  <c r="L73" i="15"/>
  <c r="L76" i="15"/>
  <c r="L69" i="15"/>
  <c r="L32" i="15"/>
  <c r="J86" i="15"/>
  <c r="L75" i="15"/>
  <c r="L78" i="15"/>
  <c r="L70" i="15"/>
  <c r="L54" i="15"/>
  <c r="L35" i="15"/>
  <c r="L45" i="15"/>
  <c r="L21" i="15"/>
  <c r="J87" i="15"/>
  <c r="K5" i="2"/>
  <c r="K22" i="2"/>
  <c r="K21" i="1" s="1"/>
  <c r="L21" i="1" s="1"/>
  <c r="M21" i="1" s="1"/>
  <c r="K4" i="2"/>
  <c r="K3" i="1" s="1"/>
  <c r="L3" i="1" s="1"/>
  <c r="M3" i="1" s="1"/>
  <c r="N3" i="1" s="1"/>
  <c r="C6" i="5"/>
  <c r="K3" i="2"/>
  <c r="K10" i="2"/>
  <c r="K9" i="2"/>
  <c r="K7" i="2"/>
  <c r="K18" i="2"/>
  <c r="K17" i="1" s="1"/>
  <c r="L17" i="1" s="1"/>
  <c r="M17" i="1" s="1"/>
  <c r="K16" i="2"/>
  <c r="K15" i="2"/>
  <c r="K8" i="2"/>
  <c r="AE15" i="2" l="1"/>
  <c r="AG15" i="2" s="1"/>
  <c r="AE12" i="2"/>
  <c r="AG12" i="2" s="1"/>
  <c r="AH12" i="2" s="1"/>
  <c r="AE13" i="2"/>
  <c r="AG13" i="2" s="1"/>
  <c r="AE19" i="2"/>
  <c r="AG19" i="2" s="1"/>
  <c r="AE6" i="2"/>
  <c r="AG6" i="2" s="1"/>
  <c r="AH6" i="2" s="1"/>
  <c r="AE17" i="2"/>
  <c r="AG17" i="2" s="1"/>
  <c r="AH17" i="2" s="1"/>
  <c r="AE5" i="2"/>
  <c r="AG5" i="2" s="1"/>
  <c r="AH5" i="2" s="1"/>
  <c r="AE20" i="2"/>
  <c r="AG20" i="2" s="1"/>
  <c r="AH20" i="2" s="1"/>
  <c r="Y4" i="2"/>
  <c r="X14" i="2"/>
  <c r="Z14" i="2" s="1"/>
  <c r="X6" i="2"/>
  <c r="Z6" i="2" s="1"/>
  <c r="AG3" i="2"/>
  <c r="Z3" i="2"/>
  <c r="AO12" i="2"/>
  <c r="AH16" i="2"/>
  <c r="AA12" i="2"/>
  <c r="AE22" i="2"/>
  <c r="AG22" i="2" s="1"/>
  <c r="AH22" i="2" s="1"/>
  <c r="Q20" i="2"/>
  <c r="S20" i="2" s="1"/>
  <c r="T20" i="2" s="1"/>
  <c r="AH13" i="2"/>
  <c r="T16" i="2"/>
  <c r="AL16" i="2"/>
  <c r="AN16" i="2" s="1"/>
  <c r="AO16" i="2" s="1"/>
  <c r="AO15" i="2"/>
  <c r="T8" i="2"/>
  <c r="AL12" i="2"/>
  <c r="AN12" i="2" s="1"/>
  <c r="Q22" i="2"/>
  <c r="S22" i="2" s="1"/>
  <c r="T22" i="2" s="1"/>
  <c r="X15" i="2"/>
  <c r="Z15" i="2" s="1"/>
  <c r="AA15" i="2" s="1"/>
  <c r="AH19" i="2"/>
  <c r="Q21" i="2"/>
  <c r="S21" i="2" s="1"/>
  <c r="AA8" i="2"/>
  <c r="Q15" i="2"/>
  <c r="S15" i="2" s="1"/>
  <c r="T15" i="2" s="1"/>
  <c r="AL8" i="2"/>
  <c r="AN8" i="2" s="1"/>
  <c r="AO8" i="2" s="1"/>
  <c r="T12" i="2"/>
  <c r="X22" i="2"/>
  <c r="Z22" i="2" s="1"/>
  <c r="AA22" i="2" s="1"/>
  <c r="AO13" i="2"/>
  <c r="AO19" i="2"/>
  <c r="AO22" i="2"/>
  <c r="AA16" i="2"/>
  <c r="AL13" i="2"/>
  <c r="AN13" i="2" s="1"/>
  <c r="X18" i="2"/>
  <c r="Z18" i="2" s="1"/>
  <c r="AA18" i="2" s="1"/>
  <c r="AO10" i="2"/>
  <c r="AH9" i="2"/>
  <c r="AL17" i="2"/>
  <c r="AN17" i="2" s="1"/>
  <c r="AO17" i="2" s="1"/>
  <c r="AH18" i="2"/>
  <c r="X4" i="2"/>
  <c r="Z4" i="2" s="1"/>
  <c r="AA4" i="2" s="1"/>
  <c r="AO14" i="2"/>
  <c r="AE7" i="2"/>
  <c r="AG7" i="2" s="1"/>
  <c r="AH7" i="2" s="1"/>
  <c r="Q6" i="2"/>
  <c r="S6" i="2" s="1"/>
  <c r="Q17" i="2"/>
  <c r="S17" i="2" s="1"/>
  <c r="AE18" i="2"/>
  <c r="AG18" i="2" s="1"/>
  <c r="R3" i="2"/>
  <c r="X7" i="2"/>
  <c r="Z7" i="2" s="1"/>
  <c r="Y7" i="2"/>
  <c r="AA7" i="2" s="1"/>
  <c r="AL5" i="2"/>
  <c r="AN5" i="2" s="1"/>
  <c r="AA6" i="2"/>
  <c r="AL18" i="2"/>
  <c r="AN18" i="2" s="1"/>
  <c r="AA10" i="2"/>
  <c r="AO11" i="2"/>
  <c r="AL4" i="2"/>
  <c r="AN4" i="2" s="1"/>
  <c r="AO4" i="2" s="1"/>
  <c r="Q14" i="2"/>
  <c r="S14" i="2" s="1"/>
  <c r="Q3" i="2"/>
  <c r="X13" i="2"/>
  <c r="Z13" i="2" s="1"/>
  <c r="AA13" i="2" s="1"/>
  <c r="T21" i="2"/>
  <c r="AL20" i="2"/>
  <c r="AN20" i="2" s="1"/>
  <c r="AO20" i="2" s="1"/>
  <c r="AO9" i="2"/>
  <c r="X9" i="2"/>
  <c r="Z9" i="2" s="1"/>
  <c r="AA9" i="2" s="1"/>
  <c r="AA19" i="2"/>
  <c r="AE21" i="2"/>
  <c r="AG21" i="2" s="1"/>
  <c r="AH21" i="2" s="1"/>
  <c r="Q13" i="2"/>
  <c r="S13" i="2" s="1"/>
  <c r="T13" i="2" s="1"/>
  <c r="T9" i="2"/>
  <c r="T19" i="2"/>
  <c r="AO21" i="2"/>
  <c r="AL9" i="2"/>
  <c r="AN9" i="2" s="1"/>
  <c r="X21" i="2"/>
  <c r="Z21" i="2" s="1"/>
  <c r="AA21" i="2" s="1"/>
  <c r="AA20" i="2"/>
  <c r="AH15" i="2"/>
  <c r="BA16" i="2"/>
  <c r="AO7" i="2"/>
  <c r="AO5" i="2"/>
  <c r="T6" i="2"/>
  <c r="T17" i="2"/>
  <c r="T14" i="2"/>
  <c r="BB4" i="2"/>
  <c r="AL10" i="2"/>
  <c r="AN10" i="2" s="1"/>
  <c r="T11" i="2"/>
  <c r="AF3" i="2"/>
  <c r="BA4" i="2"/>
  <c r="Q7" i="2"/>
  <c r="S7" i="2" s="1"/>
  <c r="T7" i="2" s="1"/>
  <c r="X5" i="2"/>
  <c r="Z5" i="2" s="1"/>
  <c r="Y5" i="2"/>
  <c r="AA5" i="2" s="1"/>
  <c r="AO6" i="2"/>
  <c r="AA17" i="2"/>
  <c r="AO18" i="2"/>
  <c r="Q10" i="2"/>
  <c r="S10" i="2" s="1"/>
  <c r="T10" i="2" s="1"/>
  <c r="AE11" i="2"/>
  <c r="AG11" i="2" s="1"/>
  <c r="AH11" i="2" s="1"/>
  <c r="AA14" i="2"/>
  <c r="AM3" i="2"/>
  <c r="AL7" i="2"/>
  <c r="AN7" i="2" s="1"/>
  <c r="T5" i="2"/>
  <c r="X17" i="2"/>
  <c r="Z17" i="2" s="1"/>
  <c r="T18" i="2"/>
  <c r="X11" i="2"/>
  <c r="Z11" i="2" s="1"/>
  <c r="AA11" i="2" s="1"/>
  <c r="T4" i="2"/>
  <c r="AL3" i="2"/>
  <c r="BG5" i="2"/>
  <c r="BI5" i="2" s="1"/>
  <c r="BJ5" i="2" s="1"/>
  <c r="BG9" i="2"/>
  <c r="BI9" i="2" s="1"/>
  <c r="BJ9" i="2" s="1"/>
  <c r="BB17" i="2"/>
  <c r="BA15" i="2"/>
  <c r="BA17" i="2"/>
  <c r="BA9" i="2"/>
  <c r="BA11" i="2"/>
  <c r="BA22" i="2"/>
  <c r="BB20" i="2"/>
  <c r="BB7" i="2"/>
  <c r="BA20" i="2"/>
  <c r="BA8" i="2"/>
  <c r="BB14" i="2"/>
  <c r="BA19" i="2"/>
  <c r="BA21" i="2"/>
  <c r="BB21" i="2"/>
  <c r="BC21" i="2" s="1"/>
  <c r="BB11" i="2"/>
  <c r="BB9" i="2"/>
  <c r="BA10" i="2"/>
  <c r="BB19" i="2"/>
  <c r="AS3" i="2"/>
  <c r="AU3" i="2" s="1"/>
  <c r="AT3" i="2"/>
  <c r="BG6" i="2"/>
  <c r="BI6" i="2" s="1"/>
  <c r="BJ6" i="2" s="1"/>
  <c r="BA12" i="2"/>
  <c r="BA18" i="2"/>
  <c r="BA7" i="2"/>
  <c r="BA14" i="2"/>
  <c r="BA5" i="2"/>
  <c r="AU4" i="2"/>
  <c r="M17" i="2"/>
  <c r="L17" i="2" s="1"/>
  <c r="BB5" i="2"/>
  <c r="BB26" i="2"/>
  <c r="M14" i="2"/>
  <c r="L14" i="2" s="1"/>
  <c r="K2" i="1"/>
  <c r="L2" i="1" s="1"/>
  <c r="L29" i="2"/>
  <c r="L30" i="2" s="1"/>
  <c r="L24" i="2"/>
  <c r="BA3" i="2"/>
  <c r="BG18" i="2"/>
  <c r="BI18" i="2" s="1"/>
  <c r="BJ18" i="2" s="1"/>
  <c r="K11" i="1"/>
  <c r="L11" i="1" s="1"/>
  <c r="M11" i="1" s="1"/>
  <c r="N11" i="1" s="1"/>
  <c r="M22" i="2"/>
  <c r="L22" i="2" s="1"/>
  <c r="N20" i="1"/>
  <c r="M11" i="2"/>
  <c r="L11" i="2" s="1"/>
  <c r="BN16" i="2"/>
  <c r="BP16" i="2" s="1"/>
  <c r="BQ16" i="2" s="1"/>
  <c r="BG22" i="2"/>
  <c r="BI22" i="2" s="1"/>
  <c r="BJ22" i="2" s="1"/>
  <c r="BN21" i="2"/>
  <c r="BP21" i="2" s="1"/>
  <c r="BQ21" i="2" s="1"/>
  <c r="BN14" i="2"/>
  <c r="BP14" i="2" s="1"/>
  <c r="BQ14" i="2" s="1"/>
  <c r="BG8" i="2"/>
  <c r="BI8" i="2" s="1"/>
  <c r="BJ8" i="2" s="1"/>
  <c r="BN22" i="2"/>
  <c r="BP22" i="2" s="1"/>
  <c r="BQ22" i="2" s="1"/>
  <c r="BB15" i="2"/>
  <c r="AU15" i="2"/>
  <c r="AT15" i="2"/>
  <c r="AS6" i="2"/>
  <c r="AU6" i="2" s="1"/>
  <c r="AV6" i="2" s="1"/>
  <c r="V5" i="1" s="1"/>
  <c r="W5" i="1" s="1"/>
  <c r="BG17" i="2"/>
  <c r="BI17" i="2" s="1"/>
  <c r="BJ17" i="2" s="1"/>
  <c r="BN8" i="2"/>
  <c r="BP8" i="2" s="1"/>
  <c r="BQ8" i="2" s="1"/>
  <c r="AT8" i="2"/>
  <c r="BG7" i="2"/>
  <c r="BI7" i="2" s="1"/>
  <c r="BJ7" i="2" s="1"/>
  <c r="AT5" i="2"/>
  <c r="BG15" i="2"/>
  <c r="BI15" i="2" s="1"/>
  <c r="BJ15" i="2" s="1"/>
  <c r="BO3" i="2"/>
  <c r="BP26" i="2"/>
  <c r="BN10" i="2"/>
  <c r="BP10" i="2" s="1"/>
  <c r="BQ10" i="2" s="1"/>
  <c r="BN18" i="2"/>
  <c r="BP18" i="2" s="1"/>
  <c r="BQ18" i="2" s="1"/>
  <c r="BH3" i="2"/>
  <c r="BG14" i="2"/>
  <c r="BI14" i="2" s="1"/>
  <c r="BJ14" i="2" s="1"/>
  <c r="AS10" i="2"/>
  <c r="BB10" i="2" s="1"/>
  <c r="AT12" i="2"/>
  <c r="AS22" i="2"/>
  <c r="AU22" i="2" s="1"/>
  <c r="AV22" i="2" s="1"/>
  <c r="V21" i="1" s="1"/>
  <c r="W21" i="1" s="1"/>
  <c r="AU26" i="2"/>
  <c r="BB16" i="2"/>
  <c r="AU16" i="2"/>
  <c r="BB8" i="2"/>
  <c r="AU8" i="2"/>
  <c r="M20" i="2"/>
  <c r="L20" i="2" s="1"/>
  <c r="AT16" i="2"/>
  <c r="BN11" i="2"/>
  <c r="BP11" i="2" s="1"/>
  <c r="BQ11" i="2" s="1"/>
  <c r="BN5" i="2"/>
  <c r="BP5" i="2" s="1"/>
  <c r="BQ5" i="2" s="1"/>
  <c r="BG16" i="2"/>
  <c r="BI16" i="2" s="1"/>
  <c r="BJ16" i="2" s="1"/>
  <c r="BN7" i="2"/>
  <c r="BP7" i="2" s="1"/>
  <c r="BQ7" i="2" s="1"/>
  <c r="BN4" i="2"/>
  <c r="BP4" i="2" s="1"/>
  <c r="BO4" i="2"/>
  <c r="BB22" i="2"/>
  <c r="BN13" i="2"/>
  <c r="BP13" i="2" s="1"/>
  <c r="BQ13" i="2" s="1"/>
  <c r="BB12" i="2"/>
  <c r="BG21" i="2"/>
  <c r="BI21" i="2" s="1"/>
  <c r="BJ21" i="2" s="1"/>
  <c r="BN15" i="2"/>
  <c r="BP15" i="2" s="1"/>
  <c r="BQ15" i="2" s="1"/>
  <c r="BN17" i="2"/>
  <c r="BP17" i="2" s="1"/>
  <c r="BQ17" i="2" s="1"/>
  <c r="J28" i="1"/>
  <c r="BG4" i="2"/>
  <c r="BI4" i="2" s="1"/>
  <c r="BH4" i="2"/>
  <c r="M6" i="2"/>
  <c r="L6" i="2" s="1"/>
  <c r="BN12" i="2"/>
  <c r="BP12" i="2" s="1"/>
  <c r="BO12" i="2"/>
  <c r="M19" i="2"/>
  <c r="L19" i="2" s="1"/>
  <c r="BG19" i="2"/>
  <c r="BI19" i="2" s="1"/>
  <c r="BJ19" i="2" s="1"/>
  <c r="BG11" i="2"/>
  <c r="BI11" i="2" s="1"/>
  <c r="BJ11" i="2" s="1"/>
  <c r="BN6" i="2"/>
  <c r="BP6" i="2" s="1"/>
  <c r="BQ6" i="2" s="1"/>
  <c r="BG12" i="2"/>
  <c r="BI12" i="2" s="1"/>
  <c r="BH12" i="2"/>
  <c r="BN3" i="2"/>
  <c r="M13" i="2"/>
  <c r="L13" i="2" s="1"/>
  <c r="BG20" i="2"/>
  <c r="BI20" i="2" s="1"/>
  <c r="BH20" i="2"/>
  <c r="BG10" i="2"/>
  <c r="BI10" i="2" s="1"/>
  <c r="BJ10" i="2" s="1"/>
  <c r="N21" i="1"/>
  <c r="BN19" i="2"/>
  <c r="BP19" i="2" s="1"/>
  <c r="BQ19" i="2" s="1"/>
  <c r="BN9" i="2"/>
  <c r="BP9" i="2" s="1"/>
  <c r="BQ9" i="2" s="1"/>
  <c r="N19" i="1"/>
  <c r="BG13" i="2"/>
  <c r="BI13" i="2" s="1"/>
  <c r="BJ13" i="2" s="1"/>
  <c r="BB13" i="2"/>
  <c r="BA13" i="2"/>
  <c r="BB6" i="2"/>
  <c r="BA6" i="2"/>
  <c r="AU5" i="2"/>
  <c r="BG3" i="2"/>
  <c r="BB18" i="2"/>
  <c r="M21" i="2"/>
  <c r="L21" i="2" s="1"/>
  <c r="BN20" i="2"/>
  <c r="BP20" i="2" s="1"/>
  <c r="BO20" i="2"/>
  <c r="AT4" i="2"/>
  <c r="K4" i="1"/>
  <c r="L4" i="1" s="1"/>
  <c r="M4" i="1" s="1"/>
  <c r="N4" i="1" s="1"/>
  <c r="M5" i="2"/>
  <c r="L5" i="2" s="1"/>
  <c r="M4" i="2"/>
  <c r="L4" i="2" s="1"/>
  <c r="M3" i="2"/>
  <c r="L3" i="2" s="1"/>
  <c r="AT13" i="2"/>
  <c r="N18" i="1"/>
  <c r="M12" i="1"/>
  <c r="N12" i="1" s="1"/>
  <c r="M13" i="1"/>
  <c r="K15" i="1"/>
  <c r="L15" i="1" s="1"/>
  <c r="M16" i="2"/>
  <c r="L16" i="2" s="1"/>
  <c r="M18" i="2"/>
  <c r="L18" i="2" s="1"/>
  <c r="K6" i="1"/>
  <c r="L6" i="1" s="1"/>
  <c r="M6" i="1" s="1"/>
  <c r="N6" i="1" s="1"/>
  <c r="M7" i="2"/>
  <c r="L7" i="2" s="1"/>
  <c r="K8" i="1"/>
  <c r="L8" i="1" s="1"/>
  <c r="M8" i="1" s="1"/>
  <c r="N8" i="1" s="1"/>
  <c r="M9" i="2"/>
  <c r="L9" i="2" s="1"/>
  <c r="K9" i="1"/>
  <c r="L9" i="1" s="1"/>
  <c r="M9" i="1" s="1"/>
  <c r="N9" i="1" s="1"/>
  <c r="M10" i="2"/>
  <c r="L10" i="2" s="1"/>
  <c r="K7" i="1"/>
  <c r="L7" i="1" s="1"/>
  <c r="M7" i="1" s="1"/>
  <c r="N7" i="1" s="1"/>
  <c r="M8" i="2"/>
  <c r="L8" i="2" s="1"/>
  <c r="AU12" i="2"/>
  <c r="K14" i="1"/>
  <c r="L14" i="1" s="1"/>
  <c r="M15" i="2"/>
  <c r="L15" i="2" s="1"/>
  <c r="AT14" i="2"/>
  <c r="AT19" i="2"/>
  <c r="AU19" i="2"/>
  <c r="AU17" i="2"/>
  <c r="AT17" i="2"/>
  <c r="AU11" i="2"/>
  <c r="AT11" i="2"/>
  <c r="AU20" i="2"/>
  <c r="AT20" i="2"/>
  <c r="AT9" i="2"/>
  <c r="AU9" i="2"/>
  <c r="AT18" i="2"/>
  <c r="AU7" i="2"/>
  <c r="AT7" i="2"/>
  <c r="AU21" i="2"/>
  <c r="AT21" i="2"/>
  <c r="AU14" i="2"/>
  <c r="AH3" i="2" l="1"/>
  <c r="BJ4" i="2"/>
  <c r="BC4" i="2"/>
  <c r="BC17" i="2"/>
  <c r="BC15" i="2"/>
  <c r="BC19" i="2"/>
  <c r="AA3" i="2"/>
  <c r="Z28" i="2" s="1"/>
  <c r="AG24" i="2"/>
  <c r="AG28" i="2"/>
  <c r="S3" i="2"/>
  <c r="T3" i="2" s="1"/>
  <c r="AN3" i="2"/>
  <c r="AO3" i="2" s="1"/>
  <c r="BC16" i="2"/>
  <c r="BC8" i="2"/>
  <c r="BC5" i="2"/>
  <c r="BC11" i="2"/>
  <c r="AV4" i="2"/>
  <c r="V3" i="1" s="1"/>
  <c r="W3" i="1" s="1"/>
  <c r="BC9" i="2"/>
  <c r="BC7" i="2"/>
  <c r="BC20" i="2"/>
  <c r="BC22" i="2"/>
  <c r="BC14" i="2"/>
  <c r="BC10" i="2"/>
  <c r="BC18" i="2"/>
  <c r="BC12" i="2"/>
  <c r="AV15" i="2"/>
  <c r="V14" i="1" s="1"/>
  <c r="W14" i="1" s="1"/>
  <c r="BP27" i="2"/>
  <c r="AV3" i="2"/>
  <c r="V2" i="1" s="1"/>
  <c r="W2" i="1" s="1"/>
  <c r="BJ20" i="2"/>
  <c r="AV5" i="2"/>
  <c r="V4" i="1" s="1"/>
  <c r="W4" i="1" s="1"/>
  <c r="BQ20" i="2"/>
  <c r="AV8" i="2"/>
  <c r="V7" i="1" s="1"/>
  <c r="W7" i="1" s="1"/>
  <c r="AU27" i="2"/>
  <c r="AV12" i="2"/>
  <c r="V11" i="1" s="1"/>
  <c r="W11" i="1" s="1"/>
  <c r="AU10" i="2"/>
  <c r="AV10" i="2" s="1"/>
  <c r="V9" i="1" s="1"/>
  <c r="W9" i="1" s="1"/>
  <c r="BQ4" i="2"/>
  <c r="BP3" i="2"/>
  <c r="BQ3" i="2" s="1"/>
  <c r="BI3" i="2"/>
  <c r="BJ3" i="2" s="1"/>
  <c r="BI27" i="2"/>
  <c r="AV16" i="2"/>
  <c r="V15" i="1" s="1"/>
  <c r="W15" i="1" s="1"/>
  <c r="BC6" i="2"/>
  <c r="BC13" i="2"/>
  <c r="BB3" i="2"/>
  <c r="BC3" i="2" s="1"/>
  <c r="BB27" i="2"/>
  <c r="BJ12" i="2"/>
  <c r="BQ12" i="2"/>
  <c r="F61" i="15"/>
  <c r="F48" i="15"/>
  <c r="F9" i="15"/>
  <c r="H49" i="15"/>
  <c r="F28" i="15"/>
  <c r="H67" i="15"/>
  <c r="H44" i="15"/>
  <c r="H29" i="15"/>
  <c r="F81" i="15"/>
  <c r="H37" i="15"/>
  <c r="F84" i="15"/>
  <c r="F72" i="15"/>
  <c r="H3" i="15"/>
  <c r="H34" i="15"/>
  <c r="H2" i="15"/>
  <c r="H56" i="15"/>
  <c r="F36" i="15"/>
  <c r="H38" i="15"/>
  <c r="F74" i="15"/>
  <c r="H40" i="15"/>
  <c r="F52" i="15"/>
  <c r="H16" i="15"/>
  <c r="H66" i="15"/>
  <c r="H8" i="15"/>
  <c r="H63" i="15"/>
  <c r="F51" i="15"/>
  <c r="H13" i="15"/>
  <c r="F46" i="15"/>
  <c r="F31" i="15"/>
  <c r="H30" i="15"/>
  <c r="F63" i="15"/>
  <c r="F39" i="15"/>
  <c r="F27" i="15"/>
  <c r="F83" i="15"/>
  <c r="F8" i="15"/>
  <c r="F89" i="15"/>
  <c r="F58" i="15"/>
  <c r="H22" i="15"/>
  <c r="H50" i="15"/>
  <c r="H47" i="15"/>
  <c r="F44" i="15"/>
  <c r="F24" i="15"/>
  <c r="F42" i="15"/>
  <c r="H4" i="15"/>
  <c r="F11" i="15"/>
  <c r="F18" i="15"/>
  <c r="F26" i="15"/>
  <c r="F10" i="15"/>
  <c r="F55" i="15"/>
  <c r="H33" i="15"/>
  <c r="F5" i="15"/>
  <c r="F56" i="15"/>
  <c r="H42" i="15"/>
  <c r="H26" i="15"/>
  <c r="H18" i="15"/>
  <c r="F59" i="15"/>
  <c r="H23" i="15"/>
  <c r="H51" i="15"/>
  <c r="F15" i="15"/>
  <c r="F32" i="15"/>
  <c r="F76" i="15"/>
  <c r="H54" i="15"/>
  <c r="F14" i="15"/>
  <c r="H65" i="15"/>
  <c r="H48" i="15"/>
  <c r="F80" i="15"/>
  <c r="F29" i="15"/>
  <c r="F13" i="15"/>
  <c r="F78" i="15"/>
  <c r="H19" i="15"/>
  <c r="H6" i="15"/>
  <c r="H52" i="15"/>
  <c r="H36" i="15"/>
  <c r="F38" i="15"/>
  <c r="F12" i="15"/>
  <c r="F41" i="15"/>
  <c r="F35" i="15"/>
  <c r="H20" i="15"/>
  <c r="H61" i="15"/>
  <c r="F25" i="15"/>
  <c r="F3" i="15"/>
  <c r="F53" i="15"/>
  <c r="H45" i="15"/>
  <c r="F77" i="15"/>
  <c r="F19" i="15"/>
  <c r="H35" i="15"/>
  <c r="F82" i="15"/>
  <c r="H17" i="15"/>
  <c r="H9" i="15"/>
  <c r="F86" i="15"/>
  <c r="H11" i="15"/>
  <c r="F75" i="15"/>
  <c r="H12" i="15"/>
  <c r="F21" i="15"/>
  <c r="H10" i="15"/>
  <c r="H31" i="15"/>
  <c r="F69" i="15"/>
  <c r="H53" i="15"/>
  <c r="F88" i="15"/>
  <c r="F22" i="15"/>
  <c r="F6" i="15"/>
  <c r="H5" i="15"/>
  <c r="F67" i="15"/>
  <c r="F73" i="15"/>
  <c r="F47" i="15"/>
  <c r="H58" i="15"/>
  <c r="H28" i="15"/>
  <c r="F37" i="15"/>
  <c r="F20" i="15"/>
  <c r="F68" i="15"/>
  <c r="F43" i="15"/>
  <c r="C2" i="15"/>
  <c r="F64" i="15"/>
  <c r="H15" i="15"/>
  <c r="H39" i="15"/>
  <c r="F50" i="15"/>
  <c r="F17" i="15"/>
  <c r="F60" i="15"/>
  <c r="F45" i="15"/>
  <c r="F49" i="15"/>
  <c r="F66" i="15"/>
  <c r="F40" i="15"/>
  <c r="H21" i="15"/>
  <c r="F54" i="15"/>
  <c r="F16" i="15"/>
  <c r="H25" i="15"/>
  <c r="F23" i="15"/>
  <c r="H32" i="15"/>
  <c r="F71" i="15"/>
  <c r="F33" i="15"/>
  <c r="F85" i="15"/>
  <c r="H7" i="15"/>
  <c r="F65" i="15"/>
  <c r="H62" i="15"/>
  <c r="H59" i="15"/>
  <c r="H27" i="15"/>
  <c r="H14" i="15"/>
  <c r="F57" i="15"/>
  <c r="H41" i="15"/>
  <c r="F62" i="15"/>
  <c r="F7" i="15"/>
  <c r="F4" i="15"/>
  <c r="F2" i="15"/>
  <c r="H64" i="15"/>
  <c r="F79" i="15"/>
  <c r="H24" i="15"/>
  <c r="H46" i="15"/>
  <c r="F70" i="15"/>
  <c r="F87" i="15"/>
  <c r="H60" i="15"/>
  <c r="F30" i="15"/>
  <c r="F34" i="15"/>
  <c r="H43" i="15"/>
  <c r="L22" i="1"/>
  <c r="AV13" i="2"/>
  <c r="V12" i="1" s="1"/>
  <c r="W12" i="1" s="1"/>
  <c r="N13" i="1"/>
  <c r="N17" i="1"/>
  <c r="M15" i="1"/>
  <c r="N15" i="1" s="1"/>
  <c r="M14" i="1"/>
  <c r="N14" i="1" s="1"/>
  <c r="M2" i="1"/>
  <c r="N16" i="1"/>
  <c r="AV11" i="2"/>
  <c r="V10" i="1" s="1"/>
  <c r="W10" i="1" s="1"/>
  <c r="AV7" i="2"/>
  <c r="V6" i="1" s="1"/>
  <c r="W6" i="1" s="1"/>
  <c r="AV21" i="2"/>
  <c r="V20" i="1" s="1"/>
  <c r="W20" i="1" s="1"/>
  <c r="AV20" i="2"/>
  <c r="V19" i="1" s="1"/>
  <c r="W19" i="1" s="1"/>
  <c r="AV17" i="2"/>
  <c r="V16" i="1" s="1"/>
  <c r="W16" i="1" s="1"/>
  <c r="AV18" i="2"/>
  <c r="V17" i="1" s="1"/>
  <c r="W17" i="1" s="1"/>
  <c r="AV19" i="2"/>
  <c r="V18" i="1" s="1"/>
  <c r="W18" i="1" s="1"/>
  <c r="AV9" i="2"/>
  <c r="V8" i="1" s="1"/>
  <c r="W8" i="1" s="1"/>
  <c r="AV14" i="2"/>
  <c r="V13" i="1" s="1"/>
  <c r="W13" i="1" s="1"/>
  <c r="K65" i="15" l="1"/>
  <c r="L65" i="15" s="1"/>
  <c r="C65" i="15"/>
  <c r="O65" i="15" s="1"/>
  <c r="K64" i="15"/>
  <c r="L64" i="15" s="1"/>
  <c r="C64" i="15"/>
  <c r="K66" i="15"/>
  <c r="L66" i="15" s="1"/>
  <c r="C66" i="15"/>
  <c r="O66" i="15" s="1"/>
  <c r="K67" i="15"/>
  <c r="L67" i="15" s="1"/>
  <c r="C67" i="15"/>
  <c r="K60" i="15"/>
  <c r="L60" i="15" s="1"/>
  <c r="C60" i="15"/>
  <c r="K63" i="15"/>
  <c r="L63" i="15" s="1"/>
  <c r="C63" i="15"/>
  <c r="O63" i="15" s="1"/>
  <c r="O2" i="15"/>
  <c r="P74" i="15"/>
  <c r="Q74" i="15"/>
  <c r="R74" i="15" s="1"/>
  <c r="Q55" i="15"/>
  <c r="R55" i="15" s="1"/>
  <c r="P55" i="15"/>
  <c r="P87" i="15"/>
  <c r="Q87" i="15"/>
  <c r="R87" i="15" s="1"/>
  <c r="Q73" i="15"/>
  <c r="R73" i="15" s="1"/>
  <c r="P73" i="15"/>
  <c r="P79" i="15"/>
  <c r="Q79" i="15"/>
  <c r="R79" i="15" s="1"/>
  <c r="P72" i="15"/>
  <c r="Q72" i="15"/>
  <c r="R72" i="15" s="1"/>
  <c r="P86" i="15"/>
  <c r="Q86" i="15"/>
  <c r="R86" i="15" s="1"/>
  <c r="P75" i="15"/>
  <c r="Q75" i="15"/>
  <c r="R75" i="15" s="1"/>
  <c r="P82" i="15"/>
  <c r="Q82" i="15"/>
  <c r="R82" i="15" s="1"/>
  <c r="Q57" i="15"/>
  <c r="R57" i="15" s="1"/>
  <c r="P57" i="15"/>
  <c r="Q71" i="15"/>
  <c r="R71" i="15" s="1"/>
  <c r="P71" i="15"/>
  <c r="Q78" i="15"/>
  <c r="R78" i="15" s="1"/>
  <c r="P78" i="15"/>
  <c r="Q76" i="15"/>
  <c r="R76" i="15" s="1"/>
  <c r="P76" i="15"/>
  <c r="Q69" i="15"/>
  <c r="R69" i="15" s="1"/>
  <c r="P69" i="15"/>
  <c r="Q88" i="15"/>
  <c r="R88" i="15" s="1"/>
  <c r="P88" i="15"/>
  <c r="P83" i="15"/>
  <c r="Q83" i="15"/>
  <c r="R83" i="15" s="1"/>
  <c r="P68" i="15"/>
  <c r="Q68" i="15"/>
  <c r="R68" i="15" s="1"/>
  <c r="Q70" i="15"/>
  <c r="R70" i="15" s="1"/>
  <c r="P70" i="15"/>
  <c r="Q81" i="15"/>
  <c r="R81" i="15" s="1"/>
  <c r="P81" i="15"/>
  <c r="P84" i="15"/>
  <c r="Q84" i="15"/>
  <c r="R84" i="15" s="1"/>
  <c r="Q85" i="15"/>
  <c r="R85" i="15" s="1"/>
  <c r="P85" i="15"/>
  <c r="Q77" i="15"/>
  <c r="R77" i="15" s="1"/>
  <c r="P77" i="15"/>
  <c r="P89" i="15"/>
  <c r="Q89" i="15"/>
  <c r="R89" i="15" s="1"/>
  <c r="P80" i="15"/>
  <c r="Q80" i="15"/>
  <c r="R80" i="15" s="1"/>
  <c r="S24" i="2"/>
  <c r="S28" i="2"/>
  <c r="S29" i="2" s="1"/>
  <c r="S30" i="2" s="1"/>
  <c r="AN28" i="2"/>
  <c r="AN29" i="2" s="1"/>
  <c r="AN30" i="2" s="1"/>
  <c r="AN24" i="2"/>
  <c r="AG29" i="2"/>
  <c r="AG30" i="2" s="1"/>
  <c r="Z29" i="2"/>
  <c r="Z30" i="2" s="1"/>
  <c r="Z24" i="2"/>
  <c r="BI28" i="2"/>
  <c r="BI29" i="2" s="1"/>
  <c r="BI30" i="2" s="1"/>
  <c r="D4" i="5"/>
  <c r="BB28" i="2"/>
  <c r="BB29" i="2" s="1"/>
  <c r="BB30" i="2" s="1"/>
  <c r="BP28" i="2"/>
  <c r="BP29" i="2" s="1"/>
  <c r="BP30" i="2" s="1"/>
  <c r="AU28" i="2"/>
  <c r="AU29" i="2" s="1"/>
  <c r="AU30" i="2" s="1"/>
  <c r="BP24" i="2"/>
  <c r="BI24" i="2"/>
  <c r="AU24" i="2"/>
  <c r="BB24" i="2"/>
  <c r="I66" i="15"/>
  <c r="I35" i="15"/>
  <c r="H72" i="15"/>
  <c r="M72" i="15"/>
  <c r="I43" i="15"/>
  <c r="M85" i="15"/>
  <c r="H85" i="15"/>
  <c r="I51" i="15"/>
  <c r="I33" i="15"/>
  <c r="I5" i="15"/>
  <c r="I37" i="15"/>
  <c r="H73" i="15"/>
  <c r="M73" i="15"/>
  <c r="H75" i="15"/>
  <c r="M75" i="15"/>
  <c r="M82" i="15"/>
  <c r="H82" i="15"/>
  <c r="I32" i="15"/>
  <c r="I30" i="15"/>
  <c r="I20" i="15"/>
  <c r="I47" i="15"/>
  <c r="M78" i="15"/>
  <c r="H78" i="15"/>
  <c r="M87" i="15"/>
  <c r="H87" i="15"/>
  <c r="I44" i="15"/>
  <c r="I23" i="15"/>
  <c r="H80" i="15"/>
  <c r="M80" i="15"/>
  <c r="I34" i="15"/>
  <c r="I13" i="15"/>
  <c r="M74" i="15"/>
  <c r="H74" i="15"/>
  <c r="I27" i="15"/>
  <c r="I8" i="15"/>
  <c r="I3" i="15"/>
  <c r="I7" i="15"/>
  <c r="H55" i="15"/>
  <c r="M55" i="15"/>
  <c r="I21" i="15"/>
  <c r="I48" i="15"/>
  <c r="I28" i="15"/>
  <c r="I9" i="15"/>
  <c r="I14" i="15"/>
  <c r="I25" i="15"/>
  <c r="I18" i="15"/>
  <c r="M88" i="15"/>
  <c r="H88" i="15"/>
  <c r="M86" i="15"/>
  <c r="H86" i="15"/>
  <c r="M81" i="15"/>
  <c r="H81" i="15"/>
  <c r="I38" i="15"/>
  <c r="I54" i="15"/>
  <c r="I19" i="15"/>
  <c r="H57" i="15"/>
  <c r="M57" i="15"/>
  <c r="I49" i="15"/>
  <c r="I16" i="15"/>
  <c r="H77" i="15"/>
  <c r="M77" i="15"/>
  <c r="H71" i="15"/>
  <c r="M71" i="15"/>
  <c r="I53" i="15"/>
  <c r="I24" i="15"/>
  <c r="I56" i="15"/>
  <c r="H69" i="15"/>
  <c r="M69" i="15"/>
  <c r="I4" i="15"/>
  <c r="I2" i="15"/>
  <c r="I58" i="15"/>
  <c r="I29" i="15"/>
  <c r="I22" i="15"/>
  <c r="M68" i="15"/>
  <c r="H68" i="15"/>
  <c r="I46" i="15"/>
  <c r="I42" i="15"/>
  <c r="I26" i="15"/>
  <c r="H76" i="15"/>
  <c r="M76" i="15"/>
  <c r="I45" i="15"/>
  <c r="M84" i="15"/>
  <c r="H84" i="15"/>
  <c r="H83" i="15"/>
  <c r="M83" i="15"/>
  <c r="I12" i="15"/>
  <c r="H70" i="15"/>
  <c r="M70" i="15"/>
  <c r="I17" i="15"/>
  <c r="I40" i="15"/>
  <c r="I52" i="15"/>
  <c r="I41" i="15"/>
  <c r="I36" i="15"/>
  <c r="I50" i="15"/>
  <c r="I31" i="15"/>
  <c r="H79" i="15"/>
  <c r="M79" i="15"/>
  <c r="I39" i="15"/>
  <c r="I10" i="15"/>
  <c r="H89" i="15"/>
  <c r="M89" i="15"/>
  <c r="I6" i="15"/>
  <c r="I15" i="15"/>
  <c r="I11" i="15"/>
  <c r="L23" i="1"/>
  <c r="C41" i="1" s="1"/>
  <c r="C42" i="1" s="1"/>
  <c r="C43" i="1" s="1"/>
  <c r="W22" i="1"/>
  <c r="L24" i="1" s="1"/>
  <c r="D5" i="5"/>
  <c r="M22" i="1"/>
  <c r="N22" i="1" s="1"/>
  <c r="E5" i="5"/>
  <c r="N2" i="1"/>
  <c r="E4" i="5" s="1"/>
  <c r="I64" i="15" l="1"/>
  <c r="O64" i="15"/>
  <c r="P64" i="15" s="1"/>
  <c r="I60" i="15"/>
  <c r="O60" i="15"/>
  <c r="I67" i="15"/>
  <c r="M67" i="15" s="1"/>
  <c r="O67" i="15"/>
  <c r="K61" i="15"/>
  <c r="C61" i="15"/>
  <c r="O61" i="15" s="1"/>
  <c r="K62" i="15"/>
  <c r="L62" i="15" s="1"/>
  <c r="C62" i="15"/>
  <c r="O62" i="15" s="1"/>
  <c r="I63" i="15"/>
  <c r="J63" i="15" s="1"/>
  <c r="F4" i="5"/>
  <c r="I4" i="5" s="1"/>
  <c r="G4" i="5" s="1"/>
  <c r="P66" i="15"/>
  <c r="I65" i="15"/>
  <c r="M65" i="15" s="1"/>
  <c r="P67" i="15"/>
  <c r="M27" i="1"/>
  <c r="D41" i="1"/>
  <c r="D42" i="1" s="1"/>
  <c r="D43" i="1" s="1"/>
  <c r="L25" i="1" s="1"/>
  <c r="M25" i="1" s="1"/>
  <c r="Q49" i="15"/>
  <c r="R49" i="15" s="1"/>
  <c r="P49" i="15"/>
  <c r="J20" i="15"/>
  <c r="M20" i="15"/>
  <c r="M41" i="15"/>
  <c r="J41" i="15"/>
  <c r="Q22" i="15"/>
  <c r="R22" i="15" s="1"/>
  <c r="P22" i="15"/>
  <c r="P39" i="15"/>
  <c r="Q39" i="15"/>
  <c r="R39" i="15" s="1"/>
  <c r="Q25" i="15"/>
  <c r="R25" i="15" s="1"/>
  <c r="P25" i="15"/>
  <c r="M45" i="15"/>
  <c r="J45" i="15"/>
  <c r="J7" i="15"/>
  <c r="M7" i="15"/>
  <c r="N79" i="15"/>
  <c r="S79" i="15"/>
  <c r="T79" i="15" s="1"/>
  <c r="Q40" i="15"/>
  <c r="R40" i="15" s="1"/>
  <c r="P40" i="15"/>
  <c r="S76" i="15"/>
  <c r="T76" i="15" s="1"/>
  <c r="N76" i="15"/>
  <c r="Q29" i="15"/>
  <c r="R29" i="15" s="1"/>
  <c r="P29" i="15"/>
  <c r="P24" i="15"/>
  <c r="Q24" i="15"/>
  <c r="R24" i="15" s="1"/>
  <c r="M19" i="15"/>
  <c r="J19" i="15"/>
  <c r="P7" i="15"/>
  <c r="Q7" i="15"/>
  <c r="R7" i="15" s="1"/>
  <c r="J32" i="15"/>
  <c r="M32" i="15"/>
  <c r="J33" i="15"/>
  <c r="M33" i="15"/>
  <c r="P60" i="15"/>
  <c r="J40" i="15"/>
  <c r="M40" i="15"/>
  <c r="J24" i="15"/>
  <c r="M24" i="15"/>
  <c r="J54" i="15"/>
  <c r="M54" i="15"/>
  <c r="J14" i="15"/>
  <c r="M14" i="15"/>
  <c r="P3" i="15"/>
  <c r="Q3" i="15"/>
  <c r="R3" i="15" s="1"/>
  <c r="M23" i="15"/>
  <c r="J23" i="15"/>
  <c r="M51" i="15"/>
  <c r="J51" i="15"/>
  <c r="L61" i="15"/>
  <c r="J18" i="15"/>
  <c r="M18" i="15"/>
  <c r="Q10" i="15"/>
  <c r="R10" i="15" s="1"/>
  <c r="P10" i="15"/>
  <c r="P18" i="15"/>
  <c r="Q18" i="15"/>
  <c r="R18" i="15" s="1"/>
  <c r="N57" i="15"/>
  <c r="S57" i="15"/>
  <c r="T57" i="15" s="1"/>
  <c r="P45" i="15"/>
  <c r="Q45" i="15"/>
  <c r="R45" i="15" s="1"/>
  <c r="J29" i="15"/>
  <c r="M29" i="15"/>
  <c r="N80" i="15"/>
  <c r="S80" i="15"/>
  <c r="T80" i="15" s="1"/>
  <c r="Q26" i="15"/>
  <c r="R26" i="15" s="1"/>
  <c r="P26" i="15"/>
  <c r="P51" i="15"/>
  <c r="Q51" i="15"/>
  <c r="R51" i="15" s="1"/>
  <c r="M38" i="15"/>
  <c r="J38" i="15"/>
  <c r="M53" i="15"/>
  <c r="J53" i="15"/>
  <c r="N82" i="15"/>
  <c r="S82" i="15"/>
  <c r="T82" i="15" s="1"/>
  <c r="J11" i="15"/>
  <c r="M11" i="15"/>
  <c r="N71" i="15"/>
  <c r="S71" i="15"/>
  <c r="T71" i="15" s="1"/>
  <c r="P28" i="15"/>
  <c r="Q28" i="15"/>
  <c r="R28" i="15" s="1"/>
  <c r="P27" i="15"/>
  <c r="Q27" i="15"/>
  <c r="R27" i="15" s="1"/>
  <c r="P43" i="15"/>
  <c r="Q43" i="15"/>
  <c r="R43" i="15" s="1"/>
  <c r="P15" i="15"/>
  <c r="Q15" i="15"/>
  <c r="R15" i="15" s="1"/>
  <c r="P12" i="15"/>
  <c r="Q12" i="15"/>
  <c r="R12" i="15" s="1"/>
  <c r="Q46" i="15"/>
  <c r="R46" i="15" s="1"/>
  <c r="P46" i="15"/>
  <c r="J58" i="15"/>
  <c r="M58" i="15"/>
  <c r="S81" i="15"/>
  <c r="T81" i="15" s="1"/>
  <c r="N81" i="15"/>
  <c r="M28" i="15"/>
  <c r="J28" i="15"/>
  <c r="M27" i="15"/>
  <c r="J27" i="15"/>
  <c r="N87" i="15"/>
  <c r="S87" i="15"/>
  <c r="T87" i="15" s="1"/>
  <c r="J43" i="15"/>
  <c r="M43" i="15"/>
  <c r="N69" i="15"/>
  <c r="S69" i="15"/>
  <c r="T69" i="15" s="1"/>
  <c r="Q20" i="15"/>
  <c r="R20" i="15" s="1"/>
  <c r="P20" i="15"/>
  <c r="P41" i="15"/>
  <c r="Q41" i="15"/>
  <c r="R41" i="15" s="1"/>
  <c r="M34" i="15"/>
  <c r="J34" i="15"/>
  <c r="J10" i="15"/>
  <c r="M10" i="15"/>
  <c r="Q56" i="15"/>
  <c r="R56" i="15" s="1"/>
  <c r="P56" i="15"/>
  <c r="M52" i="15"/>
  <c r="J52" i="15"/>
  <c r="M39" i="15"/>
  <c r="J39" i="15"/>
  <c r="P33" i="15"/>
  <c r="Q33" i="15"/>
  <c r="R33" i="15" s="1"/>
  <c r="M17" i="15"/>
  <c r="J17" i="15"/>
  <c r="P14" i="15"/>
  <c r="Q14" i="15"/>
  <c r="R14" i="15" s="1"/>
  <c r="Q31" i="15"/>
  <c r="R31" i="15" s="1"/>
  <c r="P31" i="15"/>
  <c r="Q38" i="15"/>
  <c r="R38" i="15" s="1"/>
  <c r="P38" i="15"/>
  <c r="M44" i="15"/>
  <c r="J44" i="15"/>
  <c r="Q58" i="15"/>
  <c r="R58" i="15" s="1"/>
  <c r="P58" i="15"/>
  <c r="N75" i="15"/>
  <c r="S75" i="15"/>
  <c r="T75" i="15" s="1"/>
  <c r="J15" i="15"/>
  <c r="M15" i="15"/>
  <c r="J12" i="15"/>
  <c r="M12" i="15"/>
  <c r="J46" i="15"/>
  <c r="M46" i="15"/>
  <c r="P2" i="15"/>
  <c r="Q2" i="15"/>
  <c r="R2" i="15" s="1"/>
  <c r="S77" i="15"/>
  <c r="T77" i="15" s="1"/>
  <c r="N77" i="15"/>
  <c r="S73" i="15"/>
  <c r="T73" i="15" s="1"/>
  <c r="N73" i="15"/>
  <c r="S72" i="15"/>
  <c r="T72" i="15" s="1"/>
  <c r="N72" i="15"/>
  <c r="N84" i="15"/>
  <c r="S84" i="15"/>
  <c r="T84" i="15" s="1"/>
  <c r="M21" i="15"/>
  <c r="J21" i="15"/>
  <c r="P21" i="15"/>
  <c r="Q21" i="15"/>
  <c r="R21" i="15" s="1"/>
  <c r="S55" i="15"/>
  <c r="T55" i="15" s="1"/>
  <c r="N55" i="15"/>
  <c r="P19" i="15"/>
  <c r="Q19" i="15"/>
  <c r="R19" i="15" s="1"/>
  <c r="P23" i="15"/>
  <c r="Q23" i="15"/>
  <c r="R23" i="15" s="1"/>
  <c r="Q53" i="15"/>
  <c r="R53" i="15" s="1"/>
  <c r="P53" i="15"/>
  <c r="J8" i="15"/>
  <c r="M8" i="15"/>
  <c r="Q6" i="15"/>
  <c r="R6" i="15" s="1"/>
  <c r="P6" i="15"/>
  <c r="Q50" i="15"/>
  <c r="R50" i="15" s="1"/>
  <c r="P50" i="15"/>
  <c r="S83" i="15"/>
  <c r="T83" i="15" s="1"/>
  <c r="N83" i="15"/>
  <c r="J2" i="15"/>
  <c r="M2" i="15"/>
  <c r="S86" i="15"/>
  <c r="T86" i="15" s="1"/>
  <c r="N86" i="15"/>
  <c r="N74" i="15"/>
  <c r="S74" i="15"/>
  <c r="T74" i="15" s="1"/>
  <c r="S78" i="15"/>
  <c r="T78" i="15" s="1"/>
  <c r="N78" i="15"/>
  <c r="P34" i="15"/>
  <c r="Q34" i="15"/>
  <c r="R34" i="15" s="1"/>
  <c r="J25" i="15"/>
  <c r="M25" i="15"/>
  <c r="J56" i="15"/>
  <c r="M56" i="15"/>
  <c r="J30" i="15"/>
  <c r="M30" i="15"/>
  <c r="P52" i="15"/>
  <c r="Q52" i="15"/>
  <c r="R52" i="15" s="1"/>
  <c r="P32" i="15"/>
  <c r="Q32" i="15"/>
  <c r="R32" i="15" s="1"/>
  <c r="J26" i="15"/>
  <c r="M26" i="15"/>
  <c r="P9" i="15"/>
  <c r="Q9" i="15"/>
  <c r="R9" i="15" s="1"/>
  <c r="N70" i="15"/>
  <c r="S70" i="15"/>
  <c r="T70" i="15" s="1"/>
  <c r="P8" i="15"/>
  <c r="Q8" i="15"/>
  <c r="R8" i="15" s="1"/>
  <c r="J42" i="15"/>
  <c r="M42" i="15"/>
  <c r="J6" i="15"/>
  <c r="M6" i="15"/>
  <c r="M50" i="15"/>
  <c r="J50" i="15"/>
  <c r="S68" i="15"/>
  <c r="T68" i="15" s="1"/>
  <c r="N68" i="15"/>
  <c r="P4" i="15"/>
  <c r="Q4" i="15"/>
  <c r="R4" i="15" s="1"/>
  <c r="P16" i="15"/>
  <c r="Q16" i="15"/>
  <c r="R16" i="15" s="1"/>
  <c r="J48" i="15"/>
  <c r="M48" i="15"/>
  <c r="Q13" i="15"/>
  <c r="R13" i="15" s="1"/>
  <c r="P13" i="15"/>
  <c r="P47" i="15"/>
  <c r="Q47" i="15"/>
  <c r="R47" i="15" s="1"/>
  <c r="P37" i="15"/>
  <c r="Q37" i="15"/>
  <c r="R37" i="15" s="1"/>
  <c r="Q35" i="15"/>
  <c r="R35" i="15" s="1"/>
  <c r="P35" i="15"/>
  <c r="J36" i="15"/>
  <c r="M36" i="15"/>
  <c r="Q5" i="15"/>
  <c r="R5" i="15" s="1"/>
  <c r="P5" i="15"/>
  <c r="M49" i="15"/>
  <c r="J49" i="15"/>
  <c r="M5" i="15"/>
  <c r="J5" i="15"/>
  <c r="P30" i="15"/>
  <c r="Q30" i="15"/>
  <c r="R30" i="15" s="1"/>
  <c r="J22" i="15"/>
  <c r="M22" i="15"/>
  <c r="P54" i="15"/>
  <c r="Q54" i="15"/>
  <c r="R54" i="15" s="1"/>
  <c r="J3" i="15"/>
  <c r="M3" i="15"/>
  <c r="Q17" i="15"/>
  <c r="R17" i="15" s="1"/>
  <c r="P17" i="15"/>
  <c r="Q44" i="15"/>
  <c r="R44" i="15" s="1"/>
  <c r="P44" i="15"/>
  <c r="P11" i="15"/>
  <c r="Q11" i="15"/>
  <c r="R11" i="15" s="1"/>
  <c r="P42" i="15"/>
  <c r="Q42" i="15"/>
  <c r="R42" i="15" s="1"/>
  <c r="M9" i="15"/>
  <c r="J9" i="15"/>
  <c r="S85" i="15"/>
  <c r="T85" i="15" s="1"/>
  <c r="N85" i="15"/>
  <c r="J31" i="15"/>
  <c r="M31" i="15"/>
  <c r="N89" i="15"/>
  <c r="S89" i="15"/>
  <c r="T89" i="15" s="1"/>
  <c r="Q36" i="15"/>
  <c r="R36" i="15" s="1"/>
  <c r="P36" i="15"/>
  <c r="J4" i="15"/>
  <c r="M4" i="15"/>
  <c r="J16" i="15"/>
  <c r="M16" i="15"/>
  <c r="S88" i="15"/>
  <c r="T88" i="15" s="1"/>
  <c r="N88" i="15"/>
  <c r="P48" i="15"/>
  <c r="Q48" i="15"/>
  <c r="R48" i="15" s="1"/>
  <c r="J13" i="15"/>
  <c r="M13" i="15"/>
  <c r="M47" i="15"/>
  <c r="J47" i="15"/>
  <c r="J37" i="15"/>
  <c r="M37" i="15"/>
  <c r="J35" i="15"/>
  <c r="M35" i="15"/>
  <c r="J67" i="15"/>
  <c r="J66" i="15"/>
  <c r="M66" i="15"/>
  <c r="P63" i="15"/>
  <c r="Q63" i="15"/>
  <c r="R63" i="15" s="1"/>
  <c r="P65" i="15"/>
  <c r="Q65" i="15"/>
  <c r="R65" i="15" s="1"/>
  <c r="J60" i="15"/>
  <c r="M60" i="15"/>
  <c r="Q64" i="15"/>
  <c r="R64" i="15" s="1"/>
  <c r="J64" i="15"/>
  <c r="M64" i="15"/>
  <c r="D6" i="5"/>
  <c r="C35" i="12" s="1"/>
  <c r="F5" i="5"/>
  <c r="I5" i="5" s="1"/>
  <c r="G5" i="5" s="1"/>
  <c r="H5" i="5" s="1"/>
  <c r="E6" i="5"/>
  <c r="M63" i="15" l="1"/>
  <c r="L26" i="1"/>
  <c r="M26" i="1" s="1"/>
  <c r="J65" i="15"/>
  <c r="Q66" i="15"/>
  <c r="R66" i="15" s="1"/>
  <c r="Q67" i="15"/>
  <c r="R67" i="15" s="1"/>
  <c r="Q60" i="15"/>
  <c r="R60" i="15" s="1"/>
  <c r="S36" i="15"/>
  <c r="T36" i="15" s="1"/>
  <c r="N36" i="15"/>
  <c r="S45" i="15"/>
  <c r="T45" i="15" s="1"/>
  <c r="N45" i="15"/>
  <c r="S27" i="15"/>
  <c r="T27" i="15" s="1"/>
  <c r="N27" i="15"/>
  <c r="S24" i="15"/>
  <c r="T24" i="15" s="1"/>
  <c r="N24" i="15"/>
  <c r="S9" i="15"/>
  <c r="T9" i="15" s="1"/>
  <c r="N9" i="15"/>
  <c r="N10" i="15"/>
  <c r="S10" i="15"/>
  <c r="T10" i="15" s="1"/>
  <c r="S18" i="15"/>
  <c r="T18" i="15" s="1"/>
  <c r="N18" i="15"/>
  <c r="N22" i="15"/>
  <c r="S22" i="15"/>
  <c r="T22" i="15" s="1"/>
  <c r="N42" i="15"/>
  <c r="S42" i="15"/>
  <c r="T42" i="15" s="1"/>
  <c r="S56" i="15"/>
  <c r="T56" i="15" s="1"/>
  <c r="N56" i="15"/>
  <c r="N28" i="15"/>
  <c r="S28" i="15"/>
  <c r="T28" i="15" s="1"/>
  <c r="N53" i="15"/>
  <c r="S53" i="15"/>
  <c r="T53" i="15" s="1"/>
  <c r="N19" i="15"/>
  <c r="S19" i="15"/>
  <c r="T19" i="15" s="1"/>
  <c r="S46" i="15"/>
  <c r="T46" i="15" s="1"/>
  <c r="N46" i="15"/>
  <c r="N16" i="15"/>
  <c r="S16" i="15"/>
  <c r="T16" i="15" s="1"/>
  <c r="N12" i="15"/>
  <c r="S12" i="15"/>
  <c r="T12" i="15" s="1"/>
  <c r="S58" i="15"/>
  <c r="T58" i="15" s="1"/>
  <c r="N58" i="15"/>
  <c r="S21" i="15"/>
  <c r="T21" i="15" s="1"/>
  <c r="N21" i="15"/>
  <c r="S51" i="15"/>
  <c r="T51" i="15" s="1"/>
  <c r="N51" i="15"/>
  <c r="N41" i="15"/>
  <c r="S41" i="15"/>
  <c r="T41" i="15" s="1"/>
  <c r="S5" i="15"/>
  <c r="T5" i="15" s="1"/>
  <c r="N5" i="15"/>
  <c r="N15" i="15"/>
  <c r="S15" i="15"/>
  <c r="T15" i="15" s="1"/>
  <c r="S11" i="15"/>
  <c r="T11" i="15" s="1"/>
  <c r="N11" i="15"/>
  <c r="I62" i="15"/>
  <c r="S33" i="15"/>
  <c r="T33" i="15" s="1"/>
  <c r="N33" i="15"/>
  <c r="N20" i="15"/>
  <c r="S20" i="15"/>
  <c r="T20" i="15" s="1"/>
  <c r="N14" i="15"/>
  <c r="S14" i="15"/>
  <c r="T14" i="15" s="1"/>
  <c r="N6" i="15"/>
  <c r="S6" i="15"/>
  <c r="T6" i="15" s="1"/>
  <c r="N8" i="15"/>
  <c r="S8" i="15"/>
  <c r="T8" i="15" s="1"/>
  <c r="N35" i="15"/>
  <c r="S35" i="15"/>
  <c r="T35" i="15" s="1"/>
  <c r="S17" i="15"/>
  <c r="T17" i="15" s="1"/>
  <c r="N17" i="15"/>
  <c r="S31" i="15"/>
  <c r="T31" i="15" s="1"/>
  <c r="N31" i="15"/>
  <c r="S13" i="15"/>
  <c r="T13" i="15" s="1"/>
  <c r="N13" i="15"/>
  <c r="S2" i="15"/>
  <c r="T2" i="15" s="1"/>
  <c r="N2" i="15"/>
  <c r="N54" i="15"/>
  <c r="S54" i="15"/>
  <c r="T54" i="15" s="1"/>
  <c r="N50" i="15"/>
  <c r="S50" i="15"/>
  <c r="T50" i="15" s="1"/>
  <c r="S48" i="15"/>
  <c r="T48" i="15" s="1"/>
  <c r="N48" i="15"/>
  <c r="S49" i="15"/>
  <c r="T49" i="15" s="1"/>
  <c r="N49" i="15"/>
  <c r="N23" i="15"/>
  <c r="S23" i="15"/>
  <c r="T23" i="15" s="1"/>
  <c r="N32" i="15"/>
  <c r="S32" i="15"/>
  <c r="T32" i="15" s="1"/>
  <c r="N7" i="15"/>
  <c r="S7" i="15"/>
  <c r="T7" i="15" s="1"/>
  <c r="I61" i="15"/>
  <c r="S39" i="15"/>
  <c r="T39" i="15" s="1"/>
  <c r="N39" i="15"/>
  <c r="N47" i="15"/>
  <c r="S47" i="15"/>
  <c r="T47" i="15" s="1"/>
  <c r="S44" i="15"/>
  <c r="T44" i="15" s="1"/>
  <c r="N44" i="15"/>
  <c r="N30" i="15"/>
  <c r="S30" i="15"/>
  <c r="T30" i="15" s="1"/>
  <c r="S34" i="15"/>
  <c r="T34" i="15" s="1"/>
  <c r="N34" i="15"/>
  <c r="S4" i="15"/>
  <c r="T4" i="15" s="1"/>
  <c r="N4" i="15"/>
  <c r="N37" i="15"/>
  <c r="S37" i="15"/>
  <c r="T37" i="15" s="1"/>
  <c r="S3" i="15"/>
  <c r="T3" i="15" s="1"/>
  <c r="N3" i="15"/>
  <c r="N26" i="15"/>
  <c r="S26" i="15"/>
  <c r="T26" i="15" s="1"/>
  <c r="N52" i="15"/>
  <c r="S52" i="15"/>
  <c r="T52" i="15" s="1"/>
  <c r="N38" i="15"/>
  <c r="S38" i="15"/>
  <c r="T38" i="15" s="1"/>
  <c r="S25" i="15"/>
  <c r="T25" i="15" s="1"/>
  <c r="N25" i="15"/>
  <c r="S40" i="15"/>
  <c r="T40" i="15" s="1"/>
  <c r="N40" i="15"/>
  <c r="N29" i="15"/>
  <c r="S29" i="15"/>
  <c r="T29" i="15" s="1"/>
  <c r="N43" i="15"/>
  <c r="S43" i="15"/>
  <c r="T43" i="15" s="1"/>
  <c r="N64" i="15"/>
  <c r="S64" i="15"/>
  <c r="T64" i="15" s="1"/>
  <c r="N67" i="15"/>
  <c r="N63" i="15"/>
  <c r="S63" i="15"/>
  <c r="T63" i="15" s="1"/>
  <c r="N66" i="15"/>
  <c r="N60" i="15"/>
  <c r="N65" i="15"/>
  <c r="S65" i="15"/>
  <c r="T65" i="15" s="1"/>
  <c r="G35" i="12"/>
  <c r="H35" i="12" s="1"/>
  <c r="J35" i="12" s="1"/>
  <c r="C37" i="12"/>
  <c r="F37" i="12" s="1"/>
  <c r="F38" i="12" s="1"/>
  <c r="J38" i="12" s="1"/>
  <c r="F6" i="5"/>
  <c r="G6" i="5"/>
  <c r="H4" i="5"/>
  <c r="H6" i="5" s="1"/>
  <c r="S67" i="15" l="1"/>
  <c r="T67" i="15" s="1"/>
  <c r="S66" i="15"/>
  <c r="T66" i="15" s="1"/>
  <c r="K59" i="15"/>
  <c r="L59" i="15" s="1"/>
  <c r="C59" i="15"/>
  <c r="O59" i="15" s="1"/>
  <c r="S60" i="15"/>
  <c r="T60" i="15" s="1"/>
  <c r="I59" i="15"/>
  <c r="J59" i="15" s="1"/>
  <c r="J61" i="15"/>
  <c r="M61" i="15"/>
  <c r="Q62" i="15"/>
  <c r="R62" i="15" s="1"/>
  <c r="P62" i="15"/>
  <c r="J62" i="15"/>
  <c r="M62" i="15"/>
  <c r="P61" i="15"/>
  <c r="Q61" i="15"/>
  <c r="R61" i="15" s="1"/>
  <c r="L38" i="12"/>
  <c r="J37" i="12"/>
  <c r="I6" i="5"/>
  <c r="I7" i="5" l="1"/>
  <c r="B13" i="17"/>
  <c r="P59" i="15"/>
  <c r="M59" i="15"/>
  <c r="N59" i="15" s="1"/>
  <c r="N62" i="15"/>
  <c r="S62" i="15"/>
  <c r="T62" i="15" s="1"/>
  <c r="N61" i="15"/>
  <c r="S61" i="15"/>
  <c r="T61" i="15" s="1"/>
  <c r="C2" i="8"/>
  <c r="E2" i="8" s="1"/>
  <c r="E3" i="8" s="1"/>
  <c r="C13" i="17" l="1"/>
  <c r="D13" i="17"/>
  <c r="E13" i="17"/>
  <c r="Q59" i="15"/>
  <c r="R59" i="15" s="1"/>
  <c r="P65" i="14"/>
  <c r="R65" i="14" s="1"/>
  <c r="Y22" i="14" s="1"/>
  <c r="P46" i="14"/>
  <c r="W23" i="14" s="1"/>
  <c r="R46" i="14"/>
  <c r="Y23" i="14" s="1"/>
  <c r="R5" i="14"/>
  <c r="P116" i="14"/>
  <c r="W21" i="14" s="1"/>
  <c r="R116" i="14"/>
  <c r="Y21" i="14" s="1"/>
  <c r="P236" i="14"/>
  <c r="R236" i="14" s="1"/>
  <c r="P120" i="14"/>
  <c r="R120" i="14" s="1"/>
  <c r="P48" i="14"/>
  <c r="R48" i="14" s="1"/>
  <c r="P184" i="14"/>
  <c r="R184" i="14" s="1"/>
  <c r="P176" i="14"/>
  <c r="R176" i="14" s="1"/>
  <c r="P136" i="14"/>
  <c r="R136" i="14" s="1"/>
  <c r="P235" i="14"/>
  <c r="R235" i="14" s="1"/>
  <c r="P129" i="14"/>
  <c r="R129" i="14" s="1"/>
  <c r="P9" i="14"/>
  <c r="R9" i="14" s="1"/>
  <c r="P209" i="14"/>
  <c r="R209" i="14" s="1"/>
  <c r="P216" i="14"/>
  <c r="R216" i="14" s="1"/>
  <c r="P70" i="14"/>
  <c r="R70" i="14" s="1"/>
  <c r="P168" i="14"/>
  <c r="R168" i="14" s="1"/>
  <c r="P241" i="14"/>
  <c r="R241" i="14" s="1"/>
  <c r="P233" i="14"/>
  <c r="R233" i="14" s="1"/>
  <c r="P117" i="14"/>
  <c r="R117" i="14" s="1"/>
  <c r="P23" i="14"/>
  <c r="R23" i="14" s="1"/>
  <c r="P104" i="14"/>
  <c r="R104" i="14" s="1"/>
  <c r="P42" i="14"/>
  <c r="R42" i="14" s="1"/>
  <c r="P181" i="14"/>
  <c r="R181" i="14" s="1"/>
  <c r="P167" i="14"/>
  <c r="R167" i="14" s="1"/>
  <c r="P81" i="14"/>
  <c r="R81" i="14" s="1"/>
  <c r="P62" i="14"/>
  <c r="R62" i="14" s="1"/>
  <c r="P232" i="14"/>
  <c r="R232" i="14" s="1"/>
  <c r="P94" i="14"/>
  <c r="R94" i="14" s="1"/>
  <c r="P152" i="14"/>
  <c r="R152" i="14" s="1"/>
  <c r="P22" i="14"/>
  <c r="R22" i="14" s="1"/>
  <c r="P56" i="14"/>
  <c r="R56" i="14" s="1"/>
  <c r="P133" i="14"/>
  <c r="R133" i="14" s="1"/>
  <c r="P110" i="14"/>
  <c r="R110" i="14" s="1"/>
  <c r="P220" i="14"/>
  <c r="R220" i="14" s="1"/>
  <c r="P242" i="14"/>
  <c r="R242" i="14" s="1"/>
  <c r="R25" i="14"/>
  <c r="P25" i="14"/>
  <c r="P102" i="14"/>
  <c r="R102" i="14" s="1"/>
  <c r="P77" i="14"/>
  <c r="R77" i="14" s="1"/>
  <c r="P73" i="14"/>
  <c r="R73" i="14" s="1"/>
  <c r="P138" i="14"/>
  <c r="R138" i="14" s="1"/>
  <c r="P150" i="14"/>
  <c r="R150" i="14" s="1"/>
  <c r="P27" i="14"/>
  <c r="R27" i="14" s="1"/>
  <c r="P115" i="14"/>
  <c r="R115" i="14" s="1"/>
  <c r="P93" i="14"/>
  <c r="R93" i="14" s="1"/>
  <c r="P153" i="14"/>
  <c r="R153" i="14" s="1"/>
  <c r="P15" i="14"/>
  <c r="R15" i="14" s="1"/>
  <c r="P230" i="14"/>
  <c r="R230" i="14" s="1"/>
  <c r="P43" i="14"/>
  <c r="R43" i="14" s="1"/>
  <c r="P179" i="14"/>
  <c r="R179" i="14" s="1"/>
  <c r="P109" i="14"/>
  <c r="R109" i="14" s="1"/>
  <c r="P118" i="14"/>
  <c r="R118" i="14" s="1"/>
  <c r="R35" i="14"/>
  <c r="P35" i="14"/>
  <c r="P75" i="14"/>
  <c r="R75" i="14" s="1"/>
  <c r="P60" i="14"/>
  <c r="R60" i="14" s="1"/>
  <c r="P125" i="14"/>
  <c r="R125" i="14" s="1"/>
  <c r="P111" i="14"/>
  <c r="R111" i="14" s="1"/>
  <c r="P105" i="14"/>
  <c r="R105" i="14" s="1"/>
  <c r="P186" i="14"/>
  <c r="R186" i="14" s="1"/>
  <c r="P83" i="14"/>
  <c r="R83" i="14" s="1"/>
  <c r="P91" i="14"/>
  <c r="R91" i="14" s="1"/>
  <c r="P76" i="14"/>
  <c r="R76" i="14" s="1"/>
  <c r="P191" i="14"/>
  <c r="R191" i="14" s="1"/>
  <c r="P99" i="14"/>
  <c r="R99" i="14" s="1"/>
  <c r="P159" i="14"/>
  <c r="R159" i="14" s="1"/>
  <c r="P131" i="14"/>
  <c r="R131" i="14" s="1"/>
  <c r="P103" i="14"/>
  <c r="R103" i="14" s="1"/>
  <c r="P107" i="14"/>
  <c r="R107" i="14" s="1"/>
  <c r="P224" i="14"/>
  <c r="R224" i="14" s="1"/>
  <c r="P92" i="14"/>
  <c r="R92" i="14" s="1"/>
  <c r="P38" i="14"/>
  <c r="R38" i="14" s="1"/>
  <c r="P157" i="14"/>
  <c r="R157" i="14" s="1"/>
  <c r="P223" i="14"/>
  <c r="R223" i="14" s="1"/>
  <c r="P147" i="14"/>
  <c r="R147" i="14" s="1"/>
  <c r="P71" i="14"/>
  <c r="R71" i="14" s="1"/>
  <c r="P121" i="14"/>
  <c r="R121" i="14" s="1"/>
  <c r="P218" i="14"/>
  <c r="R218" i="14" s="1"/>
  <c r="P207" i="14"/>
  <c r="R207" i="14" s="1"/>
  <c r="P195" i="14"/>
  <c r="R195" i="14" s="1"/>
  <c r="P119" i="14"/>
  <c r="R119" i="14" s="1"/>
  <c r="P123" i="14"/>
  <c r="R123" i="14" s="1"/>
  <c r="P108" i="14"/>
  <c r="R108" i="14" s="1"/>
  <c r="P182" i="14"/>
  <c r="R182" i="14" s="1"/>
  <c r="P173" i="14"/>
  <c r="R173" i="14" s="1"/>
  <c r="P16" i="14"/>
  <c r="R16" i="14" s="1"/>
  <c r="P163" i="14"/>
  <c r="R163" i="14" s="1"/>
  <c r="P135" i="14"/>
  <c r="R135" i="14" s="1"/>
  <c r="P185" i="14"/>
  <c r="R185" i="14" s="1"/>
  <c r="P240" i="14"/>
  <c r="R240" i="14" s="1"/>
  <c r="P200" i="14"/>
  <c r="R200" i="14" s="1"/>
  <c r="P33" i="14"/>
  <c r="R33" i="14" s="1"/>
  <c r="P30" i="14"/>
  <c r="R30" i="14" s="1"/>
  <c r="P97" i="14"/>
  <c r="R97" i="14" s="1"/>
  <c r="P29" i="14"/>
  <c r="R29" i="14" s="1"/>
  <c r="P90" i="14"/>
  <c r="R90" i="14" s="1"/>
  <c r="P126" i="14"/>
  <c r="R126" i="14" s="1"/>
  <c r="P145" i="14"/>
  <c r="R145" i="14" s="1"/>
  <c r="P190" i="14"/>
  <c r="R190" i="14" s="1"/>
  <c r="P122" i="14"/>
  <c r="R122" i="14" s="1"/>
  <c r="P6" i="14"/>
  <c r="R6" i="14" s="1"/>
  <c r="R225" i="14"/>
  <c r="P225" i="14"/>
  <c r="P28" i="14"/>
  <c r="R28" i="14" s="1"/>
  <c r="P178" i="14"/>
  <c r="R178" i="14" s="1"/>
  <c r="P154" i="14"/>
  <c r="R154" i="14" s="1"/>
  <c r="P44" i="14"/>
  <c r="R44" i="14" s="1"/>
  <c r="P79" i="14"/>
  <c r="R79" i="14" s="1"/>
  <c r="P47" i="14"/>
  <c r="R47" i="14" s="1"/>
  <c r="P64" i="14"/>
  <c r="R64" i="14" s="1"/>
  <c r="P67" i="14"/>
  <c r="R67" i="14" s="1"/>
  <c r="P55" i="14"/>
  <c r="R55" i="14" s="1"/>
  <c r="P141" i="14"/>
  <c r="R141" i="14" s="1"/>
  <c r="P201" i="14"/>
  <c r="R201" i="14" s="1"/>
  <c r="P32" i="14"/>
  <c r="R32" i="14" s="1"/>
  <c r="P151" i="14"/>
  <c r="R151" i="14" s="1"/>
  <c r="P193" i="14"/>
  <c r="R193" i="14" s="1"/>
  <c r="P156" i="14"/>
  <c r="R156" i="14" s="1"/>
  <c r="R246" i="14"/>
  <c r="P246" i="14"/>
  <c r="P189" i="14"/>
  <c r="R189" i="14" s="1"/>
  <c r="P80" i="14"/>
  <c r="R80" i="14" s="1"/>
  <c r="P211" i="14"/>
  <c r="R211" i="14" s="1"/>
  <c r="P199" i="14"/>
  <c r="R199" i="14" s="1"/>
  <c r="P41" i="14"/>
  <c r="R41" i="14" s="1"/>
  <c r="P124" i="14"/>
  <c r="R124" i="14" s="1"/>
  <c r="P96" i="14"/>
  <c r="R96" i="14" s="1"/>
  <c r="P68" i="14"/>
  <c r="R68" i="14" s="1"/>
  <c r="P183" i="14"/>
  <c r="R183" i="14" s="1"/>
  <c r="P155" i="14"/>
  <c r="R155" i="14" s="1"/>
  <c r="P18" i="14"/>
  <c r="R18" i="14" s="1"/>
  <c r="P188" i="14"/>
  <c r="R188" i="14" s="1"/>
  <c r="P87" i="14"/>
  <c r="R87" i="14" s="1"/>
  <c r="P205" i="14"/>
  <c r="R205" i="14" s="1"/>
  <c r="P112" i="14"/>
  <c r="R112" i="14" s="1"/>
  <c r="P227" i="14"/>
  <c r="R227" i="14" s="1"/>
  <c r="P215" i="14"/>
  <c r="R215" i="14" s="1"/>
  <c r="P137" i="14"/>
  <c r="R137" i="14" s="1"/>
  <c r="P203" i="14"/>
  <c r="R203" i="14" s="1"/>
  <c r="P17" i="14"/>
  <c r="R17" i="14" s="1"/>
  <c r="P219" i="14"/>
  <c r="R219" i="14" s="1"/>
  <c r="P148" i="14"/>
  <c r="R148" i="14" s="1"/>
  <c r="P245" i="14"/>
  <c r="R245" i="14" s="1"/>
  <c r="P231" i="14"/>
  <c r="R231" i="14" s="1"/>
  <c r="P69" i="14"/>
  <c r="R69" i="14" s="1"/>
  <c r="P113" i="14"/>
  <c r="R113" i="14" s="1"/>
  <c r="P140" i="14"/>
  <c r="R140" i="14" s="1"/>
  <c r="P177" i="14"/>
  <c r="R177" i="14" s="1"/>
  <c r="P89" i="14"/>
  <c r="R89" i="14" s="1"/>
  <c r="P149" i="14"/>
  <c r="R149" i="14" s="1"/>
  <c r="P174" i="14"/>
  <c r="R174" i="14" s="1"/>
  <c r="P11" i="14"/>
  <c r="R11" i="14" s="1"/>
  <c r="P19" i="14"/>
  <c r="R19" i="14" s="1"/>
  <c r="P222" i="14"/>
  <c r="R222" i="14" s="1"/>
  <c r="P31" i="14"/>
  <c r="R31" i="14" s="1"/>
  <c r="P144" i="14"/>
  <c r="R144" i="14" s="1"/>
  <c r="P171" i="14"/>
  <c r="R171" i="14" s="1"/>
  <c r="P142" i="14"/>
  <c r="R142" i="14" s="1"/>
  <c r="P247" i="14"/>
  <c r="R247" i="14" s="1"/>
  <c r="P160" i="14"/>
  <c r="R160" i="14" s="1"/>
  <c r="P20" i="14"/>
  <c r="R20" i="14" s="1"/>
  <c r="P8" i="14"/>
  <c r="R8" i="14" s="1"/>
  <c r="P169" i="14"/>
  <c r="R169" i="14" s="1"/>
  <c r="P26" i="14"/>
  <c r="R26" i="14" s="1"/>
  <c r="P14" i="14"/>
  <c r="R14" i="14" s="1"/>
  <c r="P13" i="14"/>
  <c r="R13" i="14" s="1"/>
  <c r="P74" i="14"/>
  <c r="R74" i="14" s="1"/>
  <c r="R49" i="14"/>
  <c r="P49" i="14"/>
  <c r="P78" i="14"/>
  <c r="R78" i="14" s="1"/>
  <c r="P45" i="14"/>
  <c r="R45" i="14" s="1"/>
  <c r="P106" i="14"/>
  <c r="R106" i="14" s="1"/>
  <c r="P61" i="14"/>
  <c r="R61" i="14" s="1"/>
  <c r="P161" i="14"/>
  <c r="R161" i="14" s="1"/>
  <c r="P12" i="14"/>
  <c r="R12" i="14" s="1"/>
  <c r="P66" i="14"/>
  <c r="R66" i="14" s="1"/>
  <c r="P206" i="14"/>
  <c r="R206" i="14" s="1"/>
  <c r="P158" i="14"/>
  <c r="R158" i="14" s="1"/>
  <c r="P54" i="14"/>
  <c r="R54" i="14" s="1"/>
  <c r="P146" i="14"/>
  <c r="R146" i="14" s="1"/>
  <c r="P238" i="14"/>
  <c r="R238" i="14" s="1"/>
  <c r="P51" i="14"/>
  <c r="R51" i="14" s="1"/>
  <c r="P170" i="14"/>
  <c r="R170" i="14" s="1"/>
  <c r="P7" i="14"/>
  <c r="R7" i="14" s="1"/>
  <c r="R52" i="14"/>
  <c r="P52" i="14"/>
  <c r="P198" i="14"/>
  <c r="R198" i="14" s="1"/>
  <c r="P95" i="14"/>
  <c r="R95" i="14" s="1"/>
  <c r="P128" i="14"/>
  <c r="R128" i="14" s="1"/>
  <c r="P53" i="14"/>
  <c r="R53" i="14" s="1"/>
  <c r="P39" i="14"/>
  <c r="R39" i="14" s="1"/>
  <c r="P202" i="14"/>
  <c r="R202" i="14" s="1"/>
  <c r="P234" i="14"/>
  <c r="R234" i="14" s="1"/>
  <c r="P243" i="14"/>
  <c r="R243" i="14" s="1"/>
  <c r="P139" i="14"/>
  <c r="R139" i="14" s="1"/>
  <c r="P172" i="14"/>
  <c r="R172" i="14" s="1"/>
  <c r="P132" i="14"/>
  <c r="R132" i="14" s="1"/>
  <c r="P24" i="14"/>
  <c r="R24" i="14" s="1"/>
  <c r="P134" i="14"/>
  <c r="R134" i="14" s="1"/>
  <c r="P221" i="14"/>
  <c r="R221" i="14" s="1"/>
  <c r="P10" i="14"/>
  <c r="R10" i="14" s="1"/>
  <c r="P204" i="14"/>
  <c r="R204" i="14" s="1"/>
  <c r="P192" i="14"/>
  <c r="R192" i="14" s="1"/>
  <c r="P21" i="14"/>
  <c r="R21" i="14" s="1"/>
  <c r="P72" i="14"/>
  <c r="R72" i="14" s="1"/>
  <c r="P187" i="14"/>
  <c r="R187" i="14" s="1"/>
  <c r="P214" i="14"/>
  <c r="R214" i="14" s="1"/>
  <c r="P143" i="14"/>
  <c r="R143" i="14" s="1"/>
  <c r="P88" i="14"/>
  <c r="R88" i="14" s="1"/>
  <c r="P237" i="14"/>
  <c r="R237" i="14" s="1"/>
  <c r="P208" i="14"/>
  <c r="R208" i="14" s="1"/>
  <c r="P84" i="14"/>
  <c r="R84" i="14" s="1"/>
  <c r="P40" i="14"/>
  <c r="R40" i="14" s="1"/>
  <c r="P217" i="14"/>
  <c r="R217" i="14" s="1"/>
  <c r="P175" i="14"/>
  <c r="R175" i="14" s="1"/>
  <c r="P166" i="14"/>
  <c r="R166" i="14" s="1"/>
  <c r="P165" i="14"/>
  <c r="R165" i="14" s="1"/>
  <c r="P37" i="14"/>
  <c r="R37" i="14" s="1"/>
  <c r="P244" i="14"/>
  <c r="R244" i="14" s="1"/>
  <c r="P162" i="14"/>
  <c r="R162" i="14" s="1"/>
  <c r="P239" i="14"/>
  <c r="R239" i="14" s="1"/>
  <c r="P34" i="14"/>
  <c r="R34" i="14" s="1"/>
  <c r="P229" i="14"/>
  <c r="R229" i="14" s="1"/>
  <c r="P114" i="14"/>
  <c r="R114" i="14" s="1"/>
  <c r="P101" i="14"/>
  <c r="R101" i="14" s="1"/>
  <c r="P213" i="14"/>
  <c r="R213" i="14" s="1"/>
  <c r="P212" i="14"/>
  <c r="R212" i="14" s="1"/>
  <c r="P210" i="14"/>
  <c r="R210" i="14" s="1"/>
  <c r="P86" i="14"/>
  <c r="R86" i="14" s="1"/>
  <c r="P197" i="14"/>
  <c r="R197" i="14" s="1"/>
  <c r="P85" i="14"/>
  <c r="R85" i="14" s="1"/>
  <c r="P196" i="14"/>
  <c r="R196" i="14" s="1"/>
  <c r="P82" i="14"/>
  <c r="R82" i="14" s="1"/>
  <c r="R194" i="14"/>
  <c r="P194" i="14"/>
  <c r="P63" i="14"/>
  <c r="R63" i="14" s="1"/>
  <c r="P58" i="14"/>
  <c r="R58" i="14" s="1"/>
  <c r="P57" i="14"/>
  <c r="R57" i="14" s="1"/>
  <c r="P50" i="14"/>
  <c r="R50" i="14" s="1"/>
  <c r="P164" i="14"/>
  <c r="R164" i="14" s="1"/>
  <c r="P36" i="14"/>
  <c r="R36" i="14" s="1"/>
  <c r="P130" i="14"/>
  <c r="R130" i="14" s="1"/>
  <c r="P127" i="14"/>
  <c r="R127" i="14" s="1"/>
  <c r="P228" i="14"/>
  <c r="R228" i="14" s="1"/>
  <c r="R4" i="14"/>
  <c r="P226" i="14"/>
  <c r="R226" i="14" s="1"/>
  <c r="P100" i="14"/>
  <c r="R100" i="14" s="1"/>
  <c r="P98" i="14"/>
  <c r="R98" i="14" s="1"/>
  <c r="P180" i="14"/>
  <c r="R180" i="14" s="1"/>
  <c r="P59" i="14"/>
  <c r="R59" i="14" s="1"/>
  <c r="S59" i="15" l="1"/>
  <c r="T59" i="15" s="1"/>
  <c r="W22" i="14"/>
</calcChain>
</file>

<file path=xl/sharedStrings.xml><?xml version="1.0" encoding="utf-8"?>
<sst xmlns="http://schemas.openxmlformats.org/spreadsheetml/2006/main" count="4606" uniqueCount="2290">
  <si>
    <t>Destination</t>
  </si>
  <si>
    <t>Frequency</t>
  </si>
  <si>
    <t>LON</t>
  </si>
  <si>
    <t>MAN</t>
  </si>
  <si>
    <t>STO</t>
  </si>
  <si>
    <t>CPH</t>
  </si>
  <si>
    <t>BER</t>
  </si>
  <si>
    <t>HAM</t>
  </si>
  <si>
    <t>CGN</t>
  </si>
  <si>
    <t>MUC</t>
  </si>
  <si>
    <t>PAR</t>
  </si>
  <si>
    <t>MRS</t>
  </si>
  <si>
    <t>MIL</t>
  </si>
  <si>
    <t>ROM</t>
  </si>
  <si>
    <t>MAD</t>
  </si>
  <si>
    <t>BCN</t>
  </si>
  <si>
    <t>EZE</t>
  </si>
  <si>
    <t>BOG</t>
  </si>
  <si>
    <t>HNL</t>
  </si>
  <si>
    <t>CGK</t>
  </si>
  <si>
    <t>ITM</t>
  </si>
  <si>
    <t>DFW</t>
  </si>
  <si>
    <t>Frequency per year</t>
  </si>
  <si>
    <t>2</t>
  </si>
  <si>
    <t>times</t>
  </si>
  <si>
    <t>per</t>
  </si>
  <si>
    <t>day</t>
  </si>
  <si>
    <t>3</t>
  </si>
  <si>
    <t>week</t>
  </si>
  <si>
    <t>1</t>
  </si>
  <si>
    <t>London</t>
  </si>
  <si>
    <t>Paris</t>
  </si>
  <si>
    <t>Hamburg</t>
  </si>
  <si>
    <t>Rome</t>
  </si>
  <si>
    <t>Barcelona</t>
  </si>
  <si>
    <t>Madrid</t>
  </si>
  <si>
    <t>Manchester</t>
  </si>
  <si>
    <t>Bogota</t>
  </si>
  <si>
    <t>Honolulu</t>
  </si>
  <si>
    <t>Munich</t>
  </si>
  <si>
    <t>Marseille</t>
  </si>
  <si>
    <t>Taxi Fuel (kg)</t>
  </si>
  <si>
    <t>Total Fuel (kg)</t>
  </si>
  <si>
    <t>kg</t>
  </si>
  <si>
    <t>ASK/flight</t>
  </si>
  <si>
    <t>RSK/year</t>
  </si>
  <si>
    <t>Short Haul</t>
  </si>
  <si>
    <t>Long Haul</t>
  </si>
  <si>
    <t>or usefulness of this information.</t>
  </si>
  <si>
    <t xml:space="preserve">information contained in this document, neither does it assume any legal liability or responsibility for the accuracy, completeness </t>
  </si>
  <si>
    <t xml:space="preserve">without prior written permission from EUROCONTROL. EUROCONTROL makes no warranty, either implied or express, for the </t>
  </si>
  <si>
    <t xml:space="preserve">providing that the copyright notice and disclaimer are included. The information contained in this document may not be modified </t>
  </si>
  <si>
    <t>This material is provided by EUROCONTROL in the interests of exchange of information. It may be copied in whole or in part,</t>
  </si>
  <si>
    <t>© European Organisation for the Safety of Air Navigation (EUROCONTROL) 2021</t>
  </si>
  <si>
    <t>Document Confidentiality Classification: White (public)</t>
  </si>
  <si>
    <t>Source: EUROCONTROL CODA</t>
  </si>
  <si>
    <t>SHANGHAI PUDONG INTL</t>
  </si>
  <si>
    <t>PVG</t>
  </si>
  <si>
    <t>ZSPD</t>
  </si>
  <si>
    <t>BEIJING</t>
  </si>
  <si>
    <t>PEK</t>
  </si>
  <si>
    <t>ZBAA</t>
  </si>
  <si>
    <t>SINGAPORE/CHANGI</t>
  </si>
  <si>
    <t>SIN</t>
  </si>
  <si>
    <t>WSSS</t>
  </si>
  <si>
    <t>KUALA LUMPUR</t>
  </si>
  <si>
    <t>KUL</t>
  </si>
  <si>
    <t>WMKK</t>
  </si>
  <si>
    <t>WIII</t>
  </si>
  <si>
    <t>BANGKOK</t>
  </si>
  <si>
    <t>NBK</t>
  </si>
  <si>
    <t>VTBS</t>
  </si>
  <si>
    <t>MALE INTL/HULULE</t>
  </si>
  <si>
    <t>MLE</t>
  </si>
  <si>
    <t>VRMM</t>
  </si>
  <si>
    <t>BLR</t>
  </si>
  <si>
    <t>VOBL</t>
  </si>
  <si>
    <t>DELHI</t>
  </si>
  <si>
    <t>DEL</t>
  </si>
  <si>
    <t>VIDP</t>
  </si>
  <si>
    <t>HONG KONG INTL</t>
  </si>
  <si>
    <t>HKG</t>
  </si>
  <si>
    <t>VHHH</t>
  </si>
  <si>
    <t>DHAKA/ZIA INTL</t>
  </si>
  <si>
    <t>DAC</t>
  </si>
  <si>
    <t>VGHS</t>
  </si>
  <si>
    <t>BOM</t>
  </si>
  <si>
    <t>VABB</t>
  </si>
  <si>
    <t>KAZAN</t>
  </si>
  <si>
    <t>KZN</t>
  </si>
  <si>
    <t>UWKD</t>
  </si>
  <si>
    <t>MOSKVA/VNUKOVO</t>
  </si>
  <si>
    <t>VKO</t>
  </si>
  <si>
    <t>UUWW</t>
  </si>
  <si>
    <t>TASHKENT</t>
  </si>
  <si>
    <t>TAS</t>
  </si>
  <si>
    <t>UTTT</t>
  </si>
  <si>
    <t>SANKT-PETERBURG</t>
  </si>
  <si>
    <t>LED</t>
  </si>
  <si>
    <t>ULLI</t>
  </si>
  <si>
    <t>TBILISI</t>
  </si>
  <si>
    <t>TBS</t>
  </si>
  <si>
    <t>UGTB</t>
  </si>
  <si>
    <t>BATUMI</t>
  </si>
  <si>
    <t>BUS</t>
  </si>
  <si>
    <t>UGSB</t>
  </si>
  <si>
    <t>UNKNOWN</t>
  </si>
  <si>
    <t>KUT</t>
  </si>
  <si>
    <t>UGKO</t>
  </si>
  <si>
    <t>YEREVAN</t>
  </si>
  <si>
    <t>EVN</t>
  </si>
  <si>
    <t>UDYZ</t>
  </si>
  <si>
    <t>MANAS</t>
  </si>
  <si>
    <t>FRU</t>
  </si>
  <si>
    <t>UCFM</t>
  </si>
  <si>
    <t>BAKU</t>
  </si>
  <si>
    <t>GYD</t>
  </si>
  <si>
    <t>UBBB</t>
  </si>
  <si>
    <t>TSELINOGRAD</t>
  </si>
  <si>
    <t>TSE</t>
  </si>
  <si>
    <t>UACC</t>
  </si>
  <si>
    <t>ALMA ATA</t>
  </si>
  <si>
    <t>ALA</t>
  </si>
  <si>
    <t>UAAA</t>
  </si>
  <si>
    <t>ST MAARTEN/PRINSES</t>
  </si>
  <si>
    <t>SXM</t>
  </si>
  <si>
    <t>TNCM</t>
  </si>
  <si>
    <t>CURACAO INTL/AEROPOR</t>
  </si>
  <si>
    <t>CUR</t>
  </si>
  <si>
    <t>TNCC</t>
  </si>
  <si>
    <t>POINTE-A-PITRE/LE RA</t>
  </si>
  <si>
    <t>PTP</t>
  </si>
  <si>
    <t>TFFR</t>
  </si>
  <si>
    <t>FORT-DE-FRANCE LE LA</t>
  </si>
  <si>
    <t>FDF</t>
  </si>
  <si>
    <t>TFFF</t>
  </si>
  <si>
    <t>CARACAS MAIQUETIA</t>
  </si>
  <si>
    <t>CCS</t>
  </si>
  <si>
    <t>SVMI</t>
  </si>
  <si>
    <t>LIMA INTL/PERU</t>
  </si>
  <si>
    <t>LIM</t>
  </si>
  <si>
    <t>SPJC</t>
  </si>
  <si>
    <t>CAYENNE ROCHAMBEAU</t>
  </si>
  <si>
    <t>CAY</t>
  </si>
  <si>
    <t>SOCA</t>
  </si>
  <si>
    <t>BOGOTA INTL/ELDORADO</t>
  </si>
  <si>
    <t>SKBO</t>
  </si>
  <si>
    <t>GUAYAQUIL/SIMON BOLI</t>
  </si>
  <si>
    <t>GYE</t>
  </si>
  <si>
    <t>SEGU</t>
  </si>
  <si>
    <t>SANTIAGO ARTURO MERI</t>
  </si>
  <si>
    <t>SCL</t>
  </si>
  <si>
    <t>SCEL</t>
  </si>
  <si>
    <t>RECIFE/GUARARAPES</t>
  </si>
  <si>
    <t>REC</t>
  </si>
  <si>
    <t>SBRF</t>
  </si>
  <si>
    <t>SAO PAULO</t>
  </si>
  <si>
    <t>GRU</t>
  </si>
  <si>
    <t>SBGR</t>
  </si>
  <si>
    <t>RIO DE JANEIRO</t>
  </si>
  <si>
    <t>GIG</t>
  </si>
  <si>
    <t>SBGL</t>
  </si>
  <si>
    <t>BUENOS AIRES/EZEIZA</t>
  </si>
  <si>
    <t>SAEZ</t>
  </si>
  <si>
    <t>MANILA</t>
  </si>
  <si>
    <t>MNL</t>
  </si>
  <si>
    <t>RPLL</t>
  </si>
  <si>
    <t>SEOUL INCHEON</t>
  </si>
  <si>
    <t>ICN</t>
  </si>
  <si>
    <t>RKSI</t>
  </si>
  <si>
    <t>TOKYO HANEDA</t>
  </si>
  <si>
    <t>HND</t>
  </si>
  <si>
    <t>RJTT</t>
  </si>
  <si>
    <t>KANSAI INTL</t>
  </si>
  <si>
    <t>KIX</t>
  </si>
  <si>
    <t>RJBB</t>
  </si>
  <si>
    <t>NEW TOKYO</t>
  </si>
  <si>
    <t>NRT</t>
  </si>
  <si>
    <t>RJAA</t>
  </si>
  <si>
    <t>TAIPEI/SUNGSHAN</t>
  </si>
  <si>
    <t>TPE</t>
  </si>
  <si>
    <t>RCTP</t>
  </si>
  <si>
    <t>NEW DOHA INTERNATIONAL</t>
  </si>
  <si>
    <t>DOH</t>
  </si>
  <si>
    <t>OTHH</t>
  </si>
  <si>
    <t>BASRA INTL</t>
  </si>
  <si>
    <t>BSR</t>
  </si>
  <si>
    <t>ORMM</t>
  </si>
  <si>
    <t>ERBIL INTL AIRPORT</t>
  </si>
  <si>
    <t>EBL</t>
  </si>
  <si>
    <t>ORER</t>
  </si>
  <si>
    <t>SDA</t>
  </si>
  <si>
    <t>ORBI</t>
  </si>
  <si>
    <t>LAHORE</t>
  </si>
  <si>
    <t>LHE</t>
  </si>
  <si>
    <t>OPLA</t>
  </si>
  <si>
    <t>KARACHI/QUAID-E-AZAM</t>
  </si>
  <si>
    <t>KHI</t>
  </si>
  <si>
    <t>OPKC</t>
  </si>
  <si>
    <t>NEW ISLAMABAD INTERNATIONAL AIRPORT</t>
  </si>
  <si>
    <t>ISB</t>
  </si>
  <si>
    <t>OPIS</t>
  </si>
  <si>
    <t>MUSCAT</t>
  </si>
  <si>
    <t>MCT</t>
  </si>
  <si>
    <t>OOMS</t>
  </si>
  <si>
    <t>DUBAI</t>
  </si>
  <si>
    <t>DXB</t>
  </si>
  <si>
    <t>OMDB</t>
  </si>
  <si>
    <t>ABU DHABI INTL</t>
  </si>
  <si>
    <t>AUH</t>
  </si>
  <si>
    <t>OMAA</t>
  </si>
  <si>
    <t>BEIRUT</t>
  </si>
  <si>
    <t>BEY</t>
  </si>
  <si>
    <t>OLBA</t>
  </si>
  <si>
    <t>AMMAN/QUEEN ALIA</t>
  </si>
  <si>
    <t>AMM</t>
  </si>
  <si>
    <t>OJAI</t>
  </si>
  <si>
    <t>TBZ</t>
  </si>
  <si>
    <t>OITT</t>
  </si>
  <si>
    <t>MASHHAD/SHAHID HASHEMI NEJAD INTL</t>
  </si>
  <si>
    <t>MHD</t>
  </si>
  <si>
    <t>OIMM</t>
  </si>
  <si>
    <t>TEHRAN</t>
  </si>
  <si>
    <t>IKA</t>
  </si>
  <si>
    <t>OIIE</t>
  </si>
  <si>
    <t>RIYADH KING KHALID</t>
  </si>
  <si>
    <t>RUH</t>
  </si>
  <si>
    <t>OERK</t>
  </si>
  <si>
    <t>DAMMAN/KING FAHD INT</t>
  </si>
  <si>
    <t>DMM</t>
  </si>
  <si>
    <t>OEDF</t>
  </si>
  <si>
    <t>BAHRAIN-INTL</t>
  </si>
  <si>
    <t>BAH</t>
  </si>
  <si>
    <t>OBBI</t>
  </si>
  <si>
    <t>HABANA INTL/JOSE MAR</t>
  </si>
  <si>
    <t>HAV</t>
  </si>
  <si>
    <t>MUHA</t>
  </si>
  <si>
    <t>SAN JOSE INTL/JUAN S</t>
  </si>
  <si>
    <t>SJO</t>
  </si>
  <si>
    <t>MROC</t>
  </si>
  <si>
    <t>PANAMA</t>
  </si>
  <si>
    <t>PTY</t>
  </si>
  <si>
    <t>MPTO</t>
  </si>
  <si>
    <t>CANCUN INTL</t>
  </si>
  <si>
    <t>CUN</t>
  </si>
  <si>
    <t>MMUN</t>
  </si>
  <si>
    <t>MEXICO CITY</t>
  </si>
  <si>
    <t>MEX</t>
  </si>
  <si>
    <t>MMMX</t>
  </si>
  <si>
    <t>MONTEGO BAY INTL/SAN</t>
  </si>
  <si>
    <t>MBJ</t>
  </si>
  <si>
    <t>MKJS</t>
  </si>
  <si>
    <t>SANTO DOMINGO INTL/L</t>
  </si>
  <si>
    <t>SDQ</t>
  </si>
  <si>
    <t>MDSD</t>
  </si>
  <si>
    <t>PUNTA CANA</t>
  </si>
  <si>
    <t>PUJ</t>
  </si>
  <si>
    <t>MDPC</t>
  </si>
  <si>
    <t>KOSICE</t>
  </si>
  <si>
    <t>KSC</t>
  </si>
  <si>
    <t>LZKZ</t>
  </si>
  <si>
    <t>BRATISLAVA IVANKA</t>
  </si>
  <si>
    <t>BTS</t>
  </si>
  <si>
    <t>LZIB</t>
  </si>
  <si>
    <t>TIVAT</t>
  </si>
  <si>
    <t>TIV</t>
  </si>
  <si>
    <t>LYTV</t>
  </si>
  <si>
    <t>PODGORICA</t>
  </si>
  <si>
    <t>TGD</t>
  </si>
  <si>
    <t>LYPG</t>
  </si>
  <si>
    <t>NIS</t>
  </si>
  <si>
    <t>INI</t>
  </si>
  <si>
    <t>LYNI</t>
  </si>
  <si>
    <t>SURCIN-BEOGRAD</t>
  </si>
  <si>
    <t>BEG</t>
  </si>
  <si>
    <t>LYBE</t>
  </si>
  <si>
    <t>GIBRALTAR</t>
  </si>
  <si>
    <t>GIB</t>
  </si>
  <si>
    <t>LXGB</t>
  </si>
  <si>
    <t>SKOPJE</t>
  </si>
  <si>
    <t>SKP</t>
  </si>
  <si>
    <t>LWSK</t>
  </si>
  <si>
    <t>ST PAUL THE APOSTLE-OHRID</t>
  </si>
  <si>
    <t>OHD</t>
  </si>
  <si>
    <t>LWOH</t>
  </si>
  <si>
    <t>KISHINEV</t>
  </si>
  <si>
    <t>KIV</t>
  </si>
  <si>
    <t>LUKK</t>
  </si>
  <si>
    <t xml:space="preserve">ISTANBUL AIRPORT </t>
  </si>
  <si>
    <t>IST</t>
  </si>
  <si>
    <t>LTFM</t>
  </si>
  <si>
    <t>SABIHA GÖKÇEN</t>
  </si>
  <si>
    <t>SAW</t>
  </si>
  <si>
    <t>LTFJ</t>
  </si>
  <si>
    <t>SAMSUN</t>
  </si>
  <si>
    <t>SZF</t>
  </si>
  <si>
    <t>LTFH</t>
  </si>
  <si>
    <t>GAZIPASA - ALANYA</t>
  </si>
  <si>
    <t>GZP</t>
  </si>
  <si>
    <t>LTFG</t>
  </si>
  <si>
    <t>MILAS/BODRUM</t>
  </si>
  <si>
    <t>BJV</t>
  </si>
  <si>
    <t>LTFE</t>
  </si>
  <si>
    <t>EDO</t>
  </si>
  <si>
    <t>LTFD</t>
  </si>
  <si>
    <t>ISE</t>
  </si>
  <si>
    <t>LTFC</t>
  </si>
  <si>
    <t>ANTAKYA</t>
  </si>
  <si>
    <t>HTY</t>
  </si>
  <si>
    <t>LTDA</t>
  </si>
  <si>
    <t>HAKKARI YUKSEKOVA</t>
  </si>
  <si>
    <t>YKO</t>
  </si>
  <si>
    <t>LTCW</t>
  </si>
  <si>
    <t>SIRNAK/SERAFETTIN ELCI</t>
  </si>
  <si>
    <t>NKT</t>
  </si>
  <si>
    <t>LTCV</t>
  </si>
  <si>
    <t>BINGOL</t>
  </si>
  <si>
    <t>BGG</t>
  </si>
  <si>
    <t>LTCU</t>
  </si>
  <si>
    <t>IGDIR</t>
  </si>
  <si>
    <t>IGD</t>
  </si>
  <si>
    <t>LTCT</t>
  </si>
  <si>
    <t>SANLIURFA/GAP</t>
  </si>
  <si>
    <t>GNY</t>
  </si>
  <si>
    <t>LTCS</t>
  </si>
  <si>
    <t>MQM</t>
  </si>
  <si>
    <t>LTCR</t>
  </si>
  <si>
    <t>ADIYAMAN</t>
  </si>
  <si>
    <t>ADF</t>
  </si>
  <si>
    <t>LTCP</t>
  </si>
  <si>
    <t>AGRI</t>
  </si>
  <si>
    <t>AJI</t>
  </si>
  <si>
    <t>LTCO</t>
  </si>
  <si>
    <t>KAHRAMANMARAS</t>
  </si>
  <si>
    <t>KCM</t>
  </si>
  <si>
    <t>LTCN</t>
  </si>
  <si>
    <t>SINOP</t>
  </si>
  <si>
    <t>SIC</t>
  </si>
  <si>
    <t>LTCM</t>
  </si>
  <si>
    <t>SXZ</t>
  </si>
  <si>
    <t>LTCL</t>
  </si>
  <si>
    <t>MUS/SULTAN ALPARSLAN</t>
  </si>
  <si>
    <t>MSR</t>
  </si>
  <si>
    <t>LTCK</t>
  </si>
  <si>
    <t>BATMAN</t>
  </si>
  <si>
    <t>BAL</t>
  </si>
  <si>
    <t>LTCJ</t>
  </si>
  <si>
    <t>VAN</t>
  </si>
  <si>
    <t>LTCI</t>
  </si>
  <si>
    <t>TRABZON</t>
  </si>
  <si>
    <t>TZX</t>
  </si>
  <si>
    <t>LTCG</t>
  </si>
  <si>
    <t>KARS</t>
  </si>
  <si>
    <t>KSY</t>
  </si>
  <si>
    <t>LTCF</t>
  </si>
  <si>
    <t>ERZURUM</t>
  </si>
  <si>
    <t>ERZ</t>
  </si>
  <si>
    <t>LTCE</t>
  </si>
  <si>
    <t>ERZINCAN/MIL</t>
  </si>
  <si>
    <t>ERC</t>
  </si>
  <si>
    <t>LTCD</t>
  </si>
  <si>
    <t>DIYAR-BAKIR</t>
  </si>
  <si>
    <t>DIY</t>
  </si>
  <si>
    <t>LTCC</t>
  </si>
  <si>
    <t>ORDU - GIRESUN</t>
  </si>
  <si>
    <t>OGU</t>
  </si>
  <si>
    <t>LTCB</t>
  </si>
  <si>
    <t>ELAZIG</t>
  </si>
  <si>
    <t>EZS</t>
  </si>
  <si>
    <t>LTCA</t>
  </si>
  <si>
    <t>MUGLA-DALAMAN</t>
  </si>
  <si>
    <t>DLM</t>
  </si>
  <si>
    <t>LTBS</t>
  </si>
  <si>
    <t>BURSA/YENISEHIR</t>
  </si>
  <si>
    <t>YEI</t>
  </si>
  <si>
    <t>LTBR</t>
  </si>
  <si>
    <t>IZMIR-ADNAN-MENDERES</t>
  </si>
  <si>
    <t>ADB</t>
  </si>
  <si>
    <t>LTBJ</t>
  </si>
  <si>
    <t>CKZ</t>
  </si>
  <si>
    <t>LTBH</t>
  </si>
  <si>
    <t>KAPADOKYA</t>
  </si>
  <si>
    <t>NAV</t>
  </si>
  <si>
    <t>LTAZ</t>
  </si>
  <si>
    <t>DENIZLI/CARDAK</t>
  </si>
  <si>
    <t>DNZ</t>
  </si>
  <si>
    <t>LTAY</t>
  </si>
  <si>
    <t>KAYSERI</t>
  </si>
  <si>
    <t>ASR</t>
  </si>
  <si>
    <t>LTAU</t>
  </si>
  <si>
    <t>MALATYA-ERHAC</t>
  </si>
  <si>
    <t>MLX</t>
  </si>
  <si>
    <t>LTAT</t>
  </si>
  <si>
    <t>SIVAS</t>
  </si>
  <si>
    <t>VAS</t>
  </si>
  <si>
    <t>LTAR</t>
  </si>
  <si>
    <t>AMASYA/MERZIFON</t>
  </si>
  <si>
    <t>MZH</t>
  </si>
  <si>
    <t>LTAP</t>
  </si>
  <si>
    <t>KONYA</t>
  </si>
  <si>
    <t>KYA</t>
  </si>
  <si>
    <t>LTAN</t>
  </si>
  <si>
    <t>KASTAMONU</t>
  </si>
  <si>
    <t>KFS</t>
  </si>
  <si>
    <t>LTAL</t>
  </si>
  <si>
    <t>GAZIANTEP</t>
  </si>
  <si>
    <t>GZT</t>
  </si>
  <si>
    <t>LTAJ</t>
  </si>
  <si>
    <t>ANTALYA</t>
  </si>
  <si>
    <t>AYT</t>
  </si>
  <si>
    <t>LTAI</t>
  </si>
  <si>
    <t>ADANA-SAKIRPASA</t>
  </si>
  <si>
    <t>ADA</t>
  </si>
  <si>
    <t>LTAF</t>
  </si>
  <si>
    <t>ANKARA-ESENBOGA</t>
  </si>
  <si>
    <t>ESB</t>
  </si>
  <si>
    <t>LTAC</t>
  </si>
  <si>
    <t>ZURICH</t>
  </si>
  <si>
    <t>ZRH</t>
  </si>
  <si>
    <t>LSZH</t>
  </si>
  <si>
    <t>GENEVA</t>
  </si>
  <si>
    <t>GVA</t>
  </si>
  <si>
    <t>LSGG</t>
  </si>
  <si>
    <t>TIMISOARA/GIARMATA</t>
  </si>
  <si>
    <t>TSR</t>
  </si>
  <si>
    <t>LRTR</t>
  </si>
  <si>
    <t>TARGU MURES / TRANSILVANIA - TARGU MURES</t>
  </si>
  <si>
    <t>TGM</t>
  </si>
  <si>
    <t>LRTM</t>
  </si>
  <si>
    <t>SUCEAVA/STEFAN CEL MARE - SUCEAVA</t>
  </si>
  <si>
    <t>SCV</t>
  </si>
  <si>
    <t>LRSV</t>
  </si>
  <si>
    <t>SIBIU</t>
  </si>
  <si>
    <t>SBZ</t>
  </si>
  <si>
    <t>LRSB</t>
  </si>
  <si>
    <t>OTOPENI-INTL.</t>
  </si>
  <si>
    <t>OTP</t>
  </si>
  <si>
    <t>LROP</t>
  </si>
  <si>
    <t>ORADEA</t>
  </si>
  <si>
    <t>OMR</t>
  </si>
  <si>
    <t>LROD</t>
  </si>
  <si>
    <t>IASI</t>
  </si>
  <si>
    <t>IAS</t>
  </si>
  <si>
    <t>LRIA</t>
  </si>
  <si>
    <t>CRAIOVA</t>
  </si>
  <si>
    <t>CRA</t>
  </si>
  <si>
    <t>LRCV</t>
  </si>
  <si>
    <t>CLUJ-NAPOCA/SOMESENI</t>
  </si>
  <si>
    <t>CLJ</t>
  </si>
  <si>
    <t>LRCL</t>
  </si>
  <si>
    <t>CONSTANTA</t>
  </si>
  <si>
    <t>CND</t>
  </si>
  <si>
    <t>LRCK</t>
  </si>
  <si>
    <t>BAIA MARE / MARAMURES</t>
  </si>
  <si>
    <t>BAY</t>
  </si>
  <si>
    <t>LRBM</t>
  </si>
  <si>
    <t>BACAU/GEORGE ENESCU</t>
  </si>
  <si>
    <t>BCM</t>
  </si>
  <si>
    <t>LRBC</t>
  </si>
  <si>
    <t>TUZLA</t>
  </si>
  <si>
    <t>TZL</t>
  </si>
  <si>
    <t>LQTZ</t>
  </si>
  <si>
    <t>SARAJEVO</t>
  </si>
  <si>
    <t>SJJ</t>
  </si>
  <si>
    <t>LQSA</t>
  </si>
  <si>
    <t>BANJA LUKA INTERNATIONAL AIRPORT</t>
  </si>
  <si>
    <t>BNX</t>
  </si>
  <si>
    <t>LQBK</t>
  </si>
  <si>
    <t>LISBON</t>
  </si>
  <si>
    <t>LIS</t>
  </si>
  <si>
    <t>LPPT</t>
  </si>
  <si>
    <t>PORTO SANTO</t>
  </si>
  <si>
    <t>PXO</t>
  </si>
  <si>
    <t>LPPS</t>
  </si>
  <si>
    <t>PORTO</t>
  </si>
  <si>
    <t>OPO</t>
  </si>
  <si>
    <t>LPPR</t>
  </si>
  <si>
    <t>PONTA DELGADA</t>
  </si>
  <si>
    <t>PDL</t>
  </si>
  <si>
    <t>LPPD</t>
  </si>
  <si>
    <t>FUNCHAL</t>
  </si>
  <si>
    <t>FNC</t>
  </si>
  <si>
    <t>LPMA</t>
  </si>
  <si>
    <t>LAJES TERCEIRA</t>
  </si>
  <si>
    <t>TER</t>
  </si>
  <si>
    <t>LPLA</t>
  </si>
  <si>
    <t>FARO</t>
  </si>
  <si>
    <t>FAO</t>
  </si>
  <si>
    <t>LPFR</t>
  </si>
  <si>
    <t>VIENNA</t>
  </si>
  <si>
    <t>VIE</t>
  </si>
  <si>
    <t>LOWW</t>
  </si>
  <si>
    <t>SALZBURG</t>
  </si>
  <si>
    <t>SZG</t>
  </si>
  <si>
    <t>LOWS</t>
  </si>
  <si>
    <t>KLAGENFURT</t>
  </si>
  <si>
    <t>KLU</t>
  </si>
  <si>
    <t>LOWK</t>
  </si>
  <si>
    <t>INNSBRUCK</t>
  </si>
  <si>
    <t>INN</t>
  </si>
  <si>
    <t>LOWI</t>
  </si>
  <si>
    <t>GRAZ</t>
  </si>
  <si>
    <t>GRZ</t>
  </si>
  <si>
    <t>LOWG</t>
  </si>
  <si>
    <t>MALTA/LUQA</t>
  </si>
  <si>
    <t>MLA</t>
  </si>
  <si>
    <t>LMML</t>
  </si>
  <si>
    <t>TEL AVIV/BEN GURION</t>
  </si>
  <si>
    <t>TLV</t>
  </si>
  <si>
    <t>LLBG</t>
  </si>
  <si>
    <t>BRNO TURANY</t>
  </si>
  <si>
    <t>BRQ</t>
  </si>
  <si>
    <t>LKTB</t>
  </si>
  <si>
    <t>PRAGUE/RUZYNE</t>
  </si>
  <si>
    <t>PRG</t>
  </si>
  <si>
    <t>LKPR</t>
  </si>
  <si>
    <t>OSTRAVA</t>
  </si>
  <si>
    <t>OSR</t>
  </si>
  <si>
    <t>LKMT</t>
  </si>
  <si>
    <t>LJUBLJANA</t>
  </si>
  <si>
    <t>LJU</t>
  </si>
  <si>
    <t>LJLJ</t>
  </si>
  <si>
    <t>PERUGIA</t>
  </si>
  <si>
    <t>PEG</t>
  </si>
  <si>
    <t>LIRZ</t>
  </si>
  <si>
    <t>FIRENZE/PERETOLA</t>
  </si>
  <si>
    <t>FLR</t>
  </si>
  <si>
    <t>LIRQ</t>
  </si>
  <si>
    <t>PISA SAN GIUSTO</t>
  </si>
  <si>
    <t>PSA</t>
  </si>
  <si>
    <t>LIRP</t>
  </si>
  <si>
    <t>NAPOLI CAPODICHINO</t>
  </si>
  <si>
    <t>NAP</t>
  </si>
  <si>
    <t>LIRN</t>
  </si>
  <si>
    <t>ROME/FIUMICINO</t>
  </si>
  <si>
    <t>FCO</t>
  </si>
  <si>
    <t>LIRF</t>
  </si>
  <si>
    <t>ROME/CIAMPINO</t>
  </si>
  <si>
    <t>CIA</t>
  </si>
  <si>
    <t>LIRA</t>
  </si>
  <si>
    <t>VENICE/TESSERA</t>
  </si>
  <si>
    <t>VCE</t>
  </si>
  <si>
    <t>LIPZ</t>
  </si>
  <si>
    <t>ANCONA FALCONARA</t>
  </si>
  <si>
    <t>AOI</t>
  </si>
  <si>
    <t>LIPY</t>
  </si>
  <si>
    <t>VERONA VILLAFRANCA</t>
  </si>
  <si>
    <t>VRN</t>
  </si>
  <si>
    <t>LIPX</t>
  </si>
  <si>
    <t>RMI</t>
  </si>
  <si>
    <t>LIPR</t>
  </si>
  <si>
    <t>RONCHI DEI LEGIONARI</t>
  </si>
  <si>
    <t>TRS</t>
  </si>
  <si>
    <t>LIPQ</t>
  </si>
  <si>
    <t>TREVISO SAN ANGELO</t>
  </si>
  <si>
    <t>TSF</t>
  </si>
  <si>
    <t>LIPH</t>
  </si>
  <si>
    <t>BOLOGNA</t>
  </si>
  <si>
    <t>BLQ</t>
  </si>
  <si>
    <t>LIPE</t>
  </si>
  <si>
    <t>CUNEO/LEVALDIGI</t>
  </si>
  <si>
    <t>CUF</t>
  </si>
  <si>
    <t>LIMZ</t>
  </si>
  <si>
    <t>MILAN/LINATE</t>
  </si>
  <si>
    <t>LIN</t>
  </si>
  <si>
    <t>LIML</t>
  </si>
  <si>
    <t>GENOVA SESTRI</t>
  </si>
  <si>
    <t>GOA</t>
  </si>
  <si>
    <t>LIMJ</t>
  </si>
  <si>
    <t>TORINO/CASELLE</t>
  </si>
  <si>
    <t>TRN</t>
  </si>
  <si>
    <t>LIMF</t>
  </si>
  <si>
    <t>BERGAMO/ORIO ALSERIO</t>
  </si>
  <si>
    <t>BGY</t>
  </si>
  <si>
    <t>LIME</t>
  </si>
  <si>
    <t>MILAN/MALPENSA</t>
  </si>
  <si>
    <t>MXP</t>
  </si>
  <si>
    <t>LIMC</t>
  </si>
  <si>
    <t>OLBIA COSTA SMERALDA</t>
  </si>
  <si>
    <t>OLB</t>
  </si>
  <si>
    <t>LIEO</t>
  </si>
  <si>
    <t>CAGLIARI ELMAS</t>
  </si>
  <si>
    <t>CAG</t>
  </si>
  <si>
    <t>LIEE</t>
  </si>
  <si>
    <t>ALGHERO</t>
  </si>
  <si>
    <t>AHO</t>
  </si>
  <si>
    <t>LIEA</t>
  </si>
  <si>
    <t>TRAPANI BIRGI</t>
  </si>
  <si>
    <t>TPS</t>
  </si>
  <si>
    <t>LICT</t>
  </si>
  <si>
    <t>REGGIO CALABRIA</t>
  </si>
  <si>
    <t>REG</t>
  </si>
  <si>
    <t>LICR</t>
  </si>
  <si>
    <t>PALERMO PUNTA RAISI</t>
  </si>
  <si>
    <t>PMO</t>
  </si>
  <si>
    <t>LICJ</t>
  </si>
  <si>
    <t>LAMPEDUSA</t>
  </si>
  <si>
    <t>LMP</t>
  </si>
  <si>
    <t>LICD</t>
  </si>
  <si>
    <t>CATANIA FONTANAROSSA</t>
  </si>
  <si>
    <t>CTA</t>
  </si>
  <si>
    <t>LICC</t>
  </si>
  <si>
    <t>COMISO</t>
  </si>
  <si>
    <t>CIY</t>
  </si>
  <si>
    <t>LICB</t>
  </si>
  <si>
    <t>LAMEZIA TERME</t>
  </si>
  <si>
    <t>SUF</t>
  </si>
  <si>
    <t>LICA</t>
  </si>
  <si>
    <t>BRINDISI CASALE</t>
  </si>
  <si>
    <t>BDS</t>
  </si>
  <si>
    <t>LIBR</t>
  </si>
  <si>
    <t>PESCARA</t>
  </si>
  <si>
    <t>PSR</t>
  </si>
  <si>
    <t>LIBP</t>
  </si>
  <si>
    <t>BARI PALESE</t>
  </si>
  <si>
    <t>BRI</t>
  </si>
  <si>
    <t>LIBD</t>
  </si>
  <si>
    <t>CROTONE</t>
  </si>
  <si>
    <t>CRV</t>
  </si>
  <si>
    <t>LIBC</t>
  </si>
  <si>
    <t>DEBRECEN</t>
  </si>
  <si>
    <t>DEB</t>
  </si>
  <si>
    <t>LHDC</t>
  </si>
  <si>
    <t>BUDAPEST/FERIHEGY</t>
  </si>
  <si>
    <t>BUD</t>
  </si>
  <si>
    <t>LHBP</t>
  </si>
  <si>
    <t>ZAKINTHOS / DIONISIOS SOLOMOS</t>
  </si>
  <si>
    <t>ZTH</t>
  </si>
  <si>
    <t>LGZA</t>
  </si>
  <si>
    <t>MAKEDONIA</t>
  </si>
  <si>
    <t>SKG</t>
  </si>
  <si>
    <t>LGTS</t>
  </si>
  <si>
    <t>SKIROS</t>
  </si>
  <si>
    <t>SKU</t>
  </si>
  <si>
    <t>LGSY</t>
  </si>
  <si>
    <t>JSH</t>
  </si>
  <si>
    <t>LGST</t>
  </si>
  <si>
    <t>SANTORINI</t>
  </si>
  <si>
    <t>JTR</t>
  </si>
  <si>
    <t>LGSR</t>
  </si>
  <si>
    <t>SAMOS / ARISTARCHOS OF SAMOS</t>
  </si>
  <si>
    <t>SMI</t>
  </si>
  <si>
    <t>LGSM</t>
  </si>
  <si>
    <t>KHANIA/SOUDA</t>
  </si>
  <si>
    <t>CHQ</t>
  </si>
  <si>
    <t>LGSA</t>
  </si>
  <si>
    <t>DIAGORAS</t>
  </si>
  <si>
    <t>RHO</t>
  </si>
  <si>
    <t>LGRP</t>
  </si>
  <si>
    <t>PVK</t>
  </si>
  <si>
    <t>LGPZ</t>
  </si>
  <si>
    <t>PAROS</t>
  </si>
  <si>
    <t>PAS</t>
  </si>
  <si>
    <t>LGPA</t>
  </si>
  <si>
    <t>NAXOS</t>
  </si>
  <si>
    <t>JNX</t>
  </si>
  <si>
    <t>LGNX</t>
  </si>
  <si>
    <t>MITILINI</t>
  </si>
  <si>
    <t>MJT</t>
  </si>
  <si>
    <t>LGMT</t>
  </si>
  <si>
    <t>MILOS</t>
  </si>
  <si>
    <t>MLO</t>
  </si>
  <si>
    <t>LGML</t>
  </si>
  <si>
    <t>MIKONOS</t>
  </si>
  <si>
    <t>JMK</t>
  </si>
  <si>
    <t>LGMK</t>
  </si>
  <si>
    <t>LIMNOS / IFAISTOS</t>
  </si>
  <si>
    <t>LXS</t>
  </si>
  <si>
    <t>LGLM</t>
  </si>
  <si>
    <t>LEROS</t>
  </si>
  <si>
    <t>LRS</t>
  </si>
  <si>
    <t>LGLE</t>
  </si>
  <si>
    <t>KAVALA / MEGAS ALEXANDROS</t>
  </si>
  <si>
    <t>KVA</t>
  </si>
  <si>
    <t>LGKV</t>
  </si>
  <si>
    <t>IOANNIS/KAPODISTRIAS</t>
  </si>
  <si>
    <t>CFU</t>
  </si>
  <si>
    <t>LGKR</t>
  </si>
  <si>
    <t>KARPATHOS</t>
  </si>
  <si>
    <t>AOK</t>
  </si>
  <si>
    <t>LGKP</t>
  </si>
  <si>
    <t>KOS</t>
  </si>
  <si>
    <t>KGS</t>
  </si>
  <si>
    <t>LGKO</t>
  </si>
  <si>
    <t>KALAMATA</t>
  </si>
  <si>
    <t>KLX</t>
  </si>
  <si>
    <t>LGKL</t>
  </si>
  <si>
    <t>EFL</t>
  </si>
  <si>
    <t>LGKF</t>
  </si>
  <si>
    <t>KIT</t>
  </si>
  <si>
    <t>LGKC</t>
  </si>
  <si>
    <t>IRAKLION/NIKOS/KAZANTZAKIS</t>
  </si>
  <si>
    <t>HER</t>
  </si>
  <si>
    <t>LGIR</t>
  </si>
  <si>
    <t>IOANNINA/ KING PYRROS</t>
  </si>
  <si>
    <t>IOA</t>
  </si>
  <si>
    <t>LGIO</t>
  </si>
  <si>
    <t>IKARIA/ IKAROS</t>
  </si>
  <si>
    <t>JIK</t>
  </si>
  <si>
    <t>LGIK</t>
  </si>
  <si>
    <t>CHIOS/ OMIROS</t>
  </si>
  <si>
    <t>JKH</t>
  </si>
  <si>
    <t>LGHI</t>
  </si>
  <si>
    <t>ATHENS</t>
  </si>
  <si>
    <t>ATH</t>
  </si>
  <si>
    <t>LGAV</t>
  </si>
  <si>
    <t>ALEXANDROUPOLIS / DIMOKRITOS</t>
  </si>
  <si>
    <t>AXD</t>
  </si>
  <si>
    <t>LGAL</t>
  </si>
  <si>
    <t>NIMES</t>
  </si>
  <si>
    <t>FNI</t>
  </si>
  <si>
    <t>LFTW</t>
  </si>
  <si>
    <t>HYERES LA PALYVESTRE</t>
  </si>
  <si>
    <t>TLN</t>
  </si>
  <si>
    <t>LFTH</t>
  </si>
  <si>
    <t>STRASBOURG/ENTZHEIM</t>
  </si>
  <si>
    <t>SXB</t>
  </si>
  <si>
    <t>LFST</t>
  </si>
  <si>
    <t>BASLE/MULHOUSE</t>
  </si>
  <si>
    <t>BSL</t>
  </si>
  <si>
    <t>LFSB</t>
  </si>
  <si>
    <t>NANTES</t>
  </si>
  <si>
    <t>NTE</t>
  </si>
  <si>
    <t>LFRS</t>
  </si>
  <si>
    <t>RENNES SAINT JACQUES</t>
  </si>
  <si>
    <t>RNS</t>
  </si>
  <si>
    <t>LFRN</t>
  </si>
  <si>
    <t>CAEN CARPIQUET</t>
  </si>
  <si>
    <t>CFR</t>
  </si>
  <si>
    <t>LFRK</t>
  </si>
  <si>
    <t>BREST-GUIPAVAS</t>
  </si>
  <si>
    <t>BES</t>
  </si>
  <si>
    <t>LFRB</t>
  </si>
  <si>
    <t>LILLE/LESQUIN</t>
  </si>
  <si>
    <t>LIL</t>
  </si>
  <si>
    <t>LFQQ</t>
  </si>
  <si>
    <t>PARIS/ORLY</t>
  </si>
  <si>
    <t>ORY</t>
  </si>
  <si>
    <t>LFPO</t>
  </si>
  <si>
    <t>PARIS/CHARLES-DE-GAULLE</t>
  </si>
  <si>
    <t>CDG</t>
  </si>
  <si>
    <t>LFPG</t>
  </si>
  <si>
    <t>TOURS ST SYMPHORIEN</t>
  </si>
  <si>
    <t>TUF</t>
  </si>
  <si>
    <t>LFOT</t>
  </si>
  <si>
    <t>XCR</t>
  </si>
  <si>
    <t>LFOK</t>
  </si>
  <si>
    <t>BEAUVAIS-TILLE</t>
  </si>
  <si>
    <t>BVA</t>
  </si>
  <si>
    <t>LFOB</t>
  </si>
  <si>
    <t>BEZIERS</t>
  </si>
  <si>
    <t>BZR</t>
  </si>
  <si>
    <t>LFMU</t>
  </si>
  <si>
    <t>MONTPELLIER</t>
  </si>
  <si>
    <t>MPL</t>
  </si>
  <si>
    <t>LFMT</t>
  </si>
  <si>
    <t>PERPIGNAN RIVESALTES</t>
  </si>
  <si>
    <t>PGF</t>
  </si>
  <si>
    <t>LFMP</t>
  </si>
  <si>
    <t>NICE</t>
  </si>
  <si>
    <t>NCE</t>
  </si>
  <si>
    <t>LFMN</t>
  </si>
  <si>
    <t>MARSEILLE/PROVENCE</t>
  </si>
  <si>
    <t>LFML</t>
  </si>
  <si>
    <t>CARCASSONNE SALVAZA</t>
  </si>
  <si>
    <t>CCF</t>
  </si>
  <si>
    <t>LFMK</t>
  </si>
  <si>
    <t>LYON/SARTOLAS</t>
  </si>
  <si>
    <t>LYS</t>
  </si>
  <si>
    <t>LFLL</t>
  </si>
  <si>
    <t>CLERMONT-FERRAND</t>
  </si>
  <si>
    <t>CFE</t>
  </si>
  <si>
    <t>LFLC</t>
  </si>
  <si>
    <t>AJACCIO</t>
  </si>
  <si>
    <t>AJA</t>
  </si>
  <si>
    <t>LFKJ</t>
  </si>
  <si>
    <t>FSC</t>
  </si>
  <si>
    <t>LFKF</t>
  </si>
  <si>
    <t>CALVI STE CATHERINE</t>
  </si>
  <si>
    <t>CLY</t>
  </si>
  <si>
    <t>LFKC</t>
  </si>
  <si>
    <t>BASTIA</t>
  </si>
  <si>
    <t>BIA</t>
  </si>
  <si>
    <t>LFKB</t>
  </si>
  <si>
    <t>DOLE TAVAUX</t>
  </si>
  <si>
    <t>DLE</t>
  </si>
  <si>
    <t>LFGJ</t>
  </si>
  <si>
    <t>BIARRITZ-BAYONNE</t>
  </si>
  <si>
    <t>BIQ</t>
  </si>
  <si>
    <t>LFBZ</t>
  </si>
  <si>
    <t>TARBES LOURDES PYRENEES</t>
  </si>
  <si>
    <t>LDE</t>
  </si>
  <si>
    <t>LFBT</t>
  </si>
  <si>
    <t>PAU VZEIN</t>
  </si>
  <si>
    <t>PUF</t>
  </si>
  <si>
    <t>LFBP</t>
  </si>
  <si>
    <t>TOULOUSE/BLAGNAC</t>
  </si>
  <si>
    <t>TLS</t>
  </si>
  <si>
    <t>LFBO</t>
  </si>
  <si>
    <t>LIMOGES BELLEGARDE</t>
  </si>
  <si>
    <t>LIG</t>
  </si>
  <si>
    <t>LFBL</t>
  </si>
  <si>
    <t>LA ROCHELLE LALEU</t>
  </si>
  <si>
    <t>LRH</t>
  </si>
  <si>
    <t>LFBH</t>
  </si>
  <si>
    <t>BERGERAC/ROUMANIERE</t>
  </si>
  <si>
    <t>EGC</t>
  </si>
  <si>
    <t>LFBE</t>
  </si>
  <si>
    <t>BORDEAUX/MERIGNAC</t>
  </si>
  <si>
    <t>BOD</t>
  </si>
  <si>
    <t>LFBD</t>
  </si>
  <si>
    <t>SEVILLA</t>
  </si>
  <si>
    <t>SVQ</t>
  </si>
  <si>
    <t>LEZL</t>
  </si>
  <si>
    <t>ZARAGOZA</t>
  </si>
  <si>
    <t>ZAZ</t>
  </si>
  <si>
    <t>LEZG</t>
  </si>
  <si>
    <t>SANTANDER</t>
  </si>
  <si>
    <t>SDR</t>
  </si>
  <si>
    <t>LEXJ</t>
  </si>
  <si>
    <t>VIGO</t>
  </si>
  <si>
    <t>VGO</t>
  </si>
  <si>
    <t>LEVX</t>
  </si>
  <si>
    <t>VITORIA</t>
  </si>
  <si>
    <t>VIT</t>
  </si>
  <si>
    <t>LEVT</t>
  </si>
  <si>
    <t>VALLADOLID</t>
  </si>
  <si>
    <t>VLL</t>
  </si>
  <si>
    <t>LEVD</t>
  </si>
  <si>
    <t>VALENCIA</t>
  </si>
  <si>
    <t>VLC</t>
  </si>
  <si>
    <t>LEVC</t>
  </si>
  <si>
    <t>SANTIAGO</t>
  </si>
  <si>
    <t>SCQ</t>
  </si>
  <si>
    <t>LEST</t>
  </si>
  <si>
    <t>SAN SEBASTIAN</t>
  </si>
  <si>
    <t>EAS</t>
  </si>
  <si>
    <t>LESO</t>
  </si>
  <si>
    <t>REUS</t>
  </si>
  <si>
    <t>REU</t>
  </si>
  <si>
    <t>LERS</t>
  </si>
  <si>
    <t>PALMA DE MALLORCA</t>
  </si>
  <si>
    <t>PMI</t>
  </si>
  <si>
    <t>LEPA</t>
  </si>
  <si>
    <t>REGION DE MURCIA</t>
  </si>
  <si>
    <t>RMU</t>
  </si>
  <si>
    <t>LEMI</t>
  </si>
  <si>
    <t>MAHON</t>
  </si>
  <si>
    <t>MAH</t>
  </si>
  <si>
    <t>LEMH</t>
  </si>
  <si>
    <t>MALAGA</t>
  </si>
  <si>
    <t>AGP</t>
  </si>
  <si>
    <t>LEMG</t>
  </si>
  <si>
    <t>MADRID/BARAJAS</t>
  </si>
  <si>
    <t>LEMD</t>
  </si>
  <si>
    <t>JEREZ DE LA FRONTERA</t>
  </si>
  <si>
    <t>XRY</t>
  </si>
  <si>
    <t>LEJR</t>
  </si>
  <si>
    <t>IBIZA</t>
  </si>
  <si>
    <t>IBZ</t>
  </si>
  <si>
    <t>LEIB</t>
  </si>
  <si>
    <t>GRANADA</t>
  </si>
  <si>
    <t>GRX</t>
  </si>
  <si>
    <t>LEGR</t>
  </si>
  <si>
    <t>GERONA</t>
  </si>
  <si>
    <t>GRO</t>
  </si>
  <si>
    <t>LEGE</t>
  </si>
  <si>
    <t>LA CORUNA</t>
  </si>
  <si>
    <t>LCG</t>
  </si>
  <si>
    <t>LECO</t>
  </si>
  <si>
    <t>BARCELONA</t>
  </si>
  <si>
    <t>LEBL</t>
  </si>
  <si>
    <t>BILBAO</t>
  </si>
  <si>
    <t>BIO</t>
  </si>
  <si>
    <t>LEBB</t>
  </si>
  <si>
    <t>ASTURIAS</t>
  </si>
  <si>
    <t>OVD</t>
  </si>
  <si>
    <t>LEAS</t>
  </si>
  <si>
    <t>ALMERIA</t>
  </si>
  <si>
    <t>LEI</t>
  </si>
  <si>
    <t>LEAM</t>
  </si>
  <si>
    <t>ALICANTE</t>
  </si>
  <si>
    <t>ALC</t>
  </si>
  <si>
    <t>LEAL</t>
  </si>
  <si>
    <t>ZAD</t>
  </si>
  <si>
    <t>LDZD</t>
  </si>
  <si>
    <t>ZAGREB</t>
  </si>
  <si>
    <t>ZAG</t>
  </si>
  <si>
    <t>LDZA</t>
  </si>
  <si>
    <t>SPLIT</t>
  </si>
  <si>
    <t>SPU</t>
  </si>
  <si>
    <t>LDSP</t>
  </si>
  <si>
    <t>PULA</t>
  </si>
  <si>
    <t>PUY</t>
  </si>
  <si>
    <t>LDPL</t>
  </si>
  <si>
    <t>DUBROVNIK</t>
  </si>
  <si>
    <t>DBV</t>
  </si>
  <si>
    <t>LDDU</t>
  </si>
  <si>
    <t>PAPHOS</t>
  </si>
  <si>
    <t>PFO</t>
  </si>
  <si>
    <t>LCPH</t>
  </si>
  <si>
    <t>LARNACA</t>
  </si>
  <si>
    <t>LCA</t>
  </si>
  <si>
    <t>LCLK</t>
  </si>
  <si>
    <t>VARNA</t>
  </si>
  <si>
    <t>VAR</t>
  </si>
  <si>
    <t>LBWN</t>
  </si>
  <si>
    <t>SOFIA</t>
  </si>
  <si>
    <t>SOF</t>
  </si>
  <si>
    <t>LBSF</t>
  </si>
  <si>
    <t>BURGAS</t>
  </si>
  <si>
    <t>BOJ</t>
  </si>
  <si>
    <t>LBBG</t>
  </si>
  <si>
    <t>TIRANA</t>
  </si>
  <si>
    <t>TIA</t>
  </si>
  <si>
    <t>LATI</t>
  </si>
  <si>
    <t>SAN FRANCISCO</t>
  </si>
  <si>
    <t>SFO</t>
  </si>
  <si>
    <t>KSFO</t>
  </si>
  <si>
    <t>SEATTLE/TACOMA INTL</t>
  </si>
  <si>
    <t>SEA</t>
  </si>
  <si>
    <t>KSEA</t>
  </si>
  <si>
    <t>PHILADELPHIA</t>
  </si>
  <si>
    <t>PHL</t>
  </si>
  <si>
    <t>KPHL</t>
  </si>
  <si>
    <t>CHICAGO O HARE INTL</t>
  </si>
  <si>
    <t>ORD</t>
  </si>
  <si>
    <t>KORD</t>
  </si>
  <si>
    <t>MIAMI INTL/FLORIDA</t>
  </si>
  <si>
    <t>MIA</t>
  </si>
  <si>
    <t>KMIA</t>
  </si>
  <si>
    <t>LOS ANGELES</t>
  </si>
  <si>
    <t>LAX</t>
  </si>
  <si>
    <t>KLAX</t>
  </si>
  <si>
    <t>NEW YORK</t>
  </si>
  <si>
    <t>JFK</t>
  </si>
  <si>
    <t>KJFK</t>
  </si>
  <si>
    <t>HOUSTON INTL/TEXAS</t>
  </si>
  <si>
    <t>IAH</t>
  </si>
  <si>
    <t>KIAH</t>
  </si>
  <si>
    <t>WASHINGTON</t>
  </si>
  <si>
    <t>IAD</t>
  </si>
  <si>
    <t>KIAD</t>
  </si>
  <si>
    <t>NEWARK</t>
  </si>
  <si>
    <t>EWR</t>
  </si>
  <si>
    <t>KEWR</t>
  </si>
  <si>
    <t>DETROIT/METROPOL WAY</t>
  </si>
  <si>
    <t>DTW</t>
  </si>
  <si>
    <t>KDTW</t>
  </si>
  <si>
    <t>DALLAS/FORT WORTH</t>
  </si>
  <si>
    <t>KDFW</t>
  </si>
  <si>
    <t>DENVER INTERNATIONAL</t>
  </si>
  <si>
    <t>DEN</t>
  </si>
  <si>
    <t>KDEN</t>
  </si>
  <si>
    <t>CHARLOTTE</t>
  </si>
  <si>
    <t>CLT</t>
  </si>
  <si>
    <t>KCLT</t>
  </si>
  <si>
    <t>BOSTON</t>
  </si>
  <si>
    <t>BOS</t>
  </si>
  <si>
    <t>KBOS</t>
  </si>
  <si>
    <t>ATLANTA INTL/HARTSFI</t>
  </si>
  <si>
    <t>ATL</t>
  </si>
  <si>
    <t>KATL</t>
  </si>
  <si>
    <t>ENTEBBE INTL</t>
  </si>
  <si>
    <t>EBB</t>
  </si>
  <si>
    <t>HUEN</t>
  </si>
  <si>
    <t>DAR-ES-SALAAM</t>
  </si>
  <si>
    <t>DAR</t>
  </si>
  <si>
    <t>HTDA</t>
  </si>
  <si>
    <t>NAIROBI</t>
  </si>
  <si>
    <t>NBO</t>
  </si>
  <si>
    <t>HKJK</t>
  </si>
  <si>
    <t>SHARM EL SHEIKH</t>
  </si>
  <si>
    <t>SSH</t>
  </si>
  <si>
    <t>HESH</t>
  </si>
  <si>
    <t>MARSA ALAM INTL</t>
  </si>
  <si>
    <t>RMF</t>
  </si>
  <si>
    <t>HEMA</t>
  </si>
  <si>
    <t>HURGHADA</t>
  </si>
  <si>
    <t>HRG</t>
  </si>
  <si>
    <t>HEGN</t>
  </si>
  <si>
    <t>CAIRO</t>
  </si>
  <si>
    <t>CAI</t>
  </si>
  <si>
    <t>HECA</t>
  </si>
  <si>
    <t>HBE</t>
  </si>
  <si>
    <t>HEBA</t>
  </si>
  <si>
    <t>DIJBOUTI AMBOULI</t>
  </si>
  <si>
    <t>JIB</t>
  </si>
  <si>
    <t>HDAM</t>
  </si>
  <si>
    <t>ADDIS ABABA/LIDDETTA</t>
  </si>
  <si>
    <t>ADD</t>
  </si>
  <si>
    <t>HAAB</t>
  </si>
  <si>
    <t>SAO PEDRO/CESARIA EVORA INTERNATIONAL</t>
  </si>
  <si>
    <t>VXE</t>
  </si>
  <si>
    <t>GVSV</t>
  </si>
  <si>
    <t>NEW PRAIA AIRPORT</t>
  </si>
  <si>
    <t>RAI</t>
  </si>
  <si>
    <t>GVNP</t>
  </si>
  <si>
    <t>AMILCAR CABRAL</t>
  </si>
  <si>
    <t>SID</t>
  </si>
  <si>
    <t>GVAC</t>
  </si>
  <si>
    <t>NOUAKCHOTT-OUMTOUNSY</t>
  </si>
  <si>
    <t>NKC</t>
  </si>
  <si>
    <t>GQNO</t>
  </si>
  <si>
    <t>DAKAR - BLAISE DIAGNE</t>
  </si>
  <si>
    <t>DSS</t>
  </si>
  <si>
    <t>GOBD</t>
  </si>
  <si>
    <t>TANGER/BOUKHALF</t>
  </si>
  <si>
    <t>TNG</t>
  </si>
  <si>
    <t>GMTT</t>
  </si>
  <si>
    <t>MARRAKECH</t>
  </si>
  <si>
    <t>RAK</t>
  </si>
  <si>
    <t>GMMX</t>
  </si>
  <si>
    <t>NADOR</t>
  </si>
  <si>
    <t>NDR</t>
  </si>
  <si>
    <t>GMMW</t>
  </si>
  <si>
    <t>CASABLANCA/MOHAMMED</t>
  </si>
  <si>
    <t>CMN</t>
  </si>
  <si>
    <t>GMMN</t>
  </si>
  <si>
    <t>RABAT/SALE</t>
  </si>
  <si>
    <t>RBA</t>
  </si>
  <si>
    <t>GMME</t>
  </si>
  <si>
    <t>OUJDA</t>
  </si>
  <si>
    <t>OUD</t>
  </si>
  <si>
    <t>GMFO</t>
  </si>
  <si>
    <t>FES/SAISS</t>
  </si>
  <si>
    <t>FEZ</t>
  </si>
  <si>
    <t>GMFF</t>
  </si>
  <si>
    <t>AGADIR/AL-MASSIRA</t>
  </si>
  <si>
    <t>AGA</t>
  </si>
  <si>
    <t>GMAD</t>
  </si>
  <si>
    <t>TENERIFE NORTE</t>
  </si>
  <si>
    <t>TFN</t>
  </si>
  <si>
    <t>GCXO</t>
  </si>
  <si>
    <t>TENERIFE SUR/REINA SOFIA</t>
  </si>
  <si>
    <t>TFS</t>
  </si>
  <si>
    <t>GCTS</t>
  </si>
  <si>
    <t>ARRECIFE LANZAROTE</t>
  </si>
  <si>
    <t>ACE</t>
  </si>
  <si>
    <t>GCRR</t>
  </si>
  <si>
    <t>LAS PALMAS</t>
  </si>
  <si>
    <t>LPA</t>
  </si>
  <si>
    <t>GCLP</t>
  </si>
  <si>
    <t>LA PALMA</t>
  </si>
  <si>
    <t>SPC</t>
  </si>
  <si>
    <t>GCLA</t>
  </si>
  <si>
    <t>HIERRO</t>
  </si>
  <si>
    <t>VDE</t>
  </si>
  <si>
    <t>GCHI</t>
  </si>
  <si>
    <t>LA GOMERA</t>
  </si>
  <si>
    <t>GMZ</t>
  </si>
  <si>
    <t>GCGM</t>
  </si>
  <si>
    <t>FUERTEVENTURA</t>
  </si>
  <si>
    <t>FUE</t>
  </si>
  <si>
    <t>GCFV</t>
  </si>
  <si>
    <t>BANJUL</t>
  </si>
  <si>
    <t>BJL</t>
  </si>
  <si>
    <t>GBYD</t>
  </si>
  <si>
    <t>BAMAKO VILLE</t>
  </si>
  <si>
    <t>BKO</t>
  </si>
  <si>
    <t>GABS</t>
  </si>
  <si>
    <t>KINSHASA/N'DJILI INT</t>
  </si>
  <si>
    <t>FIH</t>
  </si>
  <si>
    <t>FZAA</t>
  </si>
  <si>
    <t>LIBREVILLE</t>
  </si>
  <si>
    <t>LBV</t>
  </si>
  <si>
    <t>FOOL</t>
  </si>
  <si>
    <t>LUANDA, ANGOLA</t>
  </si>
  <si>
    <t>LAD</t>
  </si>
  <si>
    <t>FNLU</t>
  </si>
  <si>
    <t>REUNION ISLAND INTL/</t>
  </si>
  <si>
    <t>RUN</t>
  </si>
  <si>
    <t>FMEE</t>
  </si>
  <si>
    <t>YAOUNDE/NSIMALEN</t>
  </si>
  <si>
    <t>NSI</t>
  </si>
  <si>
    <t>FKYS</t>
  </si>
  <si>
    <t>DOUALA</t>
  </si>
  <si>
    <t>DLA</t>
  </si>
  <si>
    <t>FKKD</t>
  </si>
  <si>
    <t>MAURITIUS PLAISANCE</t>
  </si>
  <si>
    <t>MRU</t>
  </si>
  <si>
    <t>FIMP</t>
  </si>
  <si>
    <t>JOHANNESBURG/O.R. TAMBO INTERNATINAL</t>
  </si>
  <si>
    <t>JNB</t>
  </si>
  <si>
    <t>FAOR</t>
  </si>
  <si>
    <t>CAPE TOWN</t>
  </si>
  <si>
    <t>CPT</t>
  </si>
  <si>
    <t>FACT</t>
  </si>
  <si>
    <t>VILNIUS INTL</t>
  </si>
  <si>
    <t>VNO</t>
  </si>
  <si>
    <t>EYVI</t>
  </si>
  <si>
    <t>PALANGA INTL</t>
  </si>
  <si>
    <t>PLQ</t>
  </si>
  <si>
    <t>EYPA</t>
  </si>
  <si>
    <t>KAUNAS INTL</t>
  </si>
  <si>
    <t>KUN</t>
  </si>
  <si>
    <t>EYKA</t>
  </si>
  <si>
    <t>RIGA INTL</t>
  </si>
  <si>
    <t>RIX</t>
  </si>
  <si>
    <t>EVRA</t>
  </si>
  <si>
    <t>ANGELHOLM</t>
  </si>
  <si>
    <t>AGH</t>
  </si>
  <si>
    <t>ESTA</t>
  </si>
  <si>
    <t>VISBY</t>
  </si>
  <si>
    <t>VBY</t>
  </si>
  <si>
    <t>ESSV</t>
  </si>
  <si>
    <t>LINKOPING/MALMEN</t>
  </si>
  <si>
    <t>LPI</t>
  </si>
  <si>
    <t>ESSL</t>
  </si>
  <si>
    <t>STOCKHOLM-BROMMA</t>
  </si>
  <si>
    <t>BMA</t>
  </si>
  <si>
    <t>ESSB</t>
  </si>
  <si>
    <t>STOCKHOLM/ARLANDA</t>
  </si>
  <si>
    <t>ARN</t>
  </si>
  <si>
    <t>ESSA</t>
  </si>
  <si>
    <t>LULEA/KALLAX</t>
  </si>
  <si>
    <t>LLA</t>
  </si>
  <si>
    <t>ESPA</t>
  </si>
  <si>
    <t>VST</t>
  </si>
  <si>
    <t>ESOW</t>
  </si>
  <si>
    <t>OSTERSUND</t>
  </si>
  <si>
    <t>OSD</t>
  </si>
  <si>
    <t>ESNZ</t>
  </si>
  <si>
    <t>UMEA</t>
  </si>
  <si>
    <t>UME</t>
  </si>
  <si>
    <t>ESNU</t>
  </si>
  <si>
    <t>SKELLEFTEA</t>
  </si>
  <si>
    <t>SFT</t>
  </si>
  <si>
    <t>ESNS</t>
  </si>
  <si>
    <t>KIRUNA</t>
  </si>
  <si>
    <t>KRN</t>
  </si>
  <si>
    <t>ESNQ</t>
  </si>
  <si>
    <t>VAXJO-KRONOBERG</t>
  </si>
  <si>
    <t>VXO</t>
  </si>
  <si>
    <t>ESMX</t>
  </si>
  <si>
    <t>MALMOE/STURUP</t>
  </si>
  <si>
    <t>MMX</t>
  </si>
  <si>
    <t>ESMS</t>
  </si>
  <si>
    <t>STOCKHOLM/SKAVSTA</t>
  </si>
  <si>
    <t>NYO</t>
  </si>
  <si>
    <t>ESKN</t>
  </si>
  <si>
    <t>GOTENBORG/LANDVETTER</t>
  </si>
  <si>
    <t>GOT</t>
  </si>
  <si>
    <t>ESGG</t>
  </si>
  <si>
    <t>RONNEBY/KALLINGE</t>
  </si>
  <si>
    <t>RNB</t>
  </si>
  <si>
    <t>ESDF</t>
  </si>
  <si>
    <t>IEG</t>
  </si>
  <si>
    <t>EPZG</t>
  </si>
  <si>
    <t>WROCLAW/STRACHOWICE</t>
  </si>
  <si>
    <t>WRO</t>
  </si>
  <si>
    <t>EPWR</t>
  </si>
  <si>
    <t>WARSAW/OKECIE</t>
  </si>
  <si>
    <t>WAW</t>
  </si>
  <si>
    <t>EPWA</t>
  </si>
  <si>
    <t>SZCZECIN/GOLENIOW</t>
  </si>
  <si>
    <t>SZZ</t>
  </si>
  <si>
    <t>EPSC</t>
  </si>
  <si>
    <t>RZESZOW/JASIONKA</t>
  </si>
  <si>
    <t>RZE</t>
  </si>
  <si>
    <t>EPRZ</t>
  </si>
  <si>
    <t>POZNAN/LAWICA</t>
  </si>
  <si>
    <t>POZ</t>
  </si>
  <si>
    <t>EPPO</t>
  </si>
  <si>
    <t>MODLIN WARSAW</t>
  </si>
  <si>
    <t>WMI</t>
  </si>
  <si>
    <t>EPMO</t>
  </si>
  <si>
    <t>LODZ/LUBLINEK</t>
  </si>
  <si>
    <t>LCJ</t>
  </si>
  <si>
    <t>EPLL</t>
  </si>
  <si>
    <t>KATOWICE/PYRZOWICE</t>
  </si>
  <si>
    <t>KTW</t>
  </si>
  <si>
    <t>EPKT</t>
  </si>
  <si>
    <t>KRAKOW/BALICE</t>
  </si>
  <si>
    <t>KRK</t>
  </si>
  <si>
    <t>EPKK</t>
  </si>
  <si>
    <t>GDANSK/REBIECHOWO</t>
  </si>
  <si>
    <t>GDN</t>
  </si>
  <si>
    <t>EPGD</t>
  </si>
  <si>
    <t>BYDGOSZCZ</t>
  </si>
  <si>
    <t>BZG</t>
  </si>
  <si>
    <t>EPBY</t>
  </si>
  <si>
    <t>STAVANGER/SOLA</t>
  </si>
  <si>
    <t>SVG</t>
  </si>
  <si>
    <t>ENZV</t>
  </si>
  <si>
    <t>VADSO</t>
  </si>
  <si>
    <t>VDS</t>
  </si>
  <si>
    <t>ENVD</t>
  </si>
  <si>
    <t>TRONDHEIM/VAERNES</t>
  </si>
  <si>
    <t>TRD</t>
  </si>
  <si>
    <t>ENVA</t>
  </si>
  <si>
    <t>SANDEFJORD/TORP</t>
  </si>
  <si>
    <t>TRF</t>
  </si>
  <si>
    <t>ENTO</t>
  </si>
  <si>
    <t>TROMSO/LANGNES</t>
  </si>
  <si>
    <t>TOS</t>
  </si>
  <si>
    <t>ENTC</t>
  </si>
  <si>
    <t>SANDNESSJOEN/STOKKA</t>
  </si>
  <si>
    <t>SSJ</t>
  </si>
  <si>
    <t>ENST</t>
  </si>
  <si>
    <t>VARDO/SVARTNES</t>
  </si>
  <si>
    <t>VAW</t>
  </si>
  <si>
    <t>ENSS</t>
  </si>
  <si>
    <t>SORKJOSEN</t>
  </si>
  <si>
    <t>SOJ</t>
  </si>
  <si>
    <t>ENSR</t>
  </si>
  <si>
    <t>STOKMARKNES/SKAGEN</t>
  </si>
  <si>
    <t>SKN</t>
  </si>
  <si>
    <t>ENSK</t>
  </si>
  <si>
    <t>SVOLVAER/HELLE</t>
  </si>
  <si>
    <t>SVJ</t>
  </si>
  <si>
    <t>ENSH</t>
  </si>
  <si>
    <t>SOGNDAL/HAUKASEN</t>
  </si>
  <si>
    <t>SOG</t>
  </si>
  <si>
    <t>ENSG</t>
  </si>
  <si>
    <t>SANDANE/ANDA</t>
  </si>
  <si>
    <t>SDN</t>
  </si>
  <si>
    <t>ENSD</t>
  </si>
  <si>
    <t>SVALBARD/LONGYEAR</t>
  </si>
  <si>
    <t>LYR</t>
  </si>
  <si>
    <t>ENSB</t>
  </si>
  <si>
    <t>ROST</t>
  </si>
  <si>
    <t>RET</t>
  </si>
  <si>
    <t>ENRS</t>
  </si>
  <si>
    <t>RORVIK/RYUM</t>
  </si>
  <si>
    <t>RVK</t>
  </si>
  <si>
    <t>ENRM</t>
  </si>
  <si>
    <t>MO I RANA/ROSSVOLL</t>
  </si>
  <si>
    <t>MQN</t>
  </si>
  <si>
    <t>ENRA</t>
  </si>
  <si>
    <t>ORSTA-VOLDA/HOVDEN</t>
  </si>
  <si>
    <t>HOV</t>
  </si>
  <si>
    <t>ENOV</t>
  </si>
  <si>
    <t>NAMSOS</t>
  </si>
  <si>
    <t>OSY</t>
  </si>
  <si>
    <t>ENNM</t>
  </si>
  <si>
    <t>MOSJOEN/KJAERSTAD</t>
  </si>
  <si>
    <t>MJF</t>
  </si>
  <si>
    <t>ENMS</t>
  </si>
  <si>
    <t>MOLDE</t>
  </si>
  <si>
    <t>MOL</t>
  </si>
  <si>
    <t>ENML</t>
  </si>
  <si>
    <t>MEHAMN</t>
  </si>
  <si>
    <t>MEH</t>
  </si>
  <si>
    <t>ENMH</t>
  </si>
  <si>
    <t>LEKNES</t>
  </si>
  <si>
    <t>LKN</t>
  </si>
  <si>
    <t>ENLK</t>
  </si>
  <si>
    <t>KIRKENES/HOYBUKTMOEN</t>
  </si>
  <si>
    <t>KKN</t>
  </si>
  <si>
    <t>ENKR</t>
  </si>
  <si>
    <t>KRISTIANSUND/KV</t>
  </si>
  <si>
    <t>KSU</t>
  </si>
  <si>
    <t>ENKB</t>
  </si>
  <si>
    <t>HONNINGSVAG/VALAN</t>
  </si>
  <si>
    <t>HVG</t>
  </si>
  <si>
    <t>ENHV</t>
  </si>
  <si>
    <t>HASVIK</t>
  </si>
  <si>
    <t>HAA</t>
  </si>
  <si>
    <t>ENHK</t>
  </si>
  <si>
    <t>HAMMERFEST</t>
  </si>
  <si>
    <t>HFT</t>
  </si>
  <si>
    <t>ENHF</t>
  </si>
  <si>
    <t>HAUGESUND/KARMOY</t>
  </si>
  <si>
    <t>HAU</t>
  </si>
  <si>
    <t>ENHD</t>
  </si>
  <si>
    <t>OSLO/GARDERMOEN</t>
  </si>
  <si>
    <t>OSL</t>
  </si>
  <si>
    <t>ENGM</t>
  </si>
  <si>
    <t>FLORO</t>
  </si>
  <si>
    <t>FRO</t>
  </si>
  <si>
    <t>ENFL</t>
  </si>
  <si>
    <t>EVENES</t>
  </si>
  <si>
    <t>EVE</t>
  </si>
  <si>
    <t>ENEV</t>
  </si>
  <si>
    <t>BARDUFOSS</t>
  </si>
  <si>
    <t>BDU</t>
  </si>
  <si>
    <t>ENDU</t>
  </si>
  <si>
    <t>KRISTIANSAND/KJEVIK</t>
  </si>
  <si>
    <t>KRS</t>
  </si>
  <si>
    <t>ENCN</t>
  </si>
  <si>
    <t>BERLEVAG</t>
  </si>
  <si>
    <t>BVG</t>
  </si>
  <si>
    <t>ENBV</t>
  </si>
  <si>
    <t>BATSFJORD</t>
  </si>
  <si>
    <t>BJF</t>
  </si>
  <si>
    <t>ENBS</t>
  </si>
  <si>
    <t>BERGEN/FLESLAND</t>
  </si>
  <si>
    <t>BGO</t>
  </si>
  <si>
    <t>ENBR</t>
  </si>
  <si>
    <t>BODO</t>
  </si>
  <si>
    <t>BOO</t>
  </si>
  <si>
    <t>ENBO</t>
  </si>
  <si>
    <t>BRONNOYSUND/BRONNOY</t>
  </si>
  <si>
    <t>BNN</t>
  </si>
  <si>
    <t>ENBN</t>
  </si>
  <si>
    <t>FORDE/BRINGELAND</t>
  </si>
  <si>
    <t>FDE</t>
  </si>
  <si>
    <t>ENBL</t>
  </si>
  <si>
    <t>ALTA</t>
  </si>
  <si>
    <t>ALF</t>
  </si>
  <si>
    <t>ENAT</t>
  </si>
  <si>
    <t>ANDOYA/ANDENES</t>
  </si>
  <si>
    <t>ANX</t>
  </si>
  <si>
    <t>ENAN</t>
  </si>
  <si>
    <t>ALESUND/VIGRA</t>
  </si>
  <si>
    <t>AES</t>
  </si>
  <si>
    <t>ENAL</t>
  </si>
  <si>
    <t>LUXEMBOURG</t>
  </si>
  <si>
    <t>LUX</t>
  </si>
  <si>
    <t>ELLX</t>
  </si>
  <si>
    <t>AALBORG</t>
  </si>
  <si>
    <t>AAL</t>
  </si>
  <si>
    <t>EKYT</t>
  </si>
  <si>
    <t>FAE</t>
  </si>
  <si>
    <t>EKVG</t>
  </si>
  <si>
    <t>COPENHAGEN/KASTRUP</t>
  </si>
  <si>
    <t>EKCH</t>
  </si>
  <si>
    <t>BILLUND</t>
  </si>
  <si>
    <t>BLL</t>
  </si>
  <si>
    <t>EKBI</t>
  </si>
  <si>
    <t>AARHUS/TIRSTRUP</t>
  </si>
  <si>
    <t>AAR</t>
  </si>
  <si>
    <t>EKAH</t>
  </si>
  <si>
    <t>SHANNON</t>
  </si>
  <si>
    <t>SNN</t>
  </si>
  <si>
    <t>EINN</t>
  </si>
  <si>
    <t>KERRY/FARRANFORE</t>
  </si>
  <si>
    <t>KIR</t>
  </si>
  <si>
    <t>EIKY</t>
  </si>
  <si>
    <t>CONNAUGHT</t>
  </si>
  <si>
    <t>NOC</t>
  </si>
  <si>
    <t>EIKN</t>
  </si>
  <si>
    <t>DUBLIN</t>
  </si>
  <si>
    <t>DUB</t>
  </si>
  <si>
    <t>EIDW</t>
  </si>
  <si>
    <t>CORK</t>
  </si>
  <si>
    <t>ORK</t>
  </si>
  <si>
    <t>EICK</t>
  </si>
  <si>
    <t>ROTTERDAM</t>
  </si>
  <si>
    <t>RTM</t>
  </si>
  <si>
    <t>EHRD</t>
  </si>
  <si>
    <t>EINDHOVEN</t>
  </si>
  <si>
    <t>EIN</t>
  </si>
  <si>
    <t>EHEH</t>
  </si>
  <si>
    <t>MAASTRICHT/MAASTRICHT AACHEN</t>
  </si>
  <si>
    <t>MST</t>
  </si>
  <si>
    <t>EHBK</t>
  </si>
  <si>
    <t>AMSTERDAM</t>
  </si>
  <si>
    <t>AMS</t>
  </si>
  <si>
    <t>EHAM</t>
  </si>
  <si>
    <t>EXETER</t>
  </si>
  <si>
    <t>EXT</t>
  </si>
  <si>
    <t>EGTE</t>
  </si>
  <si>
    <t>LONDON/STANSTED</t>
  </si>
  <si>
    <t>STN</t>
  </si>
  <si>
    <t>EGSS</t>
  </si>
  <si>
    <t>NORWICH</t>
  </si>
  <si>
    <t>NWI</t>
  </si>
  <si>
    <t>EGSH</t>
  </si>
  <si>
    <t>PRESTWICK</t>
  </si>
  <si>
    <t>PIK</t>
  </si>
  <si>
    <t>EGPK</t>
  </si>
  <si>
    <t>EDINBURGH</t>
  </si>
  <si>
    <t>EDI</t>
  </si>
  <si>
    <t>EGPH</t>
  </si>
  <si>
    <t>GLASGOW</t>
  </si>
  <si>
    <t>GLA</t>
  </si>
  <si>
    <t>EGPF</t>
  </si>
  <si>
    <t>INVERNESS</t>
  </si>
  <si>
    <t>INV</t>
  </si>
  <si>
    <t>EGPE</t>
  </si>
  <si>
    <t>ABERDEEN</t>
  </si>
  <si>
    <t>ABZ</t>
  </si>
  <si>
    <t>EGPD</t>
  </si>
  <si>
    <t>EAST MIDLANDS</t>
  </si>
  <si>
    <t>EMA</t>
  </si>
  <si>
    <t>EGNX</t>
  </si>
  <si>
    <t>TEESSIDE</t>
  </si>
  <si>
    <t>MME</t>
  </si>
  <si>
    <t>EGNV</t>
  </si>
  <si>
    <t>NEWCASTLE</t>
  </si>
  <si>
    <t>NCL</t>
  </si>
  <si>
    <t>EGNT</t>
  </si>
  <si>
    <t>ISLE OF MAN/RONALDSW</t>
  </si>
  <si>
    <t>IOM</t>
  </si>
  <si>
    <t>EGNS</t>
  </si>
  <si>
    <t>LEEDS AND BRADFORD</t>
  </si>
  <si>
    <t>LBA</t>
  </si>
  <si>
    <t>EGNM</t>
  </si>
  <si>
    <t>SOUTHEND</t>
  </si>
  <si>
    <t>SEN</t>
  </si>
  <si>
    <t>EGMC</t>
  </si>
  <si>
    <t>LONDON/HEATHROW</t>
  </si>
  <si>
    <t>LHR</t>
  </si>
  <si>
    <t>EGLL</t>
  </si>
  <si>
    <t>LONDON/CITY</t>
  </si>
  <si>
    <t>LCY</t>
  </si>
  <si>
    <t>EGLC</t>
  </si>
  <si>
    <t>LONDON/GATWICK</t>
  </si>
  <si>
    <t>LGW</t>
  </si>
  <si>
    <t>EGKK</t>
  </si>
  <si>
    <t>JERSEY</t>
  </si>
  <si>
    <t>JER</t>
  </si>
  <si>
    <t>EGJJ</t>
  </si>
  <si>
    <t>NEWQUAY CORNWALL</t>
  </si>
  <si>
    <t>NQY</t>
  </si>
  <si>
    <t>EGHQ</t>
  </si>
  <si>
    <t>BOURNEMOUTH/HURN</t>
  </si>
  <si>
    <t>BOH</t>
  </si>
  <si>
    <t>EGHH</t>
  </si>
  <si>
    <t>LONDON/LUTON</t>
  </si>
  <si>
    <t>LTN</t>
  </si>
  <si>
    <t>EGGW</t>
  </si>
  <si>
    <t>LIVERPOOL</t>
  </si>
  <si>
    <t>LPL</t>
  </si>
  <si>
    <t>EGGP</t>
  </si>
  <si>
    <t>BRISTOL/LULSGATE</t>
  </si>
  <si>
    <t>BRS</t>
  </si>
  <si>
    <t>EGGD</t>
  </si>
  <si>
    <t>CARDIFF</t>
  </si>
  <si>
    <t>CWL</t>
  </si>
  <si>
    <t>EGFF</t>
  </si>
  <si>
    <t>MANCHESTER</t>
  </si>
  <si>
    <t>EGCC</t>
  </si>
  <si>
    <t>BIRMINGHAM</t>
  </si>
  <si>
    <t>BHX</t>
  </si>
  <si>
    <t>EGBB</t>
  </si>
  <si>
    <t>BELFAST/CITY AIRPORT</t>
  </si>
  <si>
    <t>BHD</t>
  </si>
  <si>
    <t>EGAC</t>
  </si>
  <si>
    <t>BELFAST/ALDERGROVE</t>
  </si>
  <si>
    <t>BFS</t>
  </si>
  <si>
    <t>EGAA</t>
  </si>
  <si>
    <t>VAASA</t>
  </si>
  <si>
    <t>VAA</t>
  </si>
  <si>
    <t>EFVA</t>
  </si>
  <si>
    <t>TURKU</t>
  </si>
  <si>
    <t>TKU</t>
  </si>
  <si>
    <t>EFTU</t>
  </si>
  <si>
    <t>ROVANIEMI</t>
  </si>
  <si>
    <t>RVN</t>
  </si>
  <si>
    <t>EFRO</t>
  </si>
  <si>
    <t>OULU</t>
  </si>
  <si>
    <t>OUL</t>
  </si>
  <si>
    <t>EFOU</t>
  </si>
  <si>
    <t>KUOPIO</t>
  </si>
  <si>
    <t>KUO</t>
  </si>
  <si>
    <t>EFKU</t>
  </si>
  <si>
    <t>KITTILA</t>
  </si>
  <si>
    <t>KTT</t>
  </si>
  <si>
    <t>EFKT</t>
  </si>
  <si>
    <t>KUUSAMO</t>
  </si>
  <si>
    <t>KAO</t>
  </si>
  <si>
    <t>EFKS</t>
  </si>
  <si>
    <t>IVALO</t>
  </si>
  <si>
    <t>IVL</t>
  </si>
  <si>
    <t>EFIV</t>
  </si>
  <si>
    <t>HELSINKI-VANTAA</t>
  </si>
  <si>
    <t>HEL</t>
  </si>
  <si>
    <t>EFHK</t>
  </si>
  <si>
    <t>TALLINN/ULEMISTE</t>
  </si>
  <si>
    <t>TLL</t>
  </si>
  <si>
    <t>EETN</t>
  </si>
  <si>
    <t>GWT</t>
  </si>
  <si>
    <t>EDXW</t>
  </si>
  <si>
    <t>KARLSRUHE/BADEN-BADE</t>
  </si>
  <si>
    <t>FKB</t>
  </si>
  <si>
    <t>EDSB</t>
  </si>
  <si>
    <t>FRIEDRICHSHAFEN</t>
  </si>
  <si>
    <t>FDH</t>
  </si>
  <si>
    <t>EDNY</t>
  </si>
  <si>
    <t>DORTMUND-WICKEDE</t>
  </si>
  <si>
    <t>DTM</t>
  </si>
  <si>
    <t>EDLW</t>
  </si>
  <si>
    <t>WEEZE</t>
  </si>
  <si>
    <t>NRN</t>
  </si>
  <si>
    <t>EDLV</t>
  </si>
  <si>
    <t>PADERBORN LIPPSTADT</t>
  </si>
  <si>
    <t>PAD</t>
  </si>
  <si>
    <t>EDLP</t>
  </si>
  <si>
    <t>MEMMINGEN</t>
  </si>
  <si>
    <t>QOX</t>
  </si>
  <si>
    <t>EDJA</t>
  </si>
  <si>
    <t>HAHN</t>
  </si>
  <si>
    <t>HHN</t>
  </si>
  <si>
    <t>EDFH</t>
  </si>
  <si>
    <t>BREMEN</t>
  </si>
  <si>
    <t>BRE</t>
  </si>
  <si>
    <t>EDDW</t>
  </si>
  <si>
    <t>HANOVER</t>
  </si>
  <si>
    <t>HAJ</t>
  </si>
  <si>
    <t>EDDV</t>
  </si>
  <si>
    <t>STUTTGART</t>
  </si>
  <si>
    <t>STR</t>
  </si>
  <si>
    <t>EDDS</t>
  </si>
  <si>
    <t>SAARBRUCKEN/ENSHEIM</t>
  </si>
  <si>
    <t>SCN</t>
  </si>
  <si>
    <t>EDDR</t>
  </si>
  <si>
    <t>LEIPZIG/HALLE</t>
  </si>
  <si>
    <t>LEJ</t>
  </si>
  <si>
    <t>EDDP</t>
  </si>
  <si>
    <t>NURENBERG</t>
  </si>
  <si>
    <t>NUE</t>
  </si>
  <si>
    <t>EDDN</t>
  </si>
  <si>
    <t>MUNICH</t>
  </si>
  <si>
    <t>EDDM</t>
  </si>
  <si>
    <t>DUSSELDORF</t>
  </si>
  <si>
    <t>DUS</t>
  </si>
  <si>
    <t>EDDL</t>
  </si>
  <si>
    <t>COLOGNE/BONN</t>
  </si>
  <si>
    <t>EDDK</t>
  </si>
  <si>
    <t>HAMBURG</t>
  </si>
  <si>
    <t>EDDH</t>
  </si>
  <si>
    <t>MUENSTER-OSNABRUECK</t>
  </si>
  <si>
    <t>FMO</t>
  </si>
  <si>
    <t>EDDG</t>
  </si>
  <si>
    <t>FRANKFURT</t>
  </si>
  <si>
    <t>FRA</t>
  </si>
  <si>
    <t>EDDF</t>
  </si>
  <si>
    <t>DRESDEN</t>
  </si>
  <si>
    <t>DRS</t>
  </si>
  <si>
    <t>EDDC</t>
  </si>
  <si>
    <t>BERLIN BRANDENBURG</t>
  </si>
  <si>
    <t>EDDB</t>
  </si>
  <si>
    <t>OOSTENDE</t>
  </si>
  <si>
    <t>OST</t>
  </si>
  <si>
    <t>EBOS</t>
  </si>
  <si>
    <t>LIEGE/LIEGE</t>
  </si>
  <si>
    <t>LGG</t>
  </si>
  <si>
    <t>EBLG</t>
  </si>
  <si>
    <t>CHARLEROI</t>
  </si>
  <si>
    <t>CRL</t>
  </si>
  <si>
    <t>EBCI</t>
  </si>
  <si>
    <t>BRUSSELS</t>
  </si>
  <si>
    <t>BRU</t>
  </si>
  <si>
    <t>EBBR</t>
  </si>
  <si>
    <t xml:space="preserve">ANTWERP </t>
  </si>
  <si>
    <t>ANR</t>
  </si>
  <si>
    <t>EBAW</t>
  </si>
  <si>
    <t>DJERBA/ZARZIS</t>
  </si>
  <si>
    <t>DJE</t>
  </si>
  <si>
    <t>DTTJ</t>
  </si>
  <si>
    <t>TUNIS/CARTHAGE</t>
  </si>
  <si>
    <t>TUN</t>
  </si>
  <si>
    <t>DTTA</t>
  </si>
  <si>
    <t>MONASTIR/HABIB BOURG</t>
  </si>
  <si>
    <t>MIR</t>
  </si>
  <si>
    <t>DTMB</t>
  </si>
  <si>
    <t>LAGOS</t>
  </si>
  <si>
    <t>LOS</t>
  </si>
  <si>
    <t>DNMM</t>
  </si>
  <si>
    <t>ABUJA</t>
  </si>
  <si>
    <t>ABV</t>
  </si>
  <si>
    <t>DNAA</t>
  </si>
  <si>
    <t>ABIDJAN</t>
  </si>
  <si>
    <t>ABJ</t>
  </si>
  <si>
    <t>DIAP</t>
  </si>
  <si>
    <t>ACCRA</t>
  </si>
  <si>
    <t>ACC</t>
  </si>
  <si>
    <t>DGAA</t>
  </si>
  <si>
    <t>OUAGADOUGOU</t>
  </si>
  <si>
    <t>OUA</t>
  </si>
  <si>
    <t>DFFD</t>
  </si>
  <si>
    <t>COTONOU/CADJEHOUN</t>
  </si>
  <si>
    <t>COO</t>
  </si>
  <si>
    <t>DBBB</t>
  </si>
  <si>
    <t>ORAN ES SENIA</t>
  </si>
  <si>
    <t>ORN</t>
  </si>
  <si>
    <t>DAOO</t>
  </si>
  <si>
    <t>ALGER</t>
  </si>
  <si>
    <t>ALG</t>
  </si>
  <si>
    <t>DAAG</t>
  </si>
  <si>
    <t>TORONTO INTL/L.B. PE</t>
  </si>
  <si>
    <t>YYZ</t>
  </si>
  <si>
    <t>CYYZ</t>
  </si>
  <si>
    <t>CALGARY INTL</t>
  </si>
  <si>
    <t>YYC</t>
  </si>
  <si>
    <t>CYYC</t>
  </si>
  <si>
    <t>VANCOUVER INTL</t>
  </si>
  <si>
    <t>YVR</t>
  </si>
  <si>
    <t>CYVR</t>
  </si>
  <si>
    <t>MONTREAL/DORVAL</t>
  </si>
  <si>
    <t>YUL</t>
  </si>
  <si>
    <t>CYUL</t>
  </si>
  <si>
    <t>PRISTINA</t>
  </si>
  <si>
    <t>PRN</t>
  </si>
  <si>
    <t>BKPR</t>
  </si>
  <si>
    <t>KEFLAVIK</t>
  </si>
  <si>
    <t>KEF</t>
  </si>
  <si>
    <t>BIKF</t>
  </si>
  <si>
    <t>90th Pctl</t>
  </si>
  <si>
    <t>Median</t>
  </si>
  <si>
    <t>10th Pctl</t>
  </si>
  <si>
    <t>Standard Deviation</t>
  </si>
  <si>
    <t>Mean TXO (mins)</t>
  </si>
  <si>
    <t>Airport Name</t>
  </si>
  <si>
    <t>IATA</t>
  </si>
  <si>
    <t>ICAO</t>
  </si>
  <si>
    <t>Mean TXI (mins)</t>
  </si>
  <si>
    <t>Milan</t>
  </si>
  <si>
    <t>Dallas/Fort Worth</t>
  </si>
  <si>
    <t>Cologne</t>
  </si>
  <si>
    <t>Stockholm</t>
  </si>
  <si>
    <t>City</t>
  </si>
  <si>
    <t>Airport</t>
  </si>
  <si>
    <t>Copenhagen</t>
  </si>
  <si>
    <t>Berlin</t>
  </si>
  <si>
    <t>Buenos Aires</t>
  </si>
  <si>
    <t>Jakarta</t>
  </si>
  <si>
    <t>PHNL</t>
  </si>
  <si>
    <t>Osaka Itami</t>
  </si>
  <si>
    <t>RJOO</t>
  </si>
  <si>
    <t>B777-200ER</t>
  </si>
  <si>
    <t>A320</t>
  </si>
  <si>
    <t>Type</t>
  </si>
  <si>
    <t>SAF% HEFA</t>
  </si>
  <si>
    <t>SAF (kg)</t>
  </si>
  <si>
    <t>A1 (kg)</t>
  </si>
  <si>
    <t>kgCO2e SAF</t>
  </si>
  <si>
    <t>kgCO2e A1</t>
  </si>
  <si>
    <t>Average</t>
  </si>
  <si>
    <t>Taxi in</t>
  </si>
  <si>
    <t>Taxi out</t>
  </si>
  <si>
    <t>kg/min</t>
  </si>
  <si>
    <t>GCD (NM)</t>
  </si>
  <si>
    <t>CO2e</t>
  </si>
  <si>
    <t>A1</t>
  </si>
  <si>
    <t>kg/kg</t>
  </si>
  <si>
    <t>kgCO2e TOT</t>
  </si>
  <si>
    <t>HEFA</t>
  </si>
  <si>
    <t>kgCO2e per year</t>
  </si>
  <si>
    <t>kgCO2e per flight</t>
  </si>
  <si>
    <t>kgCO2e 2025</t>
  </si>
  <si>
    <t>RSK/flight</t>
  </si>
  <si>
    <t>min</t>
  </si>
  <si>
    <t>airport code</t>
  </si>
  <si>
    <t>Aircraft</t>
  </si>
  <si>
    <t>https://www.iata.org/contentassets/d13875e9ed784f75bac90f000760e998/iata-sustainable-aviation-fuel-saf-accounting--reporting-methodology.pdf</t>
  </si>
  <si>
    <t>Hoeveel vliegbewegingen zijn er van en naar Nederland? | CBS</t>
  </si>
  <si>
    <t>https://img.static-kl.com/m/7b0b0f3946d5bb53/original/KLM-Climate-Action-Plan.pdf</t>
  </si>
  <si>
    <t>Hoeveel uitstoot veroorzaakt de Nederlandse luchtvaart? | CBS</t>
  </si>
  <si>
    <t>https://ourworldindata.org/grapher/annual-co-emissions-from-aviation</t>
  </si>
  <si>
    <t>GCD (km)</t>
  </si>
  <si>
    <t>kgCO2e S2</t>
  </si>
  <si>
    <t>kgCO2e S1</t>
  </si>
  <si>
    <t>kgCO2e/y S1</t>
  </si>
  <si>
    <t>kgCO2e/y S2</t>
  </si>
  <si>
    <t>2023 (CBS)</t>
  </si>
  <si>
    <t>Flight/y</t>
  </si>
  <si>
    <t>Scope 1 CO2/y</t>
  </si>
  <si>
    <t>Scope 2 CO2/y</t>
  </si>
  <si>
    <t>Maintenance</t>
  </si>
  <si>
    <t>Airside</t>
  </si>
  <si>
    <t>kton CO2e/y</t>
  </si>
  <si>
    <t>TOTAL</t>
  </si>
  <si>
    <t>Numbers are in kton CO2</t>
  </si>
  <si>
    <t>BASE</t>
  </si>
  <si>
    <t>fuel consumption</t>
  </si>
  <si>
    <t>seats</t>
  </si>
  <si>
    <t>A320N</t>
  </si>
  <si>
    <t>kg/km</t>
  </si>
  <si>
    <t>A350-900</t>
  </si>
  <si>
    <t>B772</t>
  </si>
  <si>
    <t>CO2</t>
  </si>
  <si>
    <t>CO2 production</t>
  </si>
  <si>
    <t>https://www.transitionpathwayinitiative.org/publications/uploads/2022-carbon-performance-assessment-of-airlines-note-on-methodology</t>
  </si>
  <si>
    <t>Trip Fuel (kg) SIMBRIEF</t>
  </si>
  <si>
    <t>TAXI (SIMBRIEF)</t>
  </si>
  <si>
    <t>Alternative</t>
  </si>
  <si>
    <t>2030 (14% HEFA SAF)</t>
  </si>
  <si>
    <t>SAS Scandinavian Airlines Fleet Details and History</t>
  </si>
  <si>
    <t>SAS Annual and Sustainability Report FY 2024</t>
  </si>
  <si>
    <t>kton CO2</t>
  </si>
  <si>
    <t>RSK</t>
  </si>
  <si>
    <t>SAS</t>
  </si>
  <si>
    <t>(kg) CO2/RSK</t>
  </si>
  <si>
    <t>KLM-Climate-Action-Plan.pdf</t>
  </si>
  <si>
    <t>??</t>
  </si>
  <si>
    <t>KLM 2022</t>
  </si>
  <si>
    <t>EcoFly 2025</t>
  </si>
  <si>
    <t>Trip Fuel (kg) HvA (invalid)</t>
  </si>
  <si>
    <t>-</t>
  </si>
  <si>
    <t>SAF usage (tonnes)</t>
  </si>
  <si>
    <t>750.0</t>
  </si>
  <si>
    <t>Carbon offsets purchased (tonnes)</t>
  </si>
  <si>
    <t>827.5</t>
  </si>
  <si>
    <t>937.0</t>
  </si>
  <si>
    <t>1,120.3</t>
  </si>
  <si>
    <t>1,166.6</t>
  </si>
  <si>
    <t>1,045.7</t>
  </si>
  <si>
    <t>Weighted average scope 1 carbon intensity (tonne CO₂ per $ revenue)</t>
  </si>
  <si>
    <t>909.7</t>
  </si>
  <si>
    <t>991.2</t>
  </si>
  <si>
    <t>1,165.8</t>
  </si>
  <si>
    <t>1,344.5</t>
  </si>
  <si>
    <t>968.4</t>
  </si>
  <si>
    <t>65.4</t>
  </si>
  <si>
    <t>1.7</t>
  </si>
  <si>
    <t>(299.1)</t>
  </si>
  <si>
    <t>(598.2)</t>
  </si>
  <si>
    <t>8.6</t>
  </si>
  <si>
    <t>Emissions and profit ($ profit per tonne CO₂)</t>
  </si>
  <si>
    <t>108.8</t>
  </si>
  <si>
    <t>32.5</t>
  </si>
  <si>
    <t>(771.1)</t>
  </si>
  <si>
    <t>(896.6)</t>
  </si>
  <si>
    <t>134.1</t>
  </si>
  <si>
    <t>Total CO₂ emissions/RTK (tonnes per million RTK)</t>
  </si>
  <si>
    <t>Passenger CO₂ emissions/ASK (tonnes per million ASK)</t>
  </si>
  <si>
    <t>Passenger CO₂ emissions/RPK (tonnes per million RPK)</t>
  </si>
  <si>
    <t>Cargo CO₂ emissions (tonnes)</t>
  </si>
  <si>
    <t>Passenger CO₂ emissions (tonnes)</t>
  </si>
  <si>
    <t>2.1m</t>
  </si>
  <si>
    <t>1.8m</t>
  </si>
  <si>
    <t>984,829.8</t>
  </si>
  <si>
    <t>612,626.0</t>
  </si>
  <si>
    <t>2.5m</t>
  </si>
  <si>
    <t>CO₂ emissions calculated from fuel use reported (tonnes)</t>
  </si>
  <si>
    <t>2.2m</t>
  </si>
  <si>
    <t>518,581.3</t>
  </si>
  <si>
    <t>716,808.1</t>
  </si>
  <si>
    <t>2.3m</t>
  </si>
  <si>
    <t>981,713.0</t>
  </si>
  <si>
    <t>636,898.0</t>
  </si>
  <si>
    <t>CO₂ emissions reported (tonnes)</t>
  </si>
  <si>
    <t>1.9m</t>
  </si>
  <si>
    <t>524,294.0</t>
  </si>
  <si>
    <t>723,931.0</t>
  </si>
  <si>
    <t>Passenger as % of total load (PTK/RTK)</t>
  </si>
  <si>
    <t>RTK</t>
  </si>
  <si>
    <t>CTK</t>
  </si>
  <si>
    <t>153.0m</t>
  </si>
  <si>
    <t>131.0m</t>
  </si>
  <si>
    <t>89.0m</t>
  </si>
  <si>
    <t>124.0m</t>
  </si>
  <si>
    <t>173.0m</t>
  </si>
  <si>
    <t>PTK</t>
  </si>
  <si>
    <t>22.4b</t>
  </si>
  <si>
    <t>17.2b</t>
  </si>
  <si>
    <t>7.0b</t>
  </si>
  <si>
    <t>4.4b</t>
  </si>
  <si>
    <t>23.0b</t>
  </si>
  <si>
    <t>RPK</t>
  </si>
  <si>
    <t>20.2b</t>
  </si>
  <si>
    <t>3.5b</t>
  </si>
  <si>
    <t>4.1b</t>
  </si>
  <si>
    <t>24.8b</t>
  </si>
  <si>
    <t>27.6b</t>
  </si>
  <si>
    <t>25.4b</t>
  </si>
  <si>
    <t>21.7b</t>
  </si>
  <si>
    <t>11.3b</t>
  </si>
  <si>
    <t>7.1b</t>
  </si>
  <si>
    <t>28.5b</t>
  </si>
  <si>
    <t>ASK</t>
  </si>
  <si>
    <t>31.6b</t>
  </si>
  <si>
    <t>26.2b</t>
  </si>
  <si>
    <t>7.4b</t>
  </si>
  <si>
    <t>8.7b</t>
  </si>
  <si>
    <t>30.3b</t>
  </si>
  <si>
    <t>81.3</t>
  </si>
  <si>
    <t>81.9</t>
  </si>
  <si>
    <t>79.4</t>
  </si>
  <si>
    <t>61.9</t>
  </si>
  <si>
    <t>80.8</t>
  </si>
  <si>
    <t>Passenger load factor (%)</t>
  </si>
  <si>
    <t>80.6</t>
  </si>
  <si>
    <t>76.9</t>
  </si>
  <si>
    <t>48.0</t>
  </si>
  <si>
    <t>46.4</t>
  </si>
  <si>
    <t>81.8</t>
  </si>
  <si>
    <t>662,347.5</t>
  </si>
  <si>
    <t>582,760.1</t>
  </si>
  <si>
    <t>310,668.7</t>
  </si>
  <si>
    <t>201,550.0</t>
  </si>
  <si>
    <t>778,500.3</t>
  </si>
  <si>
    <t>Fuel use calculated from CO₂ emissions (tonnes)</t>
  </si>
  <si>
    <t>712,783.9</t>
  </si>
  <si>
    <t>589,519.9</t>
  </si>
  <si>
    <t>165,915.8</t>
  </si>
  <si>
    <t>229,092.1</t>
  </si>
  <si>
    <t>735,492.7</t>
  </si>
  <si>
    <t>664,450.0</t>
  </si>
  <si>
    <t>584,610.0</t>
  </si>
  <si>
    <t>311,655.0</t>
  </si>
  <si>
    <t>193,869.0</t>
  </si>
  <si>
    <t>780,972.0</t>
  </si>
  <si>
    <t>Fuel use reported (tonnes)</t>
  </si>
  <si>
    <t>708,024.0</t>
  </si>
  <si>
    <t>584,704.0</t>
  </si>
  <si>
    <t>164,108.0</t>
  </si>
  <si>
    <t>226,838.0</t>
  </si>
  <si>
    <t>729,135.0</t>
  </si>
  <si>
    <t>Fuel costs as % of operating costs</t>
  </si>
  <si>
    <t>31.19</t>
  </si>
  <si>
    <t>31.48</t>
  </si>
  <si>
    <t>12.46</t>
  </si>
  <si>
    <t>27.77</t>
  </si>
  <si>
    <t>24.88</t>
  </si>
  <si>
    <t>Fuel costs (USD)</t>
  </si>
  <si>
    <t>691.1m</t>
  </si>
  <si>
    <t>567.9m</t>
  </si>
  <si>
    <t>105.3m</t>
  </si>
  <si>
    <t>326.5m</t>
  </si>
  <si>
    <t>515.0m</t>
  </si>
  <si>
    <t>Fuel costs (local currency)</t>
  </si>
  <si>
    <t>639.0m</t>
  </si>
  <si>
    <t>539.0m</t>
  </si>
  <si>
    <t>286.0m</t>
  </si>
  <si>
    <t>460.0m</t>
  </si>
  <si>
    <t>3.09</t>
  </si>
  <si>
    <t>5.41</t>
  </si>
  <si>
    <t>0.16</t>
  </si>
  <si>
    <t>(33.51)</t>
  </si>
  <si>
    <t>(69.78)</t>
  </si>
  <si>
    <t>0.90</t>
  </si>
  <si>
    <t>Profit margin (USD)</t>
  </si>
  <si>
    <t>9.89</t>
  </si>
  <si>
    <t>3.22</t>
  </si>
  <si>
    <t>(89.89)</t>
  </si>
  <si>
    <t>(120.56)</t>
  </si>
  <si>
    <t>12.99</t>
  </si>
  <si>
    <t>82.2m</t>
  </si>
  <si>
    <t>137.4m</t>
  </si>
  <si>
    <t>3.2m</t>
  </si>
  <si>
    <t>(294.6m)</t>
  </si>
  <si>
    <t>(366.5m)</t>
  </si>
  <si>
    <t>21.3m</t>
  </si>
  <si>
    <t>Operating profit (USD)</t>
  </si>
  <si>
    <t>243.4m</t>
  </si>
  <si>
    <t>60.1m</t>
  </si>
  <si>
    <t>(399.9m)</t>
  </si>
  <si>
    <t>(642.7m)</t>
  </si>
  <si>
    <t>309.0m</t>
  </si>
  <si>
    <t>76.0m</t>
  </si>
  <si>
    <t>127.0m</t>
  </si>
  <si>
    <t>3.0m</t>
  </si>
  <si>
    <t>(249.0m)</t>
  </si>
  <si>
    <t>(321.0m)</t>
  </si>
  <si>
    <t>19.0m</t>
  </si>
  <si>
    <t>Operating profit (local currency)</t>
  </si>
  <si>
    <t>225.0m</t>
  </si>
  <si>
    <t>57.0m</t>
  </si>
  <si>
    <t>(338.0m)</t>
  </si>
  <si>
    <t>(563.0m)</t>
  </si>
  <si>
    <t>276.0m</t>
  </si>
  <si>
    <t>2.7b</t>
  </si>
  <si>
    <t>2.5b</t>
  </si>
  <si>
    <t>1.2b</t>
  </si>
  <si>
    <t>1.1b</t>
  </si>
  <si>
    <t>2.4b</t>
  </si>
  <si>
    <t>Operating costs (USD)</t>
  </si>
  <si>
    <t>2.2b</t>
  </si>
  <si>
    <t>1.8b</t>
  </si>
  <si>
    <t>844.7m</t>
  </si>
  <si>
    <t>2.1b</t>
  </si>
  <si>
    <t>2.3b</t>
  </si>
  <si>
    <t>1.0b</t>
  </si>
  <si>
    <t>992.0m</t>
  </si>
  <si>
    <t>Operating costs (local currency)</t>
  </si>
  <si>
    <t>2.0b</t>
  </si>
  <si>
    <t>1.7b</t>
  </si>
  <si>
    <t>714.0m</t>
  </si>
  <si>
    <t>879.0m</t>
  </si>
  <si>
    <t>525.1m</t>
  </si>
  <si>
    <t>Revenue (USD)</t>
  </si>
  <si>
    <t>1.9b</t>
  </si>
  <si>
    <t>444.8m</t>
  </si>
  <si>
    <t>533.1m</t>
  </si>
  <si>
    <t>743.0m</t>
  </si>
  <si>
    <t>Revenue (local currency)</t>
  </si>
  <si>
    <t>376.0m</t>
  </si>
  <si>
    <t>467.0m</t>
  </si>
  <si>
    <t>1.1</t>
  </si>
  <si>
    <t>1.2</t>
  </si>
  <si>
    <t>Currency conversion rate</t>
  </si>
  <si>
    <t>1,537.0</t>
  </si>
  <si>
    <t>1,503.6</t>
  </si>
  <si>
    <t>1,547.3</t>
  </si>
  <si>
    <t>1,400.0</t>
  </si>
  <si>
    <t>1,416.8</t>
  </si>
  <si>
    <t>1,576.9</t>
  </si>
  <si>
    <t>Average sector length (km)</t>
  </si>
  <si>
    <t>2,350.0</t>
  </si>
  <si>
    <t>2,255.9</t>
  </si>
  <si>
    <t>1,750.6</t>
  </si>
  <si>
    <t>1,915.0</t>
  </si>
  <si>
    <t>2,124.9</t>
  </si>
  <si>
    <t>17.6</t>
  </si>
  <si>
    <t>17.0</t>
  </si>
  <si>
    <t>16.8</t>
  </si>
  <si>
    <t>16.2</t>
  </si>
  <si>
    <t>18.2</t>
  </si>
  <si>
    <t>Average fleet age (years)</t>
  </si>
  <si>
    <t>12.7</t>
  </si>
  <si>
    <t>13.3</t>
  </si>
  <si>
    <t>14.1</t>
  </si>
  <si>
    <t>15.1</t>
  </si>
  <si>
    <t>Austrian airlines</t>
  </si>
  <si>
    <t>Aer Lingus Sustainability</t>
  </si>
  <si>
    <t>Aer Lingus 2023</t>
  </si>
  <si>
    <t>Austrian Airlines 2024</t>
  </si>
  <si>
    <t>Alternative 2</t>
  </si>
  <si>
    <t>*Airport Environmental Sustainability</t>
  </si>
  <si>
    <t>Airside + maintenance emisisons</t>
  </si>
  <si>
    <t>SAS Emissions</t>
  </si>
  <si>
    <t>KLM Emissions</t>
  </si>
  <si>
    <t>SAS Fleet</t>
  </si>
  <si>
    <t>DAAE</t>
  </si>
  <si>
    <t>BJA</t>
  </si>
  <si>
    <t>BEJAIA</t>
  </si>
  <si>
    <t>DABC</t>
  </si>
  <si>
    <t>CZL</t>
  </si>
  <si>
    <t>CONSTANTINE/MOHAMMED</t>
  </si>
  <si>
    <t>WESTERLAND SYLT</t>
  </si>
  <si>
    <t>EFJO</t>
  </si>
  <si>
    <t>JOE</t>
  </si>
  <si>
    <t>JOENSUU</t>
  </si>
  <si>
    <t>EFJY</t>
  </si>
  <si>
    <t>JYV</t>
  </si>
  <si>
    <t>JYVASKYLA</t>
  </si>
  <si>
    <t>EFKE</t>
  </si>
  <si>
    <t>KEM</t>
  </si>
  <si>
    <t>KEMI-TORNIO</t>
  </si>
  <si>
    <t>EFKI</t>
  </si>
  <si>
    <t>KAJ</t>
  </si>
  <si>
    <t>KAJAANI</t>
  </si>
  <si>
    <t>EFKK</t>
  </si>
  <si>
    <t>KOK</t>
  </si>
  <si>
    <t>KRUUNUPYY</t>
  </si>
  <si>
    <t>EFMA</t>
  </si>
  <si>
    <t>MHQ</t>
  </si>
  <si>
    <t>MARIEHAMN</t>
  </si>
  <si>
    <t>EFTP</t>
  </si>
  <si>
    <t>TMP</t>
  </si>
  <si>
    <t>TAMPERE-PIRKKALA</t>
  </si>
  <si>
    <t>EGHI</t>
  </si>
  <si>
    <t>SOU</t>
  </si>
  <si>
    <t>SOUTHAMPTON</t>
  </si>
  <si>
    <t>VAGAR/FAROE ISLANDS</t>
  </si>
  <si>
    <t>ZIELONA GORA/BABIMOS</t>
  </si>
  <si>
    <t>ESNN</t>
  </si>
  <si>
    <t>SDL</t>
  </si>
  <si>
    <t>SUNDSVALL-HÄRNÖSAND</t>
  </si>
  <si>
    <t>ESOE</t>
  </si>
  <si>
    <t>ORB</t>
  </si>
  <si>
    <t>OREBRO</t>
  </si>
  <si>
    <t>VASTERAS/HASSLO</t>
  </si>
  <si>
    <t>FMMI</t>
  </si>
  <si>
    <t>TNR</t>
  </si>
  <si>
    <t>ANTANANARIVO/IVATO</t>
  </si>
  <si>
    <t>GMMZ</t>
  </si>
  <si>
    <t>OZZ</t>
  </si>
  <si>
    <t>OUARZAZATE</t>
  </si>
  <si>
    <t>GVBA</t>
  </si>
  <si>
    <t>BVC</t>
  </si>
  <si>
    <t>BOAVISTA</t>
  </si>
  <si>
    <t>BORG EL ARAB INTERNATIONAL</t>
  </si>
  <si>
    <t>KLAS</t>
  </si>
  <si>
    <t>LAS</t>
  </si>
  <si>
    <t>LAS VEGAS/MCCARRAN INTL, NV.</t>
  </si>
  <si>
    <t>KMCO</t>
  </si>
  <si>
    <t>MCO</t>
  </si>
  <si>
    <t>ORLANDO INTERNATIONAL</t>
  </si>
  <si>
    <t>KMSP</t>
  </si>
  <si>
    <t>MSP</t>
  </si>
  <si>
    <t>MINNEAPOLIS</t>
  </si>
  <si>
    <t>KPHX</t>
  </si>
  <si>
    <t>PHX</t>
  </si>
  <si>
    <t>PHOENIX INTL/ARIZONA</t>
  </si>
  <si>
    <t>KSAN</t>
  </si>
  <si>
    <t>SAN</t>
  </si>
  <si>
    <t>SAN DIEGO INTL/CALIF</t>
  </si>
  <si>
    <t>LBPD</t>
  </si>
  <si>
    <t>PDV</t>
  </si>
  <si>
    <t>PLOVDIV INTERNATIONAL</t>
  </si>
  <si>
    <t>ZADAR</t>
  </si>
  <si>
    <t>LFBI</t>
  </si>
  <si>
    <t>PIS</t>
  </si>
  <si>
    <t>POITIERS BIARD</t>
  </si>
  <si>
    <t>LFCR</t>
  </si>
  <si>
    <t>RDZ</t>
  </si>
  <si>
    <t>RODEZ MARCILLAC</t>
  </si>
  <si>
    <t>FIGARI</t>
  </si>
  <si>
    <t>CHALONS/VATRY</t>
  </si>
  <si>
    <t>KITHIRA</t>
  </si>
  <si>
    <t>KEFALLINIA</t>
  </si>
  <si>
    <t>PREVEZA/LEVKAS AKTIO</t>
  </si>
  <si>
    <t>SITIA</t>
  </si>
  <si>
    <t>LIMP</t>
  </si>
  <si>
    <t>PMF</t>
  </si>
  <si>
    <t>PARMA</t>
  </si>
  <si>
    <t>LIPK</t>
  </si>
  <si>
    <t>FRL</t>
  </si>
  <si>
    <t>FORLI</t>
  </si>
  <si>
    <t>RIMINI MIRAMARE</t>
  </si>
  <si>
    <t>LTAS</t>
  </si>
  <si>
    <t>ONQ</t>
  </si>
  <si>
    <t>ZONGULDAK</t>
  </si>
  <si>
    <t>LTAW</t>
  </si>
  <si>
    <t>TJK</t>
  </si>
  <si>
    <t>TOKAT</t>
  </si>
  <si>
    <t>CANAKKALE*</t>
  </si>
  <si>
    <t>SIIRT*</t>
  </si>
  <si>
    <t>MARDIN</t>
  </si>
  <si>
    <t>BALIKESIR KÖRFEZ</t>
  </si>
  <si>
    <t>LTFO</t>
  </si>
  <si>
    <t>RZV</t>
  </si>
  <si>
    <t>RIZE-ARTVIN</t>
  </si>
  <si>
    <t>OEJN</t>
  </si>
  <si>
    <t>JED</t>
  </si>
  <si>
    <t>KING ABDULAZIZ INTERNATIONAL</t>
  </si>
  <si>
    <t>OEMA</t>
  </si>
  <si>
    <t>MED</t>
  </si>
  <si>
    <t>MADINAH</t>
  </si>
  <si>
    <t>TABRIZ</t>
  </si>
  <si>
    <t>BAGHDAD INTERNATIONAL</t>
  </si>
  <si>
    <t>SBBR</t>
  </si>
  <si>
    <t>BSB</t>
  </si>
  <si>
    <t>BRASILIA INTL</t>
  </si>
  <si>
    <t>SBFZ</t>
  </si>
  <si>
    <t>FOR</t>
  </si>
  <si>
    <t>FORTALEZA</t>
  </si>
  <si>
    <t>SBSV</t>
  </si>
  <si>
    <t>SSA</t>
  </si>
  <si>
    <t>SALVADOR/DOIS DE JUL</t>
  </si>
  <si>
    <t>SMJP</t>
  </si>
  <si>
    <t>PBM</t>
  </si>
  <si>
    <t>PARAMARIBO/ZANDERIJ</t>
  </si>
  <si>
    <t>KOPITNARI</t>
  </si>
  <si>
    <t>UTAA</t>
  </si>
  <si>
    <t>ASB</t>
  </si>
  <si>
    <t>ASHKHABAD</t>
  </si>
  <si>
    <t>MUMBAI</t>
  </si>
  <si>
    <t>BENGALARU</t>
  </si>
  <si>
    <t>VOMM</t>
  </si>
  <si>
    <t>MAA</t>
  </si>
  <si>
    <t>CHENNAI</t>
  </si>
  <si>
    <t>VVTS</t>
  </si>
  <si>
    <t>SGN</t>
  </si>
  <si>
    <t>HO-CHI-MINH</t>
  </si>
  <si>
    <t>JAKARTA/SOEKARNO HATTA</t>
  </si>
  <si>
    <t>ZGGG</t>
  </si>
  <si>
    <t>CAN</t>
  </si>
  <si>
    <t>GUANGZHOU</t>
  </si>
  <si>
    <t>© European Organisation for the Safety of Air Navigation (EUROCONTROL) 2024</t>
  </si>
  <si>
    <t>Taxi times - Summer 2024 | EUROCONTROL</t>
  </si>
  <si>
    <t>FCPP</t>
  </si>
  <si>
    <t>PNR</t>
  </si>
  <si>
    <t>POINTE NOIRE</t>
  </si>
  <si>
    <t>OMDW</t>
  </si>
  <si>
    <t>DWC</t>
  </si>
  <si>
    <t>AL MAKTOUM INTERNATIONAL</t>
  </si>
  <si>
    <t>2025 (flights)</t>
  </si>
  <si>
    <t>2025 (total)</t>
  </si>
  <si>
    <t>2050 target</t>
  </si>
  <si>
    <t>[euro/kg]</t>
  </si>
  <si>
    <t>Freight rate</t>
  </si>
  <si>
    <t>[euro/pax]</t>
  </si>
  <si>
    <t>Ticket price</t>
  </si>
  <si>
    <t>Finance</t>
  </si>
  <si>
    <t>[ton]</t>
  </si>
  <si>
    <t>Emissions</t>
  </si>
  <si>
    <t>[-]</t>
  </si>
  <si>
    <t>cabin crew</t>
  </si>
  <si>
    <t>Pilot</t>
  </si>
  <si>
    <t>Crew</t>
  </si>
  <si>
    <t>[MWh]</t>
  </si>
  <si>
    <t>Electricity</t>
  </si>
  <si>
    <t>Hydrogen</t>
  </si>
  <si>
    <t>eSAF</t>
  </si>
  <si>
    <t>Jet A</t>
  </si>
  <si>
    <t>[% jet A/HEFA]</t>
  </si>
  <si>
    <t>Mix</t>
  </si>
  <si>
    <t>Fuel</t>
  </si>
  <si>
    <t>[hrs]</t>
  </si>
  <si>
    <t>Stopover time</t>
  </si>
  <si>
    <t>[%]</t>
  </si>
  <si>
    <t>Profitmargin</t>
  </si>
  <si>
    <t>Number of stops</t>
  </si>
  <si>
    <t>[keuro]</t>
  </si>
  <si>
    <t>Profit</t>
  </si>
  <si>
    <t>flight time</t>
  </si>
  <si>
    <t>Total revenu</t>
  </si>
  <si>
    <t>Available cargo</t>
  </si>
  <si>
    <t>Total cost</t>
  </si>
  <si>
    <t>[km]</t>
  </si>
  <si>
    <t>Distance</t>
  </si>
  <si>
    <t>Available seats</t>
  </si>
  <si>
    <t>Flight plan</t>
  </si>
  <si>
    <t>Output</t>
  </si>
  <si>
    <t>Input</t>
  </si>
  <si>
    <t>cts</t>
  </si>
  <si>
    <t>RASK</t>
  </si>
  <si>
    <t>CASK</t>
  </si>
  <si>
    <t>Total</t>
  </si>
  <si>
    <t>Insurance &amp; overhead</t>
  </si>
  <si>
    <t>Catering and in-flight services</t>
  </si>
  <si>
    <t>Operational Lease</t>
  </si>
  <si>
    <t>Maintenance reserve</t>
  </si>
  <si>
    <t>Maintenance cost</t>
  </si>
  <si>
    <t>Airport charges</t>
  </si>
  <si>
    <t>Airport &amp; navigation charges</t>
  </si>
  <si>
    <t>H2</t>
  </si>
  <si>
    <t>MWh</t>
  </si>
  <si>
    <t>Cargo revenue</t>
  </si>
  <si>
    <t>Passenger revenue</t>
  </si>
  <si>
    <t>Credit</t>
  </si>
  <si>
    <t>Debet</t>
  </si>
  <si>
    <t>hrs/year</t>
  </si>
  <si>
    <t>average nr flight hours</t>
  </si>
  <si>
    <t>% of original value</t>
  </si>
  <si>
    <t>Residual value</t>
  </si>
  <si>
    <t>years</t>
  </si>
  <si>
    <t>Average life service time</t>
  </si>
  <si>
    <t>Meuro/pax</t>
  </si>
  <si>
    <t>Average aircraft cost per passenger</t>
  </si>
  <si>
    <t>euro/pax</t>
  </si>
  <si>
    <t>Catering cost per pax</t>
  </si>
  <si>
    <t>euro/ flight hour</t>
  </si>
  <si>
    <t>euro/year</t>
  </si>
  <si>
    <t>crew member salary</t>
  </si>
  <si>
    <t>pilot salary</t>
  </si>
  <si>
    <t>euro/ton</t>
  </si>
  <si>
    <t>CO2 price</t>
  </si>
  <si>
    <t>euro/km</t>
  </si>
  <si>
    <t>Navigation charges</t>
  </si>
  <si>
    <t>euro/MWh</t>
  </si>
  <si>
    <t>euro/kg</t>
  </si>
  <si>
    <t>jet A</t>
  </si>
  <si>
    <t>load factor</t>
  </si>
  <si>
    <t>Mogelijkheid tot interactie op het dashboard</t>
  </si>
  <si>
    <t>Li3N</t>
  </si>
  <si>
    <t xml:space="preserve">Total extra Costs Strategy 1 (Li3N) </t>
  </si>
  <si>
    <t>assuming CO2e from 2025</t>
  </si>
  <si>
    <t>kTon</t>
  </si>
  <si>
    <t>Total Cost</t>
  </si>
  <si>
    <t>srces</t>
  </si>
  <si>
    <t>https://gasbox.lv/en-us/sausais-ledus-un-%C5%A1%C4%B7idrais-sl%C4%81peklis/sl%C4%81peklis-%C5%A1%C4%B7%C4%ABdrais/nitrogen-liquid-kg-gtlin</t>
  </si>
  <si>
    <t xml:space="preserve">
https://www.sciencedirect.com/science/article/pii/S2210271X14000930 </t>
  </si>
  <si>
    <t>https://www.dailymetalprice.com/metalpricecharts.php?c=li&amp;u=kg&amp;d=240</t>
  </si>
  <si>
    <t>Scope 1 reduction needed</t>
  </si>
  <si>
    <t>https://www.chemicalbook.com/SupplierPriceList_EN.aspx?cbn=CB7164125&amp;c=10g#price</t>
  </si>
  <si>
    <t>$/kg CO2</t>
  </si>
  <si>
    <t>price</t>
  </si>
  <si>
    <t>pax</t>
  </si>
  <si>
    <t>Normaal</t>
  </si>
  <si>
    <t>Prijsverhoging</t>
  </si>
  <si>
    <t>LF</t>
  </si>
  <si>
    <t>/yr</t>
  </si>
  <si>
    <t>/Flight</t>
  </si>
  <si>
    <t>cost</t>
  </si>
  <si>
    <t>revenue</t>
  </si>
  <si>
    <t>profit</t>
  </si>
  <si>
    <t>margin</t>
  </si>
  <si>
    <t xml:space="preserve"> </t>
  </si>
  <si>
    <t>MJ/kg</t>
  </si>
  <si>
    <t>MJ/flight</t>
  </si>
  <si>
    <t>$/flight from energy put into power grid</t>
  </si>
  <si>
    <t>Offset Cost/yr</t>
  </si>
  <si>
    <t>Offset Cost/fl</t>
  </si>
  <si>
    <t>E-Offset</t>
  </si>
  <si>
    <t>E-Remaining</t>
  </si>
  <si>
    <t>Carbon Tax Yr</t>
  </si>
  <si>
    <t>Carbon Tax Fl</t>
  </si>
  <si>
    <t>Total Cost Yr</t>
  </si>
  <si>
    <t>Total Cost Fl</t>
  </si>
  <si>
    <t>Estimated Offset Power Generation kWh per year</t>
  </si>
  <si>
    <t>kWh/fl</t>
  </si>
  <si>
    <t>kWh sale price per year</t>
  </si>
  <si>
    <t>$/fl</t>
  </si>
  <si>
    <t>Net Cost/Yr</t>
  </si>
  <si>
    <t>Net Cost/Fl</t>
  </si>
  <si>
    <t>SAF</t>
  </si>
  <si>
    <t>kgCO2</t>
  </si>
  <si>
    <t>Fuel costs</t>
  </si>
  <si>
    <t>Jet A1</t>
  </si>
  <si>
    <t>€/kg</t>
  </si>
  <si>
    <t>€ yearly</t>
  </si>
  <si>
    <t>kg  yearly</t>
  </si>
  <si>
    <t>Relative Emissions per kg fuel</t>
  </si>
  <si>
    <t>Percent SAF</t>
  </si>
  <si>
    <t>Yearly Fuel kg</t>
  </si>
  <si>
    <t>Total Fuel kg</t>
  </si>
  <si>
    <t>% HEFA</t>
  </si>
  <si>
    <t>Total E</t>
  </si>
  <si>
    <t>Emissions from ground ops</t>
  </si>
  <si>
    <t>https://www.easa.europa.eu/en/domains/environment/eaer/sustainable-aviation-fuels/saf-market#co2-emissions-reductions</t>
  </si>
  <si>
    <t>SAF Cost</t>
  </si>
  <si>
    <t>Jet A-1 Cost/yr</t>
  </si>
  <si>
    <t>HEFA Cost/yr</t>
  </si>
  <si>
    <t>HEFA Cost/fl</t>
  </si>
  <si>
    <t>Jet A-1 Cost/fl</t>
  </si>
  <si>
    <t>NGSA (Airbus)</t>
  </si>
  <si>
    <t>ASSUMPTION</t>
  </si>
  <si>
    <t>%pax</t>
  </si>
  <si>
    <t>Tickets fors duurder, maar we vliegen weer bijna net zo veel als voor corona</t>
  </si>
  <si>
    <t>Passagiers</t>
  </si>
  <si>
    <t>Ticketprijs</t>
  </si>
  <si>
    <t>Examined: The Complex Relationship Between Load Factor &amp; Airline Profitability</t>
  </si>
  <si>
    <t>What is Load Factor in Aviation? | Executive Flyers</t>
  </si>
  <si>
    <t>Revenue</t>
  </si>
  <si>
    <t>Ticketprice</t>
  </si>
  <si>
    <t>Total Revenue</t>
  </si>
  <si>
    <t>Maximum Profit</t>
  </si>
  <si>
    <t>Maximum Increase</t>
  </si>
  <si>
    <t>Minimal Loadfactor</t>
  </si>
  <si>
    <t>SAF% GAS</t>
  </si>
  <si>
    <t>SAF% ALC</t>
  </si>
  <si>
    <t>SAF% SYNT</t>
  </si>
  <si>
    <t>GASIFICATION</t>
  </si>
  <si>
    <t>ALCOHOL-TO-JET</t>
  </si>
  <si>
    <t>SYNTHETIC</t>
  </si>
  <si>
    <t>TOTAL CO2</t>
  </si>
  <si>
    <t>TOTAL COSTS SAF</t>
  </si>
  <si>
    <t>TOTAL COSTS A1</t>
  </si>
  <si>
    <t>TOTAL COSTS</t>
  </si>
  <si>
    <t>CO2 permits</t>
  </si>
  <si>
    <t>TOTAL COSTS CARBON CREDITS</t>
  </si>
  <si>
    <t>SAF PERCENTAGE</t>
  </si>
  <si>
    <t>Technical feasibility</t>
  </si>
  <si>
    <t>Legislation</t>
  </si>
  <si>
    <t>Safety</t>
  </si>
  <si>
    <t>Financial</t>
  </si>
  <si>
    <t>Production</t>
  </si>
  <si>
    <t>Production level</t>
  </si>
  <si>
    <t>--</t>
  </si>
  <si>
    <t>+/-</t>
  </si>
  <si>
    <t>+</t>
  </si>
  <si>
    <t>++</t>
  </si>
  <si>
    <t>Much more expensive than flying with jet A1</t>
  </si>
  <si>
    <t>More expensive than flying with jet A1</t>
  </si>
  <si>
    <t>About the same price</t>
  </si>
  <si>
    <t>Cheaper than flying with jet A1</t>
  </si>
  <si>
    <t>Much cheaper than flying with jet A1</t>
  </si>
  <si>
    <t>It is not yet in production</t>
  </si>
  <si>
    <t>All requirements for production are there</t>
  </si>
  <si>
    <t>It is in production</t>
  </si>
  <si>
    <t>Very small, not able to be used commercially</t>
  </si>
  <si>
    <t>Able to be used for commercial use</t>
  </si>
  <si>
    <t>The same level as jet A1</t>
  </si>
  <si>
    <t>Worse than jet A1</t>
  </si>
  <si>
    <t>Better than jet A1</t>
  </si>
  <si>
    <t>Much better than jet A1</t>
  </si>
  <si>
    <t>Much worse than jet A1</t>
  </si>
  <si>
    <t>Almost ready for commercial use</t>
  </si>
  <si>
    <t>SAF 1 (HEFA)</t>
  </si>
  <si>
    <t>SAF 2 (Gasification)</t>
  </si>
  <si>
    <t>SAF 3 (Alcohol to jet)</t>
  </si>
  <si>
    <t>SAF 4 (Synthetic)</t>
  </si>
  <si>
    <t>Strategie 1/nieuwe vloot</t>
  </si>
  <si>
    <t>Strategie 3/lithium</t>
  </si>
  <si>
    <t>(50% procent saf mix op dit moment toegestaan, dus regelgeving is er)</t>
  </si>
  <si>
    <t>Total CO2</t>
  </si>
  <si>
    <t>Total costs SAF</t>
  </si>
  <si>
    <t>Total costs A1</t>
  </si>
  <si>
    <t>Total costs Carbon credits</t>
  </si>
  <si>
    <t>Total Costs</t>
  </si>
  <si>
    <t>TOTAL CO2 2025</t>
  </si>
  <si>
    <t>Costs w permits</t>
  </si>
  <si>
    <t>COSTS PER KG FUEL</t>
  </si>
  <si>
    <t>Costs / kg 2025</t>
  </si>
  <si>
    <t>Costs / kg 2050</t>
  </si>
  <si>
    <t>Maar baseline heeft dan toch wel Credits nodig?</t>
  </si>
  <si>
    <t>"L28"</t>
  </si>
  <si>
    <t>Nee, 2025 heb je nog geen credits nodig</t>
  </si>
  <si>
    <t>Pas vanaf 2026 vgm</t>
  </si>
  <si>
    <t>Costs / kg 2030</t>
  </si>
  <si>
    <t>Strat 1</t>
  </si>
  <si>
    <t>Strat 2</t>
  </si>
  <si>
    <t>Strat 3</t>
  </si>
  <si>
    <t>Strategie 2/SAF &gt;14%</t>
  </si>
  <si>
    <t>Baseline 2025</t>
  </si>
  <si>
    <t>Total Fuel</t>
  </si>
  <si>
    <t>Profit Margin</t>
  </si>
  <si>
    <t>Total Emissions in kton</t>
  </si>
  <si>
    <t>Seats/year Normal Fleet</t>
  </si>
  <si>
    <t>Seats/year New Fleet</t>
  </si>
  <si>
    <t>ASK/year Normal Fleet</t>
  </si>
  <si>
    <t>ASK/year New Fleet</t>
  </si>
  <si>
    <t>Hoe zijn er optimale costen?</t>
  </si>
  <si>
    <t xml:space="preserve">Available Seats </t>
  </si>
  <si>
    <t>A32N</t>
  </si>
  <si>
    <t>A359</t>
  </si>
  <si>
    <t>Seats</t>
  </si>
  <si>
    <t>Efficiency Factor</t>
  </si>
  <si>
    <t>Price</t>
  </si>
  <si>
    <t>Required</t>
  </si>
  <si>
    <t>Total Price</t>
  </si>
  <si>
    <t>Per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</si>
</sst>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"/>
    <numFmt numFmtId="165" formatCode="_ * #,##0.0_ ;_ * \-#,##0.0_ ;_ * &quot;-&quot;??_ ;_ @_ "/>
    <numFmt numFmtId="166" formatCode="0.0000000000000000000000000000000"/>
    <numFmt numFmtId="167" formatCode="0.000%"/>
    <numFmt numFmtId="168" formatCode="_ * #,##0.00_ ;_ * \-#,##0.00_ ;_ * &quot;-&quot;?_ ;_ @_ "/>
    <numFmt numFmtId="169" formatCode="#,##0.000"/>
    <numFmt numFmtId="170" formatCode="_-[$$-409]* #,##0.00_ ;_-[$$-409]* \-#,##0.00\ ;_-[$$-409]* &quot;-&quot;??_ ;_-@_ "/>
    <numFmt numFmtId="171" formatCode="_ * #,##0.0000_ ;_ * \-#,##0.0000_ ;_ * &quot;-&quot;??_ ;_ @_ "/>
    <numFmt numFmtId="172" formatCode="_ * #,##0.00000_ ;_ * \-#,##0.00000_ ;_ * &quot;-&quot;??_ ;_ @_ "/>
    <numFmt numFmtId="173" formatCode="_ * #,##0.0_ ;_ * \-#,##0.0_ ;_ * &quot;-&quot;?_ ;_ @_ "/>
    <numFmt numFmtId="174" formatCode="_ * #,##0.00000_ ;_ * \-#,##0.00000_ ;_ * &quot;-&quot;?????_ ;_ @_ 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Corbel"/>
      <family val="2"/>
    </font>
    <font>
      <b/>
      <sz val="10"/>
      <name val="Corbel"/>
      <family val="2"/>
    </font>
    <font>
      <sz val="11"/>
      <name val="Corbel"/>
      <family val="2"/>
    </font>
    <font>
      <sz val="12"/>
      <color theme="0"/>
      <name val="Corbe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FFFFFF"/>
      <name val="Corbel"/>
      <family val="2"/>
    </font>
    <font>
      <sz val="11"/>
      <color rgb="FF000000"/>
      <name val="Corbel"/>
      <family val="2"/>
    </font>
    <font>
      <sz val="11"/>
      <color rgb="FF000000"/>
      <name val="Calibri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6"/>
      <color theme="1"/>
      <name val="Aptos"/>
      <family val="2"/>
    </font>
    <font>
      <sz val="2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3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0" fillId="0" borderId="0" xfId="0" applyNumberFormat="1"/>
    <xf numFmtId="0" fontId="3" fillId="2" borderId="12" xfId="0" applyFont="1" applyFill="1" applyBorder="1" applyAlignment="1">
      <alignment horizontal="left"/>
    </xf>
    <xf numFmtId="9" fontId="3" fillId="2" borderId="0" xfId="0" applyNumberFormat="1" applyFont="1" applyFill="1" applyAlignment="1">
      <alignment horizontal="left"/>
    </xf>
    <xf numFmtId="164" fontId="0" fillId="0" borderId="0" xfId="0" applyNumberFormat="1" applyAlignment="1" applyProtection="1">
      <alignment horizontal="right"/>
      <protection locked="0"/>
    </xf>
    <xf numFmtId="0" fontId="1" fillId="0" borderId="3" xfId="0" applyFont="1" applyBorder="1" applyAlignment="1">
      <alignment horizontal="left"/>
    </xf>
    <xf numFmtId="164" fontId="0" fillId="0" borderId="13" xfId="0" applyNumberFormat="1" applyBorder="1" applyProtection="1">
      <protection locked="0"/>
    </xf>
    <xf numFmtId="0" fontId="0" fillId="0" borderId="15" xfId="0" applyBorder="1"/>
    <xf numFmtId="0" fontId="0" fillId="0" borderId="14" xfId="0" applyBorder="1"/>
    <xf numFmtId="164" fontId="3" fillId="2" borderId="0" xfId="0" applyNumberFormat="1" applyFont="1" applyFill="1" applyAlignment="1">
      <alignment horizontal="left"/>
    </xf>
    <xf numFmtId="164" fontId="0" fillId="2" borderId="0" xfId="2" applyNumberFormat="1" applyFont="1" applyFill="1" applyAlignment="1">
      <alignment horizontal="left"/>
    </xf>
    <xf numFmtId="43" fontId="0" fillId="0" borderId="0" xfId="0" applyNumberFormat="1" applyAlignment="1">
      <alignment horizontal="left"/>
    </xf>
    <xf numFmtId="165" fontId="0" fillId="2" borderId="0" xfId="2" applyNumberFormat="1" applyFont="1" applyFill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0" borderId="0" xfId="2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5" fontId="0" fillId="2" borderId="12" xfId="2" applyNumberFormat="1" applyFont="1" applyFill="1" applyBorder="1" applyAlignment="1">
      <alignment horizontal="left"/>
    </xf>
    <xf numFmtId="165" fontId="2" fillId="2" borderId="0" xfId="2" applyNumberFormat="1" applyFont="1" applyFill="1" applyAlignment="1">
      <alignment horizontal="left"/>
    </xf>
    <xf numFmtId="165" fontId="3" fillId="2" borderId="0" xfId="2" applyNumberFormat="1" applyFont="1" applyFill="1" applyAlignment="1">
      <alignment horizontal="left"/>
    </xf>
    <xf numFmtId="0" fontId="3" fillId="0" borderId="13" xfId="0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165" fontId="0" fillId="0" borderId="13" xfId="2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1" fontId="9" fillId="3" borderId="0" xfId="0" applyNumberFormat="1" applyFont="1" applyFill="1" applyAlignment="1" applyProtection="1">
      <alignment horizontal="center" vertical="center" wrapText="1"/>
      <protection locked="0"/>
    </xf>
    <xf numFmtId="166" fontId="0" fillId="0" borderId="0" xfId="0" applyNumberFormat="1" applyAlignment="1">
      <alignment horizontal="left"/>
    </xf>
    <xf numFmtId="43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2" applyNumberFormat="1" applyFont="1" applyAlignment="1">
      <alignment horizontal="right"/>
    </xf>
    <xf numFmtId="0" fontId="4" fillId="0" borderId="0" xfId="1" applyAlignment="1">
      <alignment horizontal="left"/>
    </xf>
    <xf numFmtId="165" fontId="0" fillId="0" borderId="0" xfId="0" applyNumberFormat="1"/>
    <xf numFmtId="0" fontId="4" fillId="0" borderId="0" xfId="1"/>
    <xf numFmtId="167" fontId="0" fillId="0" borderId="0" xfId="3" applyNumberFormat="1" applyFont="1" applyAlignment="1">
      <alignment horizontal="left"/>
    </xf>
    <xf numFmtId="168" fontId="0" fillId="0" borderId="0" xfId="0" applyNumberFormat="1" applyAlignment="1">
      <alignment horizontal="left"/>
    </xf>
    <xf numFmtId="165" fontId="2" fillId="2" borderId="12" xfId="2" applyNumberFormat="1" applyFont="1" applyFill="1" applyBorder="1" applyAlignment="1">
      <alignment horizontal="left"/>
    </xf>
    <xf numFmtId="2" fontId="0" fillId="0" borderId="0" xfId="0" applyNumberFormat="1"/>
    <xf numFmtId="0" fontId="0" fillId="0" borderId="13" xfId="0" applyBorder="1"/>
    <xf numFmtId="2" fontId="0" fillId="0" borderId="13" xfId="0" applyNumberFormat="1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3" fillId="2" borderId="0" xfId="0" applyNumberFormat="1" applyFont="1" applyFill="1" applyAlignment="1">
      <alignment horizontal="left"/>
    </xf>
    <xf numFmtId="1" fontId="3" fillId="2" borderId="12" xfId="0" applyNumberFormat="1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43" fontId="0" fillId="0" borderId="0" xfId="0" applyNumberFormat="1"/>
    <xf numFmtId="164" fontId="3" fillId="0" borderId="0" xfId="0" applyNumberFormat="1" applyFont="1" applyAlignment="1">
      <alignment horizontal="left"/>
    </xf>
    <xf numFmtId="164" fontId="0" fillId="0" borderId="0" xfId="2" applyNumberFormat="1" applyFont="1" applyFill="1" applyAlignment="1">
      <alignment horizontal="left"/>
    </xf>
    <xf numFmtId="164" fontId="3" fillId="0" borderId="13" xfId="0" applyNumberFormat="1" applyFont="1" applyBorder="1" applyAlignment="1">
      <alignment horizontal="left"/>
    </xf>
    <xf numFmtId="164" fontId="0" fillId="0" borderId="13" xfId="2" applyNumberFormat="1" applyFont="1" applyFill="1" applyBorder="1" applyAlignment="1">
      <alignment horizontal="left"/>
    </xf>
    <xf numFmtId="165" fontId="0" fillId="0" borderId="13" xfId="2" applyNumberFormat="1" applyFont="1" applyFill="1" applyBorder="1" applyAlignment="1">
      <alignment horizontal="left"/>
    </xf>
    <xf numFmtId="0" fontId="11" fillId="2" borderId="0" xfId="1" applyNumberFormat="1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13" xfId="0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1" fillId="0" borderId="0" xfId="1" applyNumberFormat="1" applyFont="1" applyFill="1" applyAlignment="1">
      <alignment horizontal="right"/>
    </xf>
    <xf numFmtId="164" fontId="11" fillId="2" borderId="0" xfId="1" applyNumberFormat="1" applyFont="1" applyFill="1" applyAlignment="1">
      <alignment horizontal="right"/>
    </xf>
    <xf numFmtId="164" fontId="11" fillId="0" borderId="0" xfId="1" applyNumberFormat="1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11" fillId="0" borderId="0" xfId="0" applyNumberFormat="1" applyFont="1" applyAlignment="1">
      <alignment horizontal="right"/>
    </xf>
    <xf numFmtId="43" fontId="0" fillId="0" borderId="0" xfId="2" applyFont="1" applyAlignment="1">
      <alignment horizontal="left"/>
    </xf>
    <xf numFmtId="0" fontId="0" fillId="0" borderId="17" xfId="0" applyBorder="1"/>
    <xf numFmtId="164" fontId="0" fillId="0" borderId="13" xfId="0" applyNumberFormat="1" applyBorder="1"/>
    <xf numFmtId="0" fontId="0" fillId="4" borderId="0" xfId="0" applyFill="1"/>
    <xf numFmtId="0" fontId="1" fillId="0" borderId="20" xfId="0" applyFont="1" applyBorder="1"/>
    <xf numFmtId="0" fontId="0" fillId="0" borderId="12" xfId="0" applyBorder="1"/>
    <xf numFmtId="0" fontId="0" fillId="0" borderId="19" xfId="0" applyBorder="1"/>
    <xf numFmtId="0" fontId="0" fillId="0" borderId="18" xfId="0" applyBorder="1"/>
    <xf numFmtId="164" fontId="0" fillId="0" borderId="15" xfId="0" applyNumberFormat="1" applyBorder="1"/>
    <xf numFmtId="0" fontId="12" fillId="5" borderId="11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/>
    </xf>
    <xf numFmtId="0" fontId="8" fillId="0" borderId="8" xfId="0" applyFont="1" applyBorder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5" borderId="10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/>
    </xf>
    <xf numFmtId="0" fontId="0" fillId="0" borderId="12" xfId="0" applyBorder="1" applyAlignment="1">
      <alignment horizontal="left"/>
    </xf>
    <xf numFmtId="165" fontId="1" fillId="0" borderId="12" xfId="2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43" fontId="0" fillId="0" borderId="22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43" fontId="0" fillId="0" borderId="24" xfId="0" applyNumberFormat="1" applyBorder="1" applyAlignment="1">
      <alignment horizontal="left"/>
    </xf>
    <xf numFmtId="0" fontId="0" fillId="0" borderId="25" xfId="0" applyBorder="1" applyAlignment="1">
      <alignment horizontal="left"/>
    </xf>
    <xf numFmtId="43" fontId="0" fillId="0" borderId="26" xfId="0" applyNumberFormat="1" applyBorder="1" applyAlignment="1">
      <alignment horizontal="left"/>
    </xf>
    <xf numFmtId="9" fontId="0" fillId="0" borderId="5" xfId="3" applyFont="1" applyFill="1" applyBorder="1" applyAlignment="1">
      <alignment horizontal="left"/>
    </xf>
    <xf numFmtId="9" fontId="0" fillId="0" borderId="6" xfId="3" applyFont="1" applyFill="1" applyBorder="1" applyAlignment="1">
      <alignment horizontal="left"/>
    </xf>
    <xf numFmtId="9" fontId="0" fillId="0" borderId="7" xfId="3" applyFont="1" applyFill="1" applyBorder="1" applyAlignment="1">
      <alignment horizontal="left"/>
    </xf>
    <xf numFmtId="9" fontId="0" fillId="0" borderId="0" xfId="3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5" fillId="0" borderId="0" xfId="0" applyFont="1"/>
    <xf numFmtId="164" fontId="15" fillId="0" borderId="0" xfId="0" applyNumberFormat="1" applyFont="1"/>
    <xf numFmtId="9" fontId="16" fillId="0" borderId="0" xfId="3" applyFont="1"/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7" fillId="0" borderId="0" xfId="0" applyFont="1"/>
    <xf numFmtId="164" fontId="0" fillId="4" borderId="0" xfId="0" applyNumberFormat="1" applyFill="1"/>
    <xf numFmtId="0" fontId="0" fillId="0" borderId="0" xfId="0" applyAlignment="1">
      <alignment horizontal="center" vertical="center"/>
    </xf>
    <xf numFmtId="2" fontId="15" fillId="0" borderId="0" xfId="0" applyNumberFormat="1" applyFont="1"/>
    <xf numFmtId="169" fontId="15" fillId="0" borderId="0" xfId="0" applyNumberFormat="1" applyFont="1"/>
    <xf numFmtId="0" fontId="15" fillId="0" borderId="0" xfId="0" applyFont="1" applyAlignment="1">
      <alignment wrapText="1"/>
    </xf>
    <xf numFmtId="43" fontId="15" fillId="0" borderId="0" xfId="2" applyFont="1"/>
    <xf numFmtId="170" fontId="15" fillId="0" borderId="0" xfId="0" applyNumberFormat="1" applyFont="1"/>
    <xf numFmtId="43" fontId="0" fillId="0" borderId="0" xfId="2" applyFont="1"/>
    <xf numFmtId="43" fontId="0" fillId="0" borderId="0" xfId="2" applyFont="1" applyAlignment="1">
      <alignment horizontal="center"/>
    </xf>
    <xf numFmtId="10" fontId="15" fillId="0" borderId="0" xfId="0" applyNumberFormat="1" applyFont="1"/>
    <xf numFmtId="44" fontId="0" fillId="0" borderId="0" xfId="0" applyNumberFormat="1"/>
    <xf numFmtId="170" fontId="0" fillId="0" borderId="0" xfId="0" applyNumberFormat="1"/>
    <xf numFmtId="4" fontId="0" fillId="0" borderId="0" xfId="0" applyNumberFormat="1"/>
    <xf numFmtId="9" fontId="0" fillId="0" borderId="0" xfId="3" applyFont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0" fontId="0" fillId="0" borderId="0" xfId="3" applyNumberFormat="1" applyFont="1"/>
    <xf numFmtId="171" fontId="0" fillId="0" borderId="0" xfId="2" applyNumberFormat="1" applyFont="1"/>
    <xf numFmtId="172" fontId="0" fillId="0" borderId="0" xfId="2" applyNumberFormat="1" applyFont="1"/>
    <xf numFmtId="173" fontId="0" fillId="0" borderId="0" xfId="0" applyNumberFormat="1" applyAlignment="1">
      <alignment horizontal="left"/>
    </xf>
    <xf numFmtId="0" fontId="1" fillId="6" borderId="0" xfId="0" applyFont="1" applyFill="1" applyAlignment="1">
      <alignment vertical="center" wrapText="1"/>
    </xf>
    <xf numFmtId="174" fontId="0" fillId="0" borderId="0" xfId="0" applyNumberFormat="1"/>
    <xf numFmtId="0" fontId="0" fillId="7" borderId="0" xfId="0" applyFill="1"/>
    <xf numFmtId="174" fontId="0" fillId="7" borderId="0" xfId="0" applyNumberFormat="1" applyFill="1"/>
    <xf numFmtId="43" fontId="0" fillId="7" borderId="0" xfId="0" applyNumberFormat="1" applyFill="1"/>
    <xf numFmtId="43" fontId="0" fillId="7" borderId="0" xfId="2" applyFont="1" applyFill="1"/>
    <xf numFmtId="10" fontId="16" fillId="0" borderId="0" xfId="3" applyNumberFormat="1" applyFont="1" applyAlignment="1">
      <alignment horizontal="right"/>
    </xf>
    <xf numFmtId="0" fontId="0" fillId="0" borderId="0" xfId="3" applyNumberFormat="1" applyFont="1"/>
    <xf numFmtId="174" fontId="0" fillId="4" borderId="0" xfId="0" applyNumberFormat="1" applyFill="1"/>
    <xf numFmtId="43" fontId="0" fillId="4" borderId="0" xfId="0" applyNumberFormat="1" applyFill="1"/>
    <xf numFmtId="10" fontId="0" fillId="4" borderId="0" xfId="3" applyNumberFormat="1" applyFont="1" applyFill="1"/>
    <xf numFmtId="43" fontId="0" fillId="4" borderId="0" xfId="2" applyFont="1" applyFill="1"/>
    <xf numFmtId="10" fontId="0" fillId="7" borderId="0" xfId="3" applyNumberFormat="1" applyFont="1" applyFill="1"/>
    <xf numFmtId="10" fontId="0" fillId="7" borderId="0" xfId="0" applyNumberFormat="1" applyFill="1"/>
    <xf numFmtId="10" fontId="0" fillId="4" borderId="0" xfId="0" applyNumberFormat="1" applyFill="1"/>
    <xf numFmtId="0" fontId="0" fillId="8" borderId="0" xfId="0" applyFill="1"/>
    <xf numFmtId="43" fontId="0" fillId="8" borderId="0" xfId="0" applyNumberFormat="1" applyFill="1"/>
    <xf numFmtId="9" fontId="0" fillId="8" borderId="0" xfId="0" applyNumberFormat="1" applyFill="1"/>
    <xf numFmtId="174" fontId="0" fillId="8" borderId="0" xfId="0" applyNumberFormat="1" applyFill="1"/>
    <xf numFmtId="10" fontId="0" fillId="8" borderId="0" xfId="3" applyNumberFormat="1" applyFont="1" applyFill="1"/>
    <xf numFmtId="43" fontId="0" fillId="8" borderId="0" xfId="2" applyFont="1" applyFill="1"/>
    <xf numFmtId="0" fontId="3" fillId="9" borderId="0" xfId="0" applyFont="1" applyFill="1" applyAlignment="1">
      <alignment horizontal="left"/>
    </xf>
    <xf numFmtId="1" fontId="3" fillId="9" borderId="0" xfId="0" applyNumberFormat="1" applyFont="1" applyFill="1" applyAlignment="1">
      <alignment horizontal="left"/>
    </xf>
    <xf numFmtId="164" fontId="3" fillId="9" borderId="0" xfId="0" applyNumberFormat="1" applyFont="1" applyFill="1" applyAlignment="1">
      <alignment horizontal="left"/>
    </xf>
    <xf numFmtId="165" fontId="3" fillId="9" borderId="0" xfId="2" applyNumberFormat="1" applyFont="1" applyFill="1" applyAlignment="1">
      <alignment horizontal="left"/>
    </xf>
    <xf numFmtId="165" fontId="2" fillId="9" borderId="0" xfId="2" applyNumberFormat="1" applyFont="1" applyFill="1" applyAlignment="1">
      <alignment horizontal="left"/>
    </xf>
    <xf numFmtId="9" fontId="3" fillId="9" borderId="0" xfId="0" applyNumberFormat="1" applyFont="1" applyFill="1" applyAlignment="1">
      <alignment horizontal="left"/>
    </xf>
    <xf numFmtId="164" fontId="0" fillId="9" borderId="0" xfId="2" applyNumberFormat="1" applyFont="1" applyFill="1" applyAlignment="1">
      <alignment horizontal="left"/>
    </xf>
    <xf numFmtId="165" fontId="0" fillId="9" borderId="0" xfId="2" applyNumberFormat="1" applyFont="1" applyFill="1" applyAlignment="1">
      <alignment horizontal="left"/>
    </xf>
    <xf numFmtId="165" fontId="0" fillId="9" borderId="0" xfId="0" applyNumberFormat="1" applyFill="1" applyAlignment="1">
      <alignment horizontal="left"/>
    </xf>
    <xf numFmtId="164" fontId="3" fillId="9" borderId="13" xfId="0" applyNumberFormat="1" applyFont="1" applyFill="1" applyBorder="1" applyAlignment="1">
      <alignment horizontal="left"/>
    </xf>
    <xf numFmtId="165" fontId="3" fillId="9" borderId="13" xfId="2" applyNumberFormat="1" applyFont="1" applyFill="1" applyBorder="1" applyAlignment="1">
      <alignment horizontal="left"/>
    </xf>
    <xf numFmtId="165" fontId="2" fillId="9" borderId="13" xfId="2" applyNumberFormat="1" applyFont="1" applyFill="1" applyBorder="1" applyAlignment="1">
      <alignment horizontal="left"/>
    </xf>
    <xf numFmtId="165" fontId="0" fillId="9" borderId="13" xfId="0" applyNumberFormat="1" applyFill="1" applyBorder="1" applyAlignment="1">
      <alignment horizontal="left"/>
    </xf>
    <xf numFmtId="164" fontId="0" fillId="9" borderId="13" xfId="2" applyNumberFormat="1" applyFont="1" applyFill="1" applyBorder="1" applyAlignment="1">
      <alignment horizontal="left"/>
    </xf>
    <xf numFmtId="0" fontId="0" fillId="10" borderId="0" xfId="0" applyFill="1"/>
    <xf numFmtId="0" fontId="2" fillId="10" borderId="3" xfId="0" applyFont="1" applyFill="1" applyBorder="1" applyAlignment="1">
      <alignment horizontal="left"/>
    </xf>
    <xf numFmtId="165" fontId="2" fillId="10" borderId="0" xfId="2" applyNumberFormat="1" applyFont="1" applyFill="1" applyAlignment="1">
      <alignment horizontal="left"/>
    </xf>
    <xf numFmtId="165" fontId="2" fillId="10" borderId="0" xfId="2" applyNumberFormat="1" applyFont="1" applyFill="1" applyBorder="1" applyAlignment="1">
      <alignment horizontal="left"/>
    </xf>
    <xf numFmtId="0" fontId="0" fillId="10" borderId="16" xfId="0" applyFill="1" applyBorder="1" applyAlignment="1">
      <alignment horizontal="center"/>
    </xf>
    <xf numFmtId="0" fontId="1" fillId="10" borderId="3" xfId="0" applyFont="1" applyFill="1" applyBorder="1" applyAlignment="1">
      <alignment horizontal="left"/>
    </xf>
    <xf numFmtId="165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12" xfId="0" applyFill="1" applyBorder="1" applyAlignment="1">
      <alignment horizontal="left"/>
    </xf>
    <xf numFmtId="165" fontId="0" fillId="2" borderId="0" xfId="2" applyNumberFormat="1" applyFont="1" applyFill="1" applyBorder="1" applyAlignment="1">
      <alignment horizontal="left"/>
    </xf>
    <xf numFmtId="9" fontId="3" fillId="9" borderId="13" xfId="0" applyNumberFormat="1" applyFont="1" applyFill="1" applyBorder="1" applyAlignment="1">
      <alignment horizontal="left"/>
    </xf>
    <xf numFmtId="165" fontId="0" fillId="9" borderId="13" xfId="2" applyNumberFormat="1" applyFont="1" applyFill="1" applyBorder="1" applyAlignment="1">
      <alignment horizontal="left"/>
    </xf>
    <xf numFmtId="165" fontId="0" fillId="10" borderId="13" xfId="0" applyNumberFormat="1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8" fillId="10" borderId="0" xfId="0" applyFont="1" applyFill="1" applyAlignment="1">
      <alignment horizontal="center" vertical="center"/>
    </xf>
    <xf numFmtId="165" fontId="0" fillId="10" borderId="0" xfId="0" applyNumberFormat="1" applyFill="1"/>
    <xf numFmtId="43" fontId="1" fillId="10" borderId="0" xfId="0" applyNumberFormat="1" applyFont="1" applyFill="1" applyAlignment="1">
      <alignment horizontal="center"/>
    </xf>
    <xf numFmtId="44" fontId="0" fillId="10" borderId="0" xfId="4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70" fontId="0" fillId="0" borderId="0" xfId="4" applyNumberFormat="1" applyFon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/>
    </xf>
    <xf numFmtId="44" fontId="0" fillId="0" borderId="0" xfId="4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ill="1" applyAlignment="1">
      <alignment horizontal="left"/>
    </xf>
  </cellXfs>
  <cellStyles count="5">
    <cellStyle name="Comma" xfId="2" builtinId="3"/>
    <cellStyle name="Currency" xfId="4" builtinId="4"/>
    <cellStyle name="Hyperlink" xfId="1" builtinId="8"/>
    <cellStyle name="Normal" xfId="0" builtinId="0"/>
    <cellStyle name="Per cent" xfId="3" builtinId="5"/>
  </cellStyles>
  <dxfs count="20"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0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</dxf>
    <dxf>
      <numFmt numFmtId="3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</dxf>
    <dxf>
      <numFmt numFmtId="3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</dxf>
    <dxf>
      <numFmt numFmtId="35" formatCode="_ * #,##0.00_ ;_ * \-#,##0.00_ ;_ * &quot;-&quot;??_ ;_ @_ "/>
      <fill>
        <patternFill patternType="none">
          <fgColor indexed="64"/>
          <bgColor indexed="65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'Passenger Calc'!$R$3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'Passenger Calc'!$N$4:$N$247</c:f>
              <c:numCache>
                <c:formatCode>General</c:formatCode>
                <c:ptCount val="244"/>
                <c:pt idx="0">
                  <c:v>244</c:v>
                </c:pt>
                <c:pt idx="1">
                  <c:v>243</c:v>
                </c:pt>
                <c:pt idx="2">
                  <c:v>242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238</c:v>
                </c:pt>
                <c:pt idx="7">
                  <c:v>237</c:v>
                </c:pt>
                <c:pt idx="8">
                  <c:v>236</c:v>
                </c:pt>
                <c:pt idx="9">
                  <c:v>235</c:v>
                </c:pt>
                <c:pt idx="10">
                  <c:v>234</c:v>
                </c:pt>
                <c:pt idx="11">
                  <c:v>233</c:v>
                </c:pt>
                <c:pt idx="12">
                  <c:v>232</c:v>
                </c:pt>
                <c:pt idx="13">
                  <c:v>231</c:v>
                </c:pt>
                <c:pt idx="14">
                  <c:v>230</c:v>
                </c:pt>
                <c:pt idx="15">
                  <c:v>229</c:v>
                </c:pt>
                <c:pt idx="16">
                  <c:v>228</c:v>
                </c:pt>
                <c:pt idx="17">
                  <c:v>227</c:v>
                </c:pt>
                <c:pt idx="18">
                  <c:v>226</c:v>
                </c:pt>
                <c:pt idx="19">
                  <c:v>225</c:v>
                </c:pt>
                <c:pt idx="20">
                  <c:v>224</c:v>
                </c:pt>
                <c:pt idx="21">
                  <c:v>223</c:v>
                </c:pt>
                <c:pt idx="22">
                  <c:v>222</c:v>
                </c:pt>
                <c:pt idx="23">
                  <c:v>221</c:v>
                </c:pt>
                <c:pt idx="24">
                  <c:v>220</c:v>
                </c:pt>
                <c:pt idx="25">
                  <c:v>219</c:v>
                </c:pt>
                <c:pt idx="26">
                  <c:v>218</c:v>
                </c:pt>
                <c:pt idx="27">
                  <c:v>217</c:v>
                </c:pt>
                <c:pt idx="28">
                  <c:v>216</c:v>
                </c:pt>
                <c:pt idx="29">
                  <c:v>215</c:v>
                </c:pt>
                <c:pt idx="30">
                  <c:v>214</c:v>
                </c:pt>
                <c:pt idx="31">
                  <c:v>213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209</c:v>
                </c:pt>
                <c:pt idx="36">
                  <c:v>208</c:v>
                </c:pt>
                <c:pt idx="37">
                  <c:v>207</c:v>
                </c:pt>
                <c:pt idx="38">
                  <c:v>206</c:v>
                </c:pt>
                <c:pt idx="39">
                  <c:v>205</c:v>
                </c:pt>
                <c:pt idx="40">
                  <c:v>204</c:v>
                </c:pt>
                <c:pt idx="41">
                  <c:v>203</c:v>
                </c:pt>
                <c:pt idx="42">
                  <c:v>202</c:v>
                </c:pt>
                <c:pt idx="43">
                  <c:v>201</c:v>
                </c:pt>
                <c:pt idx="44">
                  <c:v>200</c:v>
                </c:pt>
                <c:pt idx="45">
                  <c:v>199</c:v>
                </c:pt>
                <c:pt idx="46">
                  <c:v>198</c:v>
                </c:pt>
                <c:pt idx="47">
                  <c:v>197</c:v>
                </c:pt>
                <c:pt idx="48">
                  <c:v>196</c:v>
                </c:pt>
                <c:pt idx="49">
                  <c:v>195</c:v>
                </c:pt>
                <c:pt idx="50">
                  <c:v>194</c:v>
                </c:pt>
                <c:pt idx="51">
                  <c:v>193</c:v>
                </c:pt>
                <c:pt idx="52">
                  <c:v>192</c:v>
                </c:pt>
                <c:pt idx="53">
                  <c:v>191</c:v>
                </c:pt>
                <c:pt idx="54">
                  <c:v>190</c:v>
                </c:pt>
                <c:pt idx="55">
                  <c:v>189</c:v>
                </c:pt>
                <c:pt idx="56">
                  <c:v>188</c:v>
                </c:pt>
                <c:pt idx="57">
                  <c:v>187</c:v>
                </c:pt>
                <c:pt idx="58">
                  <c:v>186</c:v>
                </c:pt>
                <c:pt idx="59">
                  <c:v>185</c:v>
                </c:pt>
                <c:pt idx="60">
                  <c:v>184</c:v>
                </c:pt>
                <c:pt idx="61">
                  <c:v>183</c:v>
                </c:pt>
                <c:pt idx="62">
                  <c:v>182</c:v>
                </c:pt>
                <c:pt idx="63">
                  <c:v>181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177</c:v>
                </c:pt>
                <c:pt idx="68">
                  <c:v>176</c:v>
                </c:pt>
                <c:pt idx="69">
                  <c:v>175</c:v>
                </c:pt>
                <c:pt idx="70">
                  <c:v>174</c:v>
                </c:pt>
                <c:pt idx="71">
                  <c:v>173</c:v>
                </c:pt>
                <c:pt idx="72">
                  <c:v>172</c:v>
                </c:pt>
                <c:pt idx="73">
                  <c:v>171</c:v>
                </c:pt>
                <c:pt idx="74">
                  <c:v>170</c:v>
                </c:pt>
                <c:pt idx="75">
                  <c:v>169</c:v>
                </c:pt>
                <c:pt idx="76">
                  <c:v>168</c:v>
                </c:pt>
                <c:pt idx="77">
                  <c:v>167</c:v>
                </c:pt>
                <c:pt idx="78">
                  <c:v>166</c:v>
                </c:pt>
                <c:pt idx="79">
                  <c:v>165</c:v>
                </c:pt>
                <c:pt idx="80">
                  <c:v>164</c:v>
                </c:pt>
                <c:pt idx="81">
                  <c:v>163</c:v>
                </c:pt>
                <c:pt idx="82">
                  <c:v>162</c:v>
                </c:pt>
                <c:pt idx="83">
                  <c:v>161</c:v>
                </c:pt>
                <c:pt idx="84">
                  <c:v>160</c:v>
                </c:pt>
                <c:pt idx="85">
                  <c:v>159</c:v>
                </c:pt>
                <c:pt idx="86">
                  <c:v>158</c:v>
                </c:pt>
                <c:pt idx="87">
                  <c:v>157</c:v>
                </c:pt>
                <c:pt idx="88">
                  <c:v>156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152</c:v>
                </c:pt>
                <c:pt idx="93">
                  <c:v>151</c:v>
                </c:pt>
                <c:pt idx="94">
                  <c:v>150</c:v>
                </c:pt>
                <c:pt idx="95">
                  <c:v>149</c:v>
                </c:pt>
                <c:pt idx="96">
                  <c:v>148</c:v>
                </c:pt>
                <c:pt idx="97">
                  <c:v>147</c:v>
                </c:pt>
                <c:pt idx="98">
                  <c:v>146</c:v>
                </c:pt>
                <c:pt idx="99">
                  <c:v>145</c:v>
                </c:pt>
                <c:pt idx="100">
                  <c:v>144</c:v>
                </c:pt>
                <c:pt idx="101">
                  <c:v>143</c:v>
                </c:pt>
                <c:pt idx="102">
                  <c:v>142</c:v>
                </c:pt>
                <c:pt idx="103">
                  <c:v>141</c:v>
                </c:pt>
                <c:pt idx="104">
                  <c:v>140</c:v>
                </c:pt>
                <c:pt idx="105">
                  <c:v>139</c:v>
                </c:pt>
                <c:pt idx="106">
                  <c:v>138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130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123</c:v>
                </c:pt>
                <c:pt idx="122">
                  <c:v>122</c:v>
                </c:pt>
                <c:pt idx="123">
                  <c:v>121</c:v>
                </c:pt>
                <c:pt idx="124">
                  <c:v>120</c:v>
                </c:pt>
                <c:pt idx="125">
                  <c:v>119</c:v>
                </c:pt>
                <c:pt idx="126">
                  <c:v>118</c:v>
                </c:pt>
                <c:pt idx="127">
                  <c:v>117</c:v>
                </c:pt>
                <c:pt idx="128">
                  <c:v>116</c:v>
                </c:pt>
                <c:pt idx="129">
                  <c:v>115</c:v>
                </c:pt>
                <c:pt idx="130">
                  <c:v>114</c:v>
                </c:pt>
                <c:pt idx="131">
                  <c:v>113</c:v>
                </c:pt>
                <c:pt idx="132">
                  <c:v>112</c:v>
                </c:pt>
                <c:pt idx="133">
                  <c:v>111</c:v>
                </c:pt>
                <c:pt idx="134">
                  <c:v>110</c:v>
                </c:pt>
                <c:pt idx="135">
                  <c:v>109</c:v>
                </c:pt>
                <c:pt idx="136">
                  <c:v>108</c:v>
                </c:pt>
                <c:pt idx="137">
                  <c:v>107</c:v>
                </c:pt>
                <c:pt idx="138">
                  <c:v>106</c:v>
                </c:pt>
                <c:pt idx="139">
                  <c:v>105</c:v>
                </c:pt>
                <c:pt idx="140">
                  <c:v>104</c:v>
                </c:pt>
                <c:pt idx="141">
                  <c:v>103</c:v>
                </c:pt>
                <c:pt idx="142">
                  <c:v>102</c:v>
                </c:pt>
                <c:pt idx="143">
                  <c:v>101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91</c:v>
                </c:pt>
                <c:pt idx="154">
                  <c:v>90</c:v>
                </c:pt>
                <c:pt idx="155">
                  <c:v>89</c:v>
                </c:pt>
                <c:pt idx="156">
                  <c:v>88</c:v>
                </c:pt>
                <c:pt idx="157">
                  <c:v>87</c:v>
                </c:pt>
                <c:pt idx="158">
                  <c:v>86</c:v>
                </c:pt>
                <c:pt idx="159">
                  <c:v>85</c:v>
                </c:pt>
                <c:pt idx="160">
                  <c:v>84</c:v>
                </c:pt>
                <c:pt idx="161">
                  <c:v>83</c:v>
                </c:pt>
                <c:pt idx="162">
                  <c:v>82</c:v>
                </c:pt>
                <c:pt idx="163">
                  <c:v>81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68</c:v>
                </c:pt>
                <c:pt idx="177">
                  <c:v>67</c:v>
                </c:pt>
                <c:pt idx="178">
                  <c:v>66</c:v>
                </c:pt>
                <c:pt idx="179">
                  <c:v>65</c:v>
                </c:pt>
                <c:pt idx="180">
                  <c:v>64</c:v>
                </c:pt>
                <c:pt idx="181">
                  <c:v>63</c:v>
                </c:pt>
                <c:pt idx="182">
                  <c:v>62</c:v>
                </c:pt>
                <c:pt idx="183">
                  <c:v>61</c:v>
                </c:pt>
                <c:pt idx="184">
                  <c:v>60</c:v>
                </c:pt>
                <c:pt idx="185">
                  <c:v>59</c:v>
                </c:pt>
                <c:pt idx="186">
                  <c:v>58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54</c:v>
                </c:pt>
                <c:pt idx="191">
                  <c:v>53</c:v>
                </c:pt>
                <c:pt idx="192">
                  <c:v>52</c:v>
                </c:pt>
                <c:pt idx="193">
                  <c:v>51</c:v>
                </c:pt>
                <c:pt idx="194">
                  <c:v>50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46</c:v>
                </c:pt>
                <c:pt idx="199">
                  <c:v>45</c:v>
                </c:pt>
                <c:pt idx="200">
                  <c:v>44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40</c:v>
                </c:pt>
                <c:pt idx="205">
                  <c:v>39</c:v>
                </c:pt>
                <c:pt idx="206">
                  <c:v>38</c:v>
                </c:pt>
                <c:pt idx="207">
                  <c:v>37</c:v>
                </c:pt>
                <c:pt idx="208">
                  <c:v>36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28</c:v>
                </c:pt>
                <c:pt idx="217">
                  <c:v>27</c:v>
                </c:pt>
                <c:pt idx="218">
                  <c:v>26</c:v>
                </c:pt>
                <c:pt idx="219">
                  <c:v>25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19</c:v>
                </c:pt>
                <c:pt idx="226">
                  <c:v>18</c:v>
                </c:pt>
                <c:pt idx="227">
                  <c:v>17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</c:numCache>
            </c:numRef>
          </c:xVal>
          <c:yVal>
            <c:numRef>
              <c:f>'Passenger Calc'!$R$4:$R$247</c:f>
              <c:numCache>
                <c:formatCode>_(* #,##0.00_);_(* \(#,##0.00\);_(* "-"??_);_(@_)</c:formatCode>
                <c:ptCount val="244"/>
                <c:pt idx="0">
                  <c:v>292800</c:v>
                </c:pt>
                <c:pt idx="1">
                  <c:v>306174.17033186706</c:v>
                </c:pt>
                <c:pt idx="2">
                  <c:v>319428.3886445422</c:v>
                </c:pt>
                <c:pt idx="3">
                  <c:v>332562.65493802464</c:v>
                </c:pt>
                <c:pt idx="4">
                  <c:v>345576.96921231516</c:v>
                </c:pt>
                <c:pt idx="5">
                  <c:v>358471.33146741294</c:v>
                </c:pt>
                <c:pt idx="6">
                  <c:v>371245.74170331878</c:v>
                </c:pt>
                <c:pt idx="7">
                  <c:v>383900.19992003188</c:v>
                </c:pt>
                <c:pt idx="8">
                  <c:v>396434.70611755305</c:v>
                </c:pt>
                <c:pt idx="9">
                  <c:v>408849.2602958816</c:v>
                </c:pt>
                <c:pt idx="10">
                  <c:v>421143.86245501816</c:v>
                </c:pt>
                <c:pt idx="11">
                  <c:v>433318.51259496203</c:v>
                </c:pt>
                <c:pt idx="12">
                  <c:v>445373.21071571391</c:v>
                </c:pt>
                <c:pt idx="13">
                  <c:v>457307.95681727311</c:v>
                </c:pt>
                <c:pt idx="14">
                  <c:v>469122.75089963997</c:v>
                </c:pt>
                <c:pt idx="15">
                  <c:v>480817.59296281496</c:v>
                </c:pt>
                <c:pt idx="16">
                  <c:v>492392.48300679715</c:v>
                </c:pt>
                <c:pt idx="17">
                  <c:v>503847.42103158747</c:v>
                </c:pt>
                <c:pt idx="18">
                  <c:v>515182.40703718498</c:v>
                </c:pt>
                <c:pt idx="19">
                  <c:v>526397.44102359063</c:v>
                </c:pt>
                <c:pt idx="20">
                  <c:v>537492.52299080358</c:v>
                </c:pt>
                <c:pt idx="21">
                  <c:v>548467.65293882461</c:v>
                </c:pt>
                <c:pt idx="22">
                  <c:v>559322.8308676529</c:v>
                </c:pt>
                <c:pt idx="23">
                  <c:v>570058.05677728925</c:v>
                </c:pt>
                <c:pt idx="24">
                  <c:v>580673.33066773287</c:v>
                </c:pt>
                <c:pt idx="25">
                  <c:v>591168.6525389842</c:v>
                </c:pt>
                <c:pt idx="26">
                  <c:v>601544.0223910436</c:v>
                </c:pt>
                <c:pt idx="27">
                  <c:v>611799.44022391038</c:v>
                </c:pt>
                <c:pt idx="28">
                  <c:v>621934.90603758511</c:v>
                </c:pt>
                <c:pt idx="29">
                  <c:v>631950.41983206698</c:v>
                </c:pt>
                <c:pt idx="30">
                  <c:v>641845.98160735716</c:v>
                </c:pt>
                <c:pt idx="31">
                  <c:v>651621.59136345459</c:v>
                </c:pt>
                <c:pt idx="32">
                  <c:v>661277.24910035997</c:v>
                </c:pt>
                <c:pt idx="33">
                  <c:v>670812.95481807261</c:v>
                </c:pt>
                <c:pt idx="34">
                  <c:v>680228.70851659356</c:v>
                </c:pt>
                <c:pt idx="35">
                  <c:v>689524.51019592164</c:v>
                </c:pt>
                <c:pt idx="36">
                  <c:v>698700.3598560578</c:v>
                </c:pt>
                <c:pt idx="37">
                  <c:v>707756.25749700121</c:v>
                </c:pt>
                <c:pt idx="38">
                  <c:v>716692.20311875234</c:v>
                </c:pt>
                <c:pt idx="39">
                  <c:v>725508.19672131143</c:v>
                </c:pt>
                <c:pt idx="40">
                  <c:v>734204.238304678</c:v>
                </c:pt>
                <c:pt idx="41">
                  <c:v>742780.32786885253</c:v>
                </c:pt>
                <c:pt idx="42">
                  <c:v>751236.46541383443</c:v>
                </c:pt>
                <c:pt idx="43">
                  <c:v>759572.65093962429</c:v>
                </c:pt>
                <c:pt idx="44">
                  <c:v>767788.8844462214</c:v>
                </c:pt>
                <c:pt idx="45">
                  <c:v>775885.16593362659</c:v>
                </c:pt>
                <c:pt idx="46">
                  <c:v>783861.49540183926</c:v>
                </c:pt>
                <c:pt idx="47">
                  <c:v>791717.87285085977</c:v>
                </c:pt>
                <c:pt idx="48">
                  <c:v>799454.29828068765</c:v>
                </c:pt>
                <c:pt idx="49">
                  <c:v>807070.77169132337</c:v>
                </c:pt>
                <c:pt idx="50">
                  <c:v>814567.29308276705</c:v>
                </c:pt>
                <c:pt idx="51">
                  <c:v>821943.86245501786</c:v>
                </c:pt>
                <c:pt idx="52">
                  <c:v>829200.47980807687</c:v>
                </c:pt>
                <c:pt idx="53">
                  <c:v>836337.14514194301</c:v>
                </c:pt>
                <c:pt idx="54">
                  <c:v>843353.85845661745</c:v>
                </c:pt>
                <c:pt idx="55">
                  <c:v>850250.61975209916</c:v>
                </c:pt>
                <c:pt idx="56">
                  <c:v>857027.42902838869</c:v>
                </c:pt>
                <c:pt idx="57">
                  <c:v>863684.28628548596</c:v>
                </c:pt>
                <c:pt idx="58">
                  <c:v>870221.19152339071</c:v>
                </c:pt>
                <c:pt idx="59">
                  <c:v>876638.14474210306</c:v>
                </c:pt>
                <c:pt idx="60">
                  <c:v>882935.14594162349</c:v>
                </c:pt>
                <c:pt idx="61">
                  <c:v>889112.19512195128</c:v>
                </c:pt>
                <c:pt idx="62">
                  <c:v>895169.2922830868</c:v>
                </c:pt>
                <c:pt idx="63">
                  <c:v>901106.43742502993</c:v>
                </c:pt>
                <c:pt idx="64">
                  <c:v>906923.63054778089</c:v>
                </c:pt>
                <c:pt idx="65">
                  <c:v>912620.87165133946</c:v>
                </c:pt>
                <c:pt idx="66">
                  <c:v>918198.16073570552</c:v>
                </c:pt>
                <c:pt idx="67">
                  <c:v>923655.49780087965</c:v>
                </c:pt>
                <c:pt idx="68">
                  <c:v>928992.88284686115</c:v>
                </c:pt>
                <c:pt idx="69">
                  <c:v>934210.31587365072</c:v>
                </c:pt>
                <c:pt idx="70">
                  <c:v>939307.79688124754</c:v>
                </c:pt>
                <c:pt idx="71">
                  <c:v>944285.32586965221</c:v>
                </c:pt>
                <c:pt idx="72">
                  <c:v>949142.90283886448</c:v>
                </c:pt>
                <c:pt idx="73">
                  <c:v>953880.52778888436</c:v>
                </c:pt>
                <c:pt idx="74">
                  <c:v>958498.20071971219</c:v>
                </c:pt>
                <c:pt idx="75">
                  <c:v>962995.92163134739</c:v>
                </c:pt>
                <c:pt idx="76">
                  <c:v>967373.69052379066</c:v>
                </c:pt>
                <c:pt idx="77">
                  <c:v>971631.50739704107</c:v>
                </c:pt>
                <c:pt idx="78">
                  <c:v>975769.37225109956</c:v>
                </c:pt>
                <c:pt idx="79">
                  <c:v>979787.28508596553</c:v>
                </c:pt>
                <c:pt idx="80">
                  <c:v>983685.24590163946</c:v>
                </c:pt>
                <c:pt idx="81">
                  <c:v>987463.25469812076</c:v>
                </c:pt>
                <c:pt idx="82">
                  <c:v>991121.31147540989</c:v>
                </c:pt>
                <c:pt idx="83">
                  <c:v>994659.41623350675</c:v>
                </c:pt>
                <c:pt idx="84">
                  <c:v>998077.56897241122</c:v>
                </c:pt>
                <c:pt idx="85">
                  <c:v>1001375.7696921232</c:v>
                </c:pt>
                <c:pt idx="86">
                  <c:v>1004554.0183926427</c:v>
                </c:pt>
                <c:pt idx="87">
                  <c:v>1007612.3150739704</c:v>
                </c:pt>
                <c:pt idx="88">
                  <c:v>1010550.6597361055</c:v>
                </c:pt>
                <c:pt idx="89">
                  <c:v>1013369.0523790484</c:v>
                </c:pt>
                <c:pt idx="90">
                  <c:v>1016067.4930027988</c:v>
                </c:pt>
                <c:pt idx="91">
                  <c:v>1018645.9816073572</c:v>
                </c:pt>
                <c:pt idx="92">
                  <c:v>1021104.5181927229</c:v>
                </c:pt>
                <c:pt idx="93">
                  <c:v>1023443.1027588967</c:v>
                </c:pt>
                <c:pt idx="94">
                  <c:v>1025661.7353058776</c:v>
                </c:pt>
                <c:pt idx="95">
                  <c:v>1027760.4158336666</c:v>
                </c:pt>
                <c:pt idx="96">
                  <c:v>1029739.144342263</c:v>
                </c:pt>
                <c:pt idx="97">
                  <c:v>1031597.9208316675</c:v>
                </c:pt>
                <c:pt idx="98">
                  <c:v>1033336.7453018794</c:v>
                </c:pt>
                <c:pt idx="99">
                  <c:v>1034955.6177528988</c:v>
                </c:pt>
                <c:pt idx="100">
                  <c:v>1036454.5381847261</c:v>
                </c:pt>
                <c:pt idx="101">
                  <c:v>1037833.5065973611</c:v>
                </c:pt>
                <c:pt idx="102">
                  <c:v>1039092.5229908037</c:v>
                </c:pt>
                <c:pt idx="103">
                  <c:v>1040231.5873650541</c:v>
                </c:pt>
                <c:pt idx="104">
                  <c:v>1041250.6997201121</c:v>
                </c:pt>
                <c:pt idx="105">
                  <c:v>1042149.8600559775</c:v>
                </c:pt>
                <c:pt idx="106">
                  <c:v>1042929.0683726512</c:v>
                </c:pt>
                <c:pt idx="107">
                  <c:v>1043588.3246701319</c:v>
                </c:pt>
                <c:pt idx="108">
                  <c:v>1044127.6289484208</c:v>
                </c:pt>
                <c:pt idx="109">
                  <c:v>1044546.981207517</c:v>
                </c:pt>
                <c:pt idx="110">
                  <c:v>1044846.3814474209</c:v>
                </c:pt>
                <c:pt idx="111">
                  <c:v>1045025.8296681328</c:v>
                </c:pt>
                <c:pt idx="112">
                  <c:v>1045085.3258696521</c:v>
                </c:pt>
                <c:pt idx="113">
                  <c:v>1045024.8700519793</c:v>
                </c:pt>
                <c:pt idx="114">
                  <c:v>1044844.462215114</c:v>
                </c:pt>
                <c:pt idx="115">
                  <c:v>1044544.1023590566</c:v>
                </c:pt>
                <c:pt idx="116">
                  <c:v>1044123.7904838065</c:v>
                </c:pt>
                <c:pt idx="117">
                  <c:v>1043583.5265893645</c:v>
                </c:pt>
                <c:pt idx="118">
                  <c:v>1042923.3106757296</c:v>
                </c:pt>
                <c:pt idx="119">
                  <c:v>1042143.1427429029</c:v>
                </c:pt>
                <c:pt idx="120">
                  <c:v>1041243.0227908837</c:v>
                </c:pt>
                <c:pt idx="121">
                  <c:v>1040222.9508196721</c:v>
                </c:pt>
                <c:pt idx="122">
                  <c:v>1039082.9268292683</c:v>
                </c:pt>
                <c:pt idx="123">
                  <c:v>1037822.9508196722</c:v>
                </c:pt>
                <c:pt idx="124">
                  <c:v>1036443.0227908837</c:v>
                </c:pt>
                <c:pt idx="125">
                  <c:v>1034943.142742903</c:v>
                </c:pt>
                <c:pt idx="126">
                  <c:v>1033323.3106757298</c:v>
                </c:pt>
                <c:pt idx="127">
                  <c:v>1031583.5265893643</c:v>
                </c:pt>
                <c:pt idx="128">
                  <c:v>1029723.7904838066</c:v>
                </c:pt>
                <c:pt idx="129">
                  <c:v>1027744.1023590562</c:v>
                </c:pt>
                <c:pt idx="130">
                  <c:v>1025644.462215114</c:v>
                </c:pt>
                <c:pt idx="131">
                  <c:v>1023424.8700519792</c:v>
                </c:pt>
                <c:pt idx="132">
                  <c:v>1021085.3258696519</c:v>
                </c:pt>
                <c:pt idx="133">
                  <c:v>1018625.8296681326</c:v>
                </c:pt>
                <c:pt idx="134">
                  <c:v>1016046.381447421</c:v>
                </c:pt>
                <c:pt idx="135">
                  <c:v>1013346.981207517</c:v>
                </c:pt>
                <c:pt idx="136">
                  <c:v>1010527.6289484205</c:v>
                </c:pt>
                <c:pt idx="137">
                  <c:v>1007588.324670132</c:v>
                </c:pt>
                <c:pt idx="138">
                  <c:v>1004529.0683726511</c:v>
                </c:pt>
                <c:pt idx="139">
                  <c:v>1001349.8600559777</c:v>
                </c:pt>
                <c:pt idx="140">
                  <c:v>998050.69972011202</c:v>
                </c:pt>
                <c:pt idx="141">
                  <c:v>994631.58736505359</c:v>
                </c:pt>
                <c:pt idx="142">
                  <c:v>991092.52299080382</c:v>
                </c:pt>
                <c:pt idx="143">
                  <c:v>987433.50659736118</c:v>
                </c:pt>
                <c:pt idx="144">
                  <c:v>983654.53818472615</c:v>
                </c:pt>
                <c:pt idx="145">
                  <c:v>979755.61775289883</c:v>
                </c:pt>
                <c:pt idx="146">
                  <c:v>975736.74530187924</c:v>
                </c:pt>
                <c:pt idx="147">
                  <c:v>971597.92083166738</c:v>
                </c:pt>
                <c:pt idx="148">
                  <c:v>967339.14434226311</c:v>
                </c:pt>
                <c:pt idx="149">
                  <c:v>962960.41583366646</c:v>
                </c:pt>
                <c:pt idx="150">
                  <c:v>958461.73530587752</c:v>
                </c:pt>
                <c:pt idx="151">
                  <c:v>953843.10275889665</c:v>
                </c:pt>
                <c:pt idx="152">
                  <c:v>949104.51819272304</c:v>
                </c:pt>
                <c:pt idx="153">
                  <c:v>944245.98160735704</c:v>
                </c:pt>
                <c:pt idx="154">
                  <c:v>939267.49300279876</c:v>
                </c:pt>
                <c:pt idx="155">
                  <c:v>934169.0523790482</c:v>
                </c:pt>
                <c:pt idx="156">
                  <c:v>928950.65973610547</c:v>
                </c:pt>
                <c:pt idx="157">
                  <c:v>923612.31507397036</c:v>
                </c:pt>
                <c:pt idx="158">
                  <c:v>918154.01839264284</c:v>
                </c:pt>
                <c:pt idx="159">
                  <c:v>912575.76969212317</c:v>
                </c:pt>
                <c:pt idx="160">
                  <c:v>906877.5689724111</c:v>
                </c:pt>
                <c:pt idx="161">
                  <c:v>901059.41623350652</c:v>
                </c:pt>
                <c:pt idx="162">
                  <c:v>895121.31147540989</c:v>
                </c:pt>
                <c:pt idx="163">
                  <c:v>889063.25469812087</c:v>
                </c:pt>
                <c:pt idx="164">
                  <c:v>882885.24590163946</c:v>
                </c:pt>
                <c:pt idx="165">
                  <c:v>876587.28508596565</c:v>
                </c:pt>
                <c:pt idx="166">
                  <c:v>870169.37225109967</c:v>
                </c:pt>
                <c:pt idx="167">
                  <c:v>863631.50739704119</c:v>
                </c:pt>
                <c:pt idx="168">
                  <c:v>856973.69052379043</c:v>
                </c:pt>
                <c:pt idx="169">
                  <c:v>850195.9216313475</c:v>
                </c:pt>
                <c:pt idx="170">
                  <c:v>843298.20071971207</c:v>
                </c:pt>
                <c:pt idx="171">
                  <c:v>836280.52778888436</c:v>
                </c:pt>
                <c:pt idx="172">
                  <c:v>829142.90283886448</c:v>
                </c:pt>
                <c:pt idx="173">
                  <c:v>821885.32586965233</c:v>
                </c:pt>
                <c:pt idx="174">
                  <c:v>814507.79688124743</c:v>
                </c:pt>
                <c:pt idx="175">
                  <c:v>807010.31587365048</c:v>
                </c:pt>
                <c:pt idx="176">
                  <c:v>799392.88284686138</c:v>
                </c:pt>
                <c:pt idx="177">
                  <c:v>791655.49780087976</c:v>
                </c:pt>
                <c:pt idx="178">
                  <c:v>783798.16073570575</c:v>
                </c:pt>
                <c:pt idx="179">
                  <c:v>775820.87165133946</c:v>
                </c:pt>
                <c:pt idx="180">
                  <c:v>767723.63054778078</c:v>
                </c:pt>
                <c:pt idx="181">
                  <c:v>759506.43742503005</c:v>
                </c:pt>
                <c:pt idx="182">
                  <c:v>751169.2922830868</c:v>
                </c:pt>
                <c:pt idx="183">
                  <c:v>742712.19512195128</c:v>
                </c:pt>
                <c:pt idx="184">
                  <c:v>734135.14594162337</c:v>
                </c:pt>
                <c:pt idx="185">
                  <c:v>725438.14474210306</c:v>
                </c:pt>
                <c:pt idx="186">
                  <c:v>716621.19152339082</c:v>
                </c:pt>
                <c:pt idx="187">
                  <c:v>707684.28628548596</c:v>
                </c:pt>
                <c:pt idx="188">
                  <c:v>698627.42902838858</c:v>
                </c:pt>
                <c:pt idx="189">
                  <c:v>689450.61975209916</c:v>
                </c:pt>
                <c:pt idx="190">
                  <c:v>680153.85845661734</c:v>
                </c:pt>
                <c:pt idx="191">
                  <c:v>670737.14514194336</c:v>
                </c:pt>
                <c:pt idx="192">
                  <c:v>661200.47980807675</c:v>
                </c:pt>
                <c:pt idx="193">
                  <c:v>651543.86245501798</c:v>
                </c:pt>
                <c:pt idx="194">
                  <c:v>641767.29308276693</c:v>
                </c:pt>
                <c:pt idx="195">
                  <c:v>631870.77169132349</c:v>
                </c:pt>
                <c:pt idx="196">
                  <c:v>621854.29828068777</c:v>
                </c:pt>
                <c:pt idx="197">
                  <c:v>611717.87285085965</c:v>
                </c:pt>
                <c:pt idx="198">
                  <c:v>601461.49540183926</c:v>
                </c:pt>
                <c:pt idx="199">
                  <c:v>591085.16593362647</c:v>
                </c:pt>
                <c:pt idx="200">
                  <c:v>580588.88444622152</c:v>
                </c:pt>
                <c:pt idx="201">
                  <c:v>569972.65093962406</c:v>
                </c:pt>
                <c:pt idx="202">
                  <c:v>559236.46541383455</c:v>
                </c:pt>
                <c:pt idx="203">
                  <c:v>548380.32786885253</c:v>
                </c:pt>
                <c:pt idx="204">
                  <c:v>537404.23830467812</c:v>
                </c:pt>
                <c:pt idx="205">
                  <c:v>526308.19672131143</c:v>
                </c:pt>
                <c:pt idx="206">
                  <c:v>515092.20311875257</c:v>
                </c:pt>
                <c:pt idx="207">
                  <c:v>503756.25749700121</c:v>
                </c:pt>
                <c:pt idx="208">
                  <c:v>492300.35985605768</c:v>
                </c:pt>
                <c:pt idx="209">
                  <c:v>480724.5101959217</c:v>
                </c:pt>
                <c:pt idx="210">
                  <c:v>469028.70851659327</c:v>
                </c:pt>
                <c:pt idx="211">
                  <c:v>457212.95481807273</c:v>
                </c:pt>
                <c:pt idx="212">
                  <c:v>445277.24910035986</c:v>
                </c:pt>
                <c:pt idx="213">
                  <c:v>433221.59136345459</c:v>
                </c:pt>
                <c:pt idx="214">
                  <c:v>421045.98160735704</c:v>
                </c:pt>
                <c:pt idx="215">
                  <c:v>408750.41983206716</c:v>
                </c:pt>
                <c:pt idx="216">
                  <c:v>396334.90603758499</c:v>
                </c:pt>
                <c:pt idx="217">
                  <c:v>383799.44022391044</c:v>
                </c:pt>
                <c:pt idx="218">
                  <c:v>371144.0223910436</c:v>
                </c:pt>
                <c:pt idx="219">
                  <c:v>358368.65253898437</c:v>
                </c:pt>
                <c:pt idx="220">
                  <c:v>345473.33066773298</c:v>
                </c:pt>
                <c:pt idx="221">
                  <c:v>332458.05677728908</c:v>
                </c:pt>
                <c:pt idx="222">
                  <c:v>319322.83086765296</c:v>
                </c:pt>
                <c:pt idx="223">
                  <c:v>306067.65293882444</c:v>
                </c:pt>
                <c:pt idx="224">
                  <c:v>292692.52299080364</c:v>
                </c:pt>
                <c:pt idx="225">
                  <c:v>279197.44102359057</c:v>
                </c:pt>
                <c:pt idx="226">
                  <c:v>265582.40703718516</c:v>
                </c:pt>
                <c:pt idx="227">
                  <c:v>251847.42103158738</c:v>
                </c:pt>
                <c:pt idx="228">
                  <c:v>237992.48300679729</c:v>
                </c:pt>
                <c:pt idx="229">
                  <c:v>224017.59296281484</c:v>
                </c:pt>
                <c:pt idx="230">
                  <c:v>209922.7508996402</c:v>
                </c:pt>
                <c:pt idx="231">
                  <c:v>195707.95681727311</c:v>
                </c:pt>
                <c:pt idx="232">
                  <c:v>181373.21071571374</c:v>
                </c:pt>
                <c:pt idx="233">
                  <c:v>166918.51259496203</c:v>
                </c:pt>
                <c:pt idx="234">
                  <c:v>152343.86245501798</c:v>
                </c:pt>
                <c:pt idx="235">
                  <c:v>137649.26029588166</c:v>
                </c:pt>
                <c:pt idx="236">
                  <c:v>122834.70611755298</c:v>
                </c:pt>
                <c:pt idx="237">
                  <c:v>107900.199920032</c:v>
                </c:pt>
                <c:pt idx="238">
                  <c:v>92845.741703318679</c:v>
                </c:pt>
                <c:pt idx="239">
                  <c:v>77671.331467413023</c:v>
                </c:pt>
                <c:pt idx="240">
                  <c:v>62376.969212315067</c:v>
                </c:pt>
                <c:pt idx="241">
                  <c:v>46962.654938024796</c:v>
                </c:pt>
                <c:pt idx="242">
                  <c:v>31428.388644542185</c:v>
                </c:pt>
                <c:pt idx="243">
                  <c:v>15774.170331867253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99728"/>
        <c:axId val="1348591088"/>
      </c:scatterChart>
      <c:scatterChart>
        <c:scatterStyle val="lineMarker"/>
        <c:varyColors val="0"/>
        <c:ser>
          <c:idx val="5"/>
          <c:order val="5"/>
          <c:tx>
            <c:strRef>
              <c:f>'Passenger Calc'!$T$21:$U$21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Calc'!$V$21</c:f>
              <c:numCache>
                <c:formatCode>General</c:formatCode>
                <c:ptCount val="1"/>
                <c:pt idx="0">
                  <c:v>132</c:v>
                </c:pt>
              </c:numCache>
            </c:numRef>
          </c:xVal>
          <c:yVal>
            <c:numRef>
              <c:f>'Passenger Calc'!$Y$21</c:f>
              <c:numCache>
                <c:formatCode>_(* #,##0.00_);_(* \(#,##0.00\);_(* "-"??_);_(@_)</c:formatCode>
                <c:ptCount val="1"/>
                <c:pt idx="0">
                  <c:v>1045085.3258696521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D8-4C21-8003-B101D70A8D32}"/>
            </c:ext>
          </c:extLst>
        </c:ser>
        <c:ser>
          <c:idx val="6"/>
          <c:order val="6"/>
          <c:tx>
            <c:strRef>
              <c:f>'Passenger Calc'!$T$22:$U$22</c:f>
              <c:strCache>
                <c:ptCount val="1"/>
                <c:pt idx="0">
                  <c:v>Maximum Increase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Calc'!$V$22</c:f>
              <c:numCache>
                <c:formatCode>General</c:formatCode>
                <c:ptCount val="1"/>
                <c:pt idx="0">
                  <c:v>183</c:v>
                </c:pt>
              </c:numCache>
            </c:numRef>
          </c:xVal>
          <c:yVal>
            <c:numRef>
              <c:f>'Passenger Calc'!$Y$22</c:f>
              <c:numCache>
                <c:formatCode>_(* #,##0.00_);_(* \(#,##0.00\);_(* "-"??_);_(@_)</c:formatCode>
                <c:ptCount val="1"/>
                <c:pt idx="0">
                  <c:v>889112.19512195128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D8-4C21-8003-B101D70A8D32}"/>
            </c:ext>
          </c:extLst>
        </c:ser>
        <c:ser>
          <c:idx val="7"/>
          <c:order val="7"/>
          <c:tx>
            <c:strRef>
              <c:f>'Passenger Calc'!$T$23:$U$23</c:f>
              <c:strCache>
                <c:ptCount val="1"/>
                <c:pt idx="0">
                  <c:v>Minimal Loadfactor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Calc'!$V$23</c:f>
              <c:numCache>
                <c:formatCode>General</c:formatCode>
                <c:ptCount val="1"/>
                <c:pt idx="0">
                  <c:v>202</c:v>
                </c:pt>
              </c:numCache>
            </c:numRef>
          </c:xVal>
          <c:yVal>
            <c:numRef>
              <c:f>'Passenger Calc'!$Y$23</c:f>
              <c:numCache>
                <c:formatCode>_(* #,##0.00_);_(* \(#,##0.00\);_(* "-"??_);_(@_)</c:formatCode>
                <c:ptCount val="1"/>
                <c:pt idx="0">
                  <c:v>751236.46541383443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99728"/>
        <c:axId val="1348591088"/>
      </c:scatterChart>
      <c:scatterChart>
        <c:scatterStyle val="smoothMarker"/>
        <c:varyColors val="0"/>
        <c:ser>
          <c:idx val="0"/>
          <c:order val="0"/>
          <c:tx>
            <c:strRef>
              <c:f>'Passenger Calc'!$P$3</c:f>
              <c:strCache>
                <c:ptCount val="1"/>
                <c:pt idx="0">
                  <c:v>Ticketprice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'Passenger Calc'!$N$4:$N$247</c:f>
              <c:numCache>
                <c:formatCode>General</c:formatCode>
                <c:ptCount val="244"/>
                <c:pt idx="0">
                  <c:v>244</c:v>
                </c:pt>
                <c:pt idx="1">
                  <c:v>243</c:v>
                </c:pt>
                <c:pt idx="2">
                  <c:v>242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238</c:v>
                </c:pt>
                <c:pt idx="7">
                  <c:v>237</c:v>
                </c:pt>
                <c:pt idx="8">
                  <c:v>236</c:v>
                </c:pt>
                <c:pt idx="9">
                  <c:v>235</c:v>
                </c:pt>
                <c:pt idx="10">
                  <c:v>234</c:v>
                </c:pt>
                <c:pt idx="11">
                  <c:v>233</c:v>
                </c:pt>
                <c:pt idx="12">
                  <c:v>232</c:v>
                </c:pt>
                <c:pt idx="13">
                  <c:v>231</c:v>
                </c:pt>
                <c:pt idx="14">
                  <c:v>230</c:v>
                </c:pt>
                <c:pt idx="15">
                  <c:v>229</c:v>
                </c:pt>
                <c:pt idx="16">
                  <c:v>228</c:v>
                </c:pt>
                <c:pt idx="17">
                  <c:v>227</c:v>
                </c:pt>
                <c:pt idx="18">
                  <c:v>226</c:v>
                </c:pt>
                <c:pt idx="19">
                  <c:v>225</c:v>
                </c:pt>
                <c:pt idx="20">
                  <c:v>224</c:v>
                </c:pt>
                <c:pt idx="21">
                  <c:v>223</c:v>
                </c:pt>
                <c:pt idx="22">
                  <c:v>222</c:v>
                </c:pt>
                <c:pt idx="23">
                  <c:v>221</c:v>
                </c:pt>
                <c:pt idx="24">
                  <c:v>220</c:v>
                </c:pt>
                <c:pt idx="25">
                  <c:v>219</c:v>
                </c:pt>
                <c:pt idx="26">
                  <c:v>218</c:v>
                </c:pt>
                <c:pt idx="27">
                  <c:v>217</c:v>
                </c:pt>
                <c:pt idx="28">
                  <c:v>216</c:v>
                </c:pt>
                <c:pt idx="29">
                  <c:v>215</c:v>
                </c:pt>
                <c:pt idx="30">
                  <c:v>214</c:v>
                </c:pt>
                <c:pt idx="31">
                  <c:v>213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209</c:v>
                </c:pt>
                <c:pt idx="36">
                  <c:v>208</c:v>
                </c:pt>
                <c:pt idx="37">
                  <c:v>207</c:v>
                </c:pt>
                <c:pt idx="38">
                  <c:v>206</c:v>
                </c:pt>
                <c:pt idx="39">
                  <c:v>205</c:v>
                </c:pt>
                <c:pt idx="40">
                  <c:v>204</c:v>
                </c:pt>
                <c:pt idx="41">
                  <c:v>203</c:v>
                </c:pt>
                <c:pt idx="42">
                  <c:v>202</c:v>
                </c:pt>
                <c:pt idx="43">
                  <c:v>201</c:v>
                </c:pt>
                <c:pt idx="44">
                  <c:v>200</c:v>
                </c:pt>
                <c:pt idx="45">
                  <c:v>199</c:v>
                </c:pt>
                <c:pt idx="46">
                  <c:v>198</c:v>
                </c:pt>
                <c:pt idx="47">
                  <c:v>197</c:v>
                </c:pt>
                <c:pt idx="48">
                  <c:v>196</c:v>
                </c:pt>
                <c:pt idx="49">
                  <c:v>195</c:v>
                </c:pt>
                <c:pt idx="50">
                  <c:v>194</c:v>
                </c:pt>
                <c:pt idx="51">
                  <c:v>193</c:v>
                </c:pt>
                <c:pt idx="52">
                  <c:v>192</c:v>
                </c:pt>
                <c:pt idx="53">
                  <c:v>191</c:v>
                </c:pt>
                <c:pt idx="54">
                  <c:v>190</c:v>
                </c:pt>
                <c:pt idx="55">
                  <c:v>189</c:v>
                </c:pt>
                <c:pt idx="56">
                  <c:v>188</c:v>
                </c:pt>
                <c:pt idx="57">
                  <c:v>187</c:v>
                </c:pt>
                <c:pt idx="58">
                  <c:v>186</c:v>
                </c:pt>
                <c:pt idx="59">
                  <c:v>185</c:v>
                </c:pt>
                <c:pt idx="60">
                  <c:v>184</c:v>
                </c:pt>
                <c:pt idx="61">
                  <c:v>183</c:v>
                </c:pt>
                <c:pt idx="62">
                  <c:v>182</c:v>
                </c:pt>
                <c:pt idx="63">
                  <c:v>181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177</c:v>
                </c:pt>
                <c:pt idx="68">
                  <c:v>176</c:v>
                </c:pt>
                <c:pt idx="69">
                  <c:v>175</c:v>
                </c:pt>
                <c:pt idx="70">
                  <c:v>174</c:v>
                </c:pt>
                <c:pt idx="71">
                  <c:v>173</c:v>
                </c:pt>
                <c:pt idx="72">
                  <c:v>172</c:v>
                </c:pt>
                <c:pt idx="73">
                  <c:v>171</c:v>
                </c:pt>
                <c:pt idx="74">
                  <c:v>170</c:v>
                </c:pt>
                <c:pt idx="75">
                  <c:v>169</c:v>
                </c:pt>
                <c:pt idx="76">
                  <c:v>168</c:v>
                </c:pt>
                <c:pt idx="77">
                  <c:v>167</c:v>
                </c:pt>
                <c:pt idx="78">
                  <c:v>166</c:v>
                </c:pt>
                <c:pt idx="79">
                  <c:v>165</c:v>
                </c:pt>
                <c:pt idx="80">
                  <c:v>164</c:v>
                </c:pt>
                <c:pt idx="81">
                  <c:v>163</c:v>
                </c:pt>
                <c:pt idx="82">
                  <c:v>162</c:v>
                </c:pt>
                <c:pt idx="83">
                  <c:v>161</c:v>
                </c:pt>
                <c:pt idx="84">
                  <c:v>160</c:v>
                </c:pt>
                <c:pt idx="85">
                  <c:v>159</c:v>
                </c:pt>
                <c:pt idx="86">
                  <c:v>158</c:v>
                </c:pt>
                <c:pt idx="87">
                  <c:v>157</c:v>
                </c:pt>
                <c:pt idx="88">
                  <c:v>156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152</c:v>
                </c:pt>
                <c:pt idx="93">
                  <c:v>151</c:v>
                </c:pt>
                <c:pt idx="94">
                  <c:v>150</c:v>
                </c:pt>
                <c:pt idx="95">
                  <c:v>149</c:v>
                </c:pt>
                <c:pt idx="96">
                  <c:v>148</c:v>
                </c:pt>
                <c:pt idx="97">
                  <c:v>147</c:v>
                </c:pt>
                <c:pt idx="98">
                  <c:v>146</c:v>
                </c:pt>
                <c:pt idx="99">
                  <c:v>145</c:v>
                </c:pt>
                <c:pt idx="100">
                  <c:v>144</c:v>
                </c:pt>
                <c:pt idx="101">
                  <c:v>143</c:v>
                </c:pt>
                <c:pt idx="102">
                  <c:v>142</c:v>
                </c:pt>
                <c:pt idx="103">
                  <c:v>141</c:v>
                </c:pt>
                <c:pt idx="104">
                  <c:v>140</c:v>
                </c:pt>
                <c:pt idx="105">
                  <c:v>139</c:v>
                </c:pt>
                <c:pt idx="106">
                  <c:v>138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130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123</c:v>
                </c:pt>
                <c:pt idx="122">
                  <c:v>122</c:v>
                </c:pt>
                <c:pt idx="123">
                  <c:v>121</c:v>
                </c:pt>
                <c:pt idx="124">
                  <c:v>120</c:v>
                </c:pt>
                <c:pt idx="125">
                  <c:v>119</c:v>
                </c:pt>
                <c:pt idx="126">
                  <c:v>118</c:v>
                </c:pt>
                <c:pt idx="127">
                  <c:v>117</c:v>
                </c:pt>
                <c:pt idx="128">
                  <c:v>116</c:v>
                </c:pt>
                <c:pt idx="129">
                  <c:v>115</c:v>
                </c:pt>
                <c:pt idx="130">
                  <c:v>114</c:v>
                </c:pt>
                <c:pt idx="131">
                  <c:v>113</c:v>
                </c:pt>
                <c:pt idx="132">
                  <c:v>112</c:v>
                </c:pt>
                <c:pt idx="133">
                  <c:v>111</c:v>
                </c:pt>
                <c:pt idx="134">
                  <c:v>110</c:v>
                </c:pt>
                <c:pt idx="135">
                  <c:v>109</c:v>
                </c:pt>
                <c:pt idx="136">
                  <c:v>108</c:v>
                </c:pt>
                <c:pt idx="137">
                  <c:v>107</c:v>
                </c:pt>
                <c:pt idx="138">
                  <c:v>106</c:v>
                </c:pt>
                <c:pt idx="139">
                  <c:v>105</c:v>
                </c:pt>
                <c:pt idx="140">
                  <c:v>104</c:v>
                </c:pt>
                <c:pt idx="141">
                  <c:v>103</c:v>
                </c:pt>
                <c:pt idx="142">
                  <c:v>102</c:v>
                </c:pt>
                <c:pt idx="143">
                  <c:v>101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91</c:v>
                </c:pt>
                <c:pt idx="154">
                  <c:v>90</c:v>
                </c:pt>
                <c:pt idx="155">
                  <c:v>89</c:v>
                </c:pt>
                <c:pt idx="156">
                  <c:v>88</c:v>
                </c:pt>
                <c:pt idx="157">
                  <c:v>87</c:v>
                </c:pt>
                <c:pt idx="158">
                  <c:v>86</c:v>
                </c:pt>
                <c:pt idx="159">
                  <c:v>85</c:v>
                </c:pt>
                <c:pt idx="160">
                  <c:v>84</c:v>
                </c:pt>
                <c:pt idx="161">
                  <c:v>83</c:v>
                </c:pt>
                <c:pt idx="162">
                  <c:v>82</c:v>
                </c:pt>
                <c:pt idx="163">
                  <c:v>81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68</c:v>
                </c:pt>
                <c:pt idx="177">
                  <c:v>67</c:v>
                </c:pt>
                <c:pt idx="178">
                  <c:v>66</c:v>
                </c:pt>
                <c:pt idx="179">
                  <c:v>65</c:v>
                </c:pt>
                <c:pt idx="180">
                  <c:v>64</c:v>
                </c:pt>
                <c:pt idx="181">
                  <c:v>63</c:v>
                </c:pt>
                <c:pt idx="182">
                  <c:v>62</c:v>
                </c:pt>
                <c:pt idx="183">
                  <c:v>61</c:v>
                </c:pt>
                <c:pt idx="184">
                  <c:v>60</c:v>
                </c:pt>
                <c:pt idx="185">
                  <c:v>59</c:v>
                </c:pt>
                <c:pt idx="186">
                  <c:v>58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54</c:v>
                </c:pt>
                <c:pt idx="191">
                  <c:v>53</c:v>
                </c:pt>
                <c:pt idx="192">
                  <c:v>52</c:v>
                </c:pt>
                <c:pt idx="193">
                  <c:v>51</c:v>
                </c:pt>
                <c:pt idx="194">
                  <c:v>50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46</c:v>
                </c:pt>
                <c:pt idx="199">
                  <c:v>45</c:v>
                </c:pt>
                <c:pt idx="200">
                  <c:v>44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40</c:v>
                </c:pt>
                <c:pt idx="205">
                  <c:v>39</c:v>
                </c:pt>
                <c:pt idx="206">
                  <c:v>38</c:v>
                </c:pt>
                <c:pt idx="207">
                  <c:v>37</c:v>
                </c:pt>
                <c:pt idx="208">
                  <c:v>36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28</c:v>
                </c:pt>
                <c:pt idx="217">
                  <c:v>27</c:v>
                </c:pt>
                <c:pt idx="218">
                  <c:v>26</c:v>
                </c:pt>
                <c:pt idx="219">
                  <c:v>25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19</c:v>
                </c:pt>
                <c:pt idx="226">
                  <c:v>18</c:v>
                </c:pt>
                <c:pt idx="227">
                  <c:v>17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</c:numCache>
            </c:numRef>
          </c:xVal>
          <c:yVal>
            <c:numRef>
              <c:f>'Passenger Calc'!$P$4:$P$247</c:f>
              <c:numCache>
                <c:formatCode>_(* #,##0.00_);_(* \(#,##0.00\);_(* "-"??_);_(@_)</c:formatCode>
                <c:ptCount val="244"/>
                <c:pt idx="0" formatCode="General">
                  <c:v>1200</c:v>
                </c:pt>
                <c:pt idx="1">
                  <c:v>1259.9760095961608</c:v>
                </c:pt>
                <c:pt idx="2">
                  <c:v>1319.9520191923232</c:v>
                </c:pt>
                <c:pt idx="3">
                  <c:v>1379.928028788484</c:v>
                </c:pt>
                <c:pt idx="4">
                  <c:v>1439.9040383846466</c:v>
                </c:pt>
                <c:pt idx="5">
                  <c:v>1499.8800479808074</c:v>
                </c:pt>
                <c:pt idx="6">
                  <c:v>1559.8560575769698</c:v>
                </c:pt>
                <c:pt idx="7">
                  <c:v>1619.8320671731303</c:v>
                </c:pt>
                <c:pt idx="8">
                  <c:v>1679.8080767692927</c:v>
                </c:pt>
                <c:pt idx="9">
                  <c:v>1739.7840863654535</c:v>
                </c:pt>
                <c:pt idx="10">
                  <c:v>1799.7600959616161</c:v>
                </c:pt>
                <c:pt idx="11">
                  <c:v>1859.7361055577769</c:v>
                </c:pt>
                <c:pt idx="12">
                  <c:v>1919.7121151539393</c:v>
                </c:pt>
                <c:pt idx="13">
                  <c:v>1979.6881247501001</c:v>
                </c:pt>
                <c:pt idx="14">
                  <c:v>2039.6641343462607</c:v>
                </c:pt>
                <c:pt idx="15">
                  <c:v>2099.6401439424235</c:v>
                </c:pt>
                <c:pt idx="16">
                  <c:v>2159.6161535385841</c:v>
                </c:pt>
                <c:pt idx="17">
                  <c:v>2219.5921631347464</c:v>
                </c:pt>
                <c:pt idx="18">
                  <c:v>2279.568172730907</c:v>
                </c:pt>
                <c:pt idx="19">
                  <c:v>2339.5441823270694</c:v>
                </c:pt>
                <c:pt idx="20">
                  <c:v>2399.5201919232304</c:v>
                </c:pt>
                <c:pt idx="21">
                  <c:v>2459.4962015193928</c:v>
                </c:pt>
                <c:pt idx="22">
                  <c:v>2519.4722111155538</c:v>
                </c:pt>
                <c:pt idx="23">
                  <c:v>2579.4482207117162</c:v>
                </c:pt>
                <c:pt idx="24">
                  <c:v>2639.4242303078768</c:v>
                </c:pt>
                <c:pt idx="25">
                  <c:v>2699.4002399040373</c:v>
                </c:pt>
                <c:pt idx="26">
                  <c:v>2759.3762495002002</c:v>
                </c:pt>
                <c:pt idx="27">
                  <c:v>2819.3522590963612</c:v>
                </c:pt>
                <c:pt idx="28">
                  <c:v>2879.3282686925236</c:v>
                </c:pt>
                <c:pt idx="29">
                  <c:v>2939.3042782886837</c:v>
                </c:pt>
                <c:pt idx="30">
                  <c:v>2999.2802878848465</c:v>
                </c:pt>
                <c:pt idx="31">
                  <c:v>3059.2562974810076</c:v>
                </c:pt>
                <c:pt idx="32">
                  <c:v>3119.2323070771699</c:v>
                </c:pt>
                <c:pt idx="33">
                  <c:v>3179.20831667333</c:v>
                </c:pt>
                <c:pt idx="34">
                  <c:v>3239.1843262694929</c:v>
                </c:pt>
                <c:pt idx="35">
                  <c:v>3299.1603358656539</c:v>
                </c:pt>
                <c:pt idx="36">
                  <c:v>3359.1363454618163</c:v>
                </c:pt>
                <c:pt idx="37">
                  <c:v>3419.1123550579769</c:v>
                </c:pt>
                <c:pt idx="38">
                  <c:v>3479.0883646541374</c:v>
                </c:pt>
                <c:pt idx="39">
                  <c:v>3539.0643742502998</c:v>
                </c:pt>
                <c:pt idx="40">
                  <c:v>3599.0403838464608</c:v>
                </c:pt>
                <c:pt idx="41">
                  <c:v>3659.0163934426232</c:v>
                </c:pt>
                <c:pt idx="42">
                  <c:v>3718.9924030387842</c:v>
                </c:pt>
                <c:pt idx="43">
                  <c:v>3778.9684126349466</c:v>
                </c:pt>
                <c:pt idx="44">
                  <c:v>3838.9444222311072</c:v>
                </c:pt>
                <c:pt idx="45">
                  <c:v>3898.9204318272696</c:v>
                </c:pt>
                <c:pt idx="46">
                  <c:v>3958.8964414234306</c:v>
                </c:pt>
                <c:pt idx="47">
                  <c:v>4018.872451019593</c:v>
                </c:pt>
                <c:pt idx="48">
                  <c:v>4078.8484606157535</c:v>
                </c:pt>
                <c:pt idx="49">
                  <c:v>4138.8244702119146</c:v>
                </c:pt>
                <c:pt idx="50">
                  <c:v>4198.8004798080774</c:v>
                </c:pt>
                <c:pt idx="51">
                  <c:v>4258.7764894042375</c:v>
                </c:pt>
                <c:pt idx="52">
                  <c:v>4318.7524990004003</c:v>
                </c:pt>
                <c:pt idx="53">
                  <c:v>4378.7285085965605</c:v>
                </c:pt>
                <c:pt idx="54">
                  <c:v>4438.7045181927233</c:v>
                </c:pt>
                <c:pt idx="55">
                  <c:v>4498.6805277888843</c:v>
                </c:pt>
                <c:pt idx="56">
                  <c:v>4558.6565373850462</c:v>
                </c:pt>
                <c:pt idx="57">
                  <c:v>4618.6325469812082</c:v>
                </c:pt>
                <c:pt idx="58">
                  <c:v>4678.6085565773692</c:v>
                </c:pt>
                <c:pt idx="59">
                  <c:v>4738.5845661735302</c:v>
                </c:pt>
                <c:pt idx="60">
                  <c:v>4798.5605757696931</c:v>
                </c:pt>
                <c:pt idx="61">
                  <c:v>4858.5365853658541</c:v>
                </c:pt>
                <c:pt idx="62">
                  <c:v>4918.5125949620151</c:v>
                </c:pt>
                <c:pt idx="63">
                  <c:v>4978.4886045581761</c:v>
                </c:pt>
                <c:pt idx="64">
                  <c:v>5038.4646141543381</c:v>
                </c:pt>
                <c:pt idx="65">
                  <c:v>5098.4406237505</c:v>
                </c:pt>
                <c:pt idx="66">
                  <c:v>5158.4166333466601</c:v>
                </c:pt>
                <c:pt idx="67">
                  <c:v>5218.3926429428229</c:v>
                </c:pt>
                <c:pt idx="68">
                  <c:v>5278.368652538984</c:v>
                </c:pt>
                <c:pt idx="69">
                  <c:v>5338.3446621351468</c:v>
                </c:pt>
                <c:pt idx="70">
                  <c:v>5398.3206717313078</c:v>
                </c:pt>
                <c:pt idx="71">
                  <c:v>5458.2966813274697</c:v>
                </c:pt>
                <c:pt idx="72">
                  <c:v>5518.2726909236308</c:v>
                </c:pt>
                <c:pt idx="73">
                  <c:v>5578.2487005197918</c:v>
                </c:pt>
                <c:pt idx="74">
                  <c:v>5638.2247101159537</c:v>
                </c:pt>
                <c:pt idx="75">
                  <c:v>5698.2007197121147</c:v>
                </c:pt>
                <c:pt idx="76">
                  <c:v>5758.1767293082776</c:v>
                </c:pt>
                <c:pt idx="77">
                  <c:v>5818.1527389044377</c:v>
                </c:pt>
                <c:pt idx="78">
                  <c:v>5878.1287485005996</c:v>
                </c:pt>
                <c:pt idx="79">
                  <c:v>5938.1047580967606</c:v>
                </c:pt>
                <c:pt idx="80">
                  <c:v>5998.0807676929235</c:v>
                </c:pt>
                <c:pt idx="81">
                  <c:v>6058.0567772890845</c:v>
                </c:pt>
                <c:pt idx="82">
                  <c:v>6118.0327868852464</c:v>
                </c:pt>
                <c:pt idx="83">
                  <c:v>6178.0087964814084</c:v>
                </c:pt>
                <c:pt idx="84">
                  <c:v>6237.9848060775703</c:v>
                </c:pt>
                <c:pt idx="85">
                  <c:v>6297.9608156737304</c:v>
                </c:pt>
                <c:pt idx="86">
                  <c:v>6357.9368252698905</c:v>
                </c:pt>
                <c:pt idx="87">
                  <c:v>6417.9128348660533</c:v>
                </c:pt>
                <c:pt idx="88">
                  <c:v>6477.8888444622144</c:v>
                </c:pt>
                <c:pt idx="89">
                  <c:v>6537.8648540583772</c:v>
                </c:pt>
                <c:pt idx="90">
                  <c:v>6597.8408636545373</c:v>
                </c:pt>
                <c:pt idx="91">
                  <c:v>6657.8168732507002</c:v>
                </c:pt>
                <c:pt idx="92">
                  <c:v>6717.7928828468612</c:v>
                </c:pt>
                <c:pt idx="93">
                  <c:v>6777.768892443024</c:v>
                </c:pt>
                <c:pt idx="94">
                  <c:v>6837.7449020391841</c:v>
                </c:pt>
                <c:pt idx="95">
                  <c:v>6897.7209116353461</c:v>
                </c:pt>
                <c:pt idx="96">
                  <c:v>6957.6969212315071</c:v>
                </c:pt>
                <c:pt idx="97">
                  <c:v>7017.6729308276699</c:v>
                </c:pt>
                <c:pt idx="98">
                  <c:v>7077.6489404238309</c:v>
                </c:pt>
                <c:pt idx="99">
                  <c:v>7137.624950019992</c:v>
                </c:pt>
                <c:pt idx="100">
                  <c:v>7197.6009596161539</c:v>
                </c:pt>
                <c:pt idx="101">
                  <c:v>7257.5769692123149</c:v>
                </c:pt>
                <c:pt idx="102">
                  <c:v>7317.5529788084768</c:v>
                </c:pt>
                <c:pt idx="103">
                  <c:v>7377.5289884046388</c:v>
                </c:pt>
                <c:pt idx="104">
                  <c:v>7437.5049980008007</c:v>
                </c:pt>
                <c:pt idx="105">
                  <c:v>7497.4810075969599</c:v>
                </c:pt>
                <c:pt idx="106">
                  <c:v>7557.4570171931246</c:v>
                </c:pt>
                <c:pt idx="107">
                  <c:v>7617.4330267892838</c:v>
                </c:pt>
                <c:pt idx="108">
                  <c:v>7677.4090363854466</c:v>
                </c:pt>
                <c:pt idx="109">
                  <c:v>7737.3850459816076</c:v>
                </c:pt>
                <c:pt idx="110">
                  <c:v>7797.3610555777677</c:v>
                </c:pt>
                <c:pt idx="111">
                  <c:v>7857.3370651739306</c:v>
                </c:pt>
                <c:pt idx="112">
                  <c:v>7917.3130747700916</c:v>
                </c:pt>
                <c:pt idx="113">
                  <c:v>7977.2890843662544</c:v>
                </c:pt>
                <c:pt idx="114">
                  <c:v>8037.2650939624154</c:v>
                </c:pt>
                <c:pt idx="115">
                  <c:v>8097.2411035585783</c:v>
                </c:pt>
                <c:pt idx="116">
                  <c:v>8157.2171131547384</c:v>
                </c:pt>
                <c:pt idx="117">
                  <c:v>8217.1931227509012</c:v>
                </c:pt>
                <c:pt idx="118">
                  <c:v>8277.1691323470604</c:v>
                </c:pt>
                <c:pt idx="119">
                  <c:v>8337.1451419432233</c:v>
                </c:pt>
                <c:pt idx="120">
                  <c:v>8397.1211515393843</c:v>
                </c:pt>
                <c:pt idx="121">
                  <c:v>8457.0971611355453</c:v>
                </c:pt>
                <c:pt idx="122">
                  <c:v>8517.0731707317082</c:v>
                </c:pt>
                <c:pt idx="123">
                  <c:v>8577.0491803278692</c:v>
                </c:pt>
                <c:pt idx="124">
                  <c:v>8637.0251899240302</c:v>
                </c:pt>
                <c:pt idx="125">
                  <c:v>8697.001199520193</c:v>
                </c:pt>
                <c:pt idx="126">
                  <c:v>8756.9772091163541</c:v>
                </c:pt>
                <c:pt idx="127">
                  <c:v>8816.9532187125151</c:v>
                </c:pt>
                <c:pt idx="128">
                  <c:v>8876.9292283086779</c:v>
                </c:pt>
                <c:pt idx="129">
                  <c:v>8936.9052379048371</c:v>
                </c:pt>
                <c:pt idx="130">
                  <c:v>8996.881247501</c:v>
                </c:pt>
                <c:pt idx="131">
                  <c:v>9056.857257097161</c:v>
                </c:pt>
                <c:pt idx="132">
                  <c:v>9116.8332666933202</c:v>
                </c:pt>
                <c:pt idx="133">
                  <c:v>9176.809276289483</c:v>
                </c:pt>
                <c:pt idx="134">
                  <c:v>9236.7852858856459</c:v>
                </c:pt>
                <c:pt idx="135">
                  <c:v>9296.7612954818069</c:v>
                </c:pt>
                <c:pt idx="136">
                  <c:v>9356.7373050779679</c:v>
                </c:pt>
                <c:pt idx="137">
                  <c:v>9416.7133146741307</c:v>
                </c:pt>
                <c:pt idx="138">
                  <c:v>9476.6893242702936</c:v>
                </c:pt>
                <c:pt idx="139">
                  <c:v>9536.6653338664546</c:v>
                </c:pt>
                <c:pt idx="140">
                  <c:v>9596.6413434626156</c:v>
                </c:pt>
                <c:pt idx="141">
                  <c:v>9656.617353058773</c:v>
                </c:pt>
                <c:pt idx="142">
                  <c:v>9716.5933626549395</c:v>
                </c:pt>
                <c:pt idx="143">
                  <c:v>9776.5693722511005</c:v>
                </c:pt>
                <c:pt idx="144">
                  <c:v>9836.5453818472615</c:v>
                </c:pt>
                <c:pt idx="145">
                  <c:v>9896.5213914434225</c:v>
                </c:pt>
                <c:pt idx="146">
                  <c:v>9956.4974010395836</c:v>
                </c:pt>
                <c:pt idx="147">
                  <c:v>10016.473410635746</c:v>
                </c:pt>
                <c:pt idx="148">
                  <c:v>10076.449420231907</c:v>
                </c:pt>
                <c:pt idx="149">
                  <c:v>10136.425429828068</c:v>
                </c:pt>
                <c:pt idx="150">
                  <c:v>10196.401439424229</c:v>
                </c:pt>
                <c:pt idx="151">
                  <c:v>10256.377449020394</c:v>
                </c:pt>
                <c:pt idx="152">
                  <c:v>10316.353458616555</c:v>
                </c:pt>
                <c:pt idx="153">
                  <c:v>10376.329468212714</c:v>
                </c:pt>
                <c:pt idx="154">
                  <c:v>10436.305477808875</c:v>
                </c:pt>
                <c:pt idx="155">
                  <c:v>10496.281487405036</c:v>
                </c:pt>
                <c:pt idx="156">
                  <c:v>10556.257497001199</c:v>
                </c:pt>
                <c:pt idx="157">
                  <c:v>10616.23350659736</c:v>
                </c:pt>
                <c:pt idx="158">
                  <c:v>10676.209516193521</c:v>
                </c:pt>
                <c:pt idx="159">
                  <c:v>10736.185525789684</c:v>
                </c:pt>
                <c:pt idx="160">
                  <c:v>10796.161535385847</c:v>
                </c:pt>
                <c:pt idx="161">
                  <c:v>10856.137544982006</c:v>
                </c:pt>
                <c:pt idx="162">
                  <c:v>10916.113554578169</c:v>
                </c:pt>
                <c:pt idx="163">
                  <c:v>10976.089564174332</c:v>
                </c:pt>
                <c:pt idx="164">
                  <c:v>11036.065573770493</c:v>
                </c:pt>
                <c:pt idx="165">
                  <c:v>11096.041583366654</c:v>
                </c:pt>
                <c:pt idx="166">
                  <c:v>11156.017592962817</c:v>
                </c:pt>
                <c:pt idx="167">
                  <c:v>11215.993602558976</c:v>
                </c:pt>
                <c:pt idx="168">
                  <c:v>11275.969612155137</c:v>
                </c:pt>
                <c:pt idx="169">
                  <c:v>11335.9456217513</c:v>
                </c:pt>
                <c:pt idx="170">
                  <c:v>11395.921631347461</c:v>
                </c:pt>
                <c:pt idx="171">
                  <c:v>11455.897640943622</c:v>
                </c:pt>
                <c:pt idx="172">
                  <c:v>11515.873650539785</c:v>
                </c:pt>
                <c:pt idx="173">
                  <c:v>11575.849660135947</c:v>
                </c:pt>
                <c:pt idx="174">
                  <c:v>11635.825669732107</c:v>
                </c:pt>
                <c:pt idx="175">
                  <c:v>11695.801679328268</c:v>
                </c:pt>
                <c:pt idx="176">
                  <c:v>11755.777688924432</c:v>
                </c:pt>
                <c:pt idx="177">
                  <c:v>11815.753698520593</c:v>
                </c:pt>
                <c:pt idx="178">
                  <c:v>11875.729708116754</c:v>
                </c:pt>
                <c:pt idx="179">
                  <c:v>11935.705717712915</c:v>
                </c:pt>
                <c:pt idx="180">
                  <c:v>11995.681727309075</c:v>
                </c:pt>
                <c:pt idx="181">
                  <c:v>12055.657736905239</c:v>
                </c:pt>
                <c:pt idx="182">
                  <c:v>12115.6337465014</c:v>
                </c:pt>
                <c:pt idx="183">
                  <c:v>12175.609756097561</c:v>
                </c:pt>
                <c:pt idx="184">
                  <c:v>12235.585765693722</c:v>
                </c:pt>
                <c:pt idx="185">
                  <c:v>12295.561775289883</c:v>
                </c:pt>
                <c:pt idx="186">
                  <c:v>12355.537784886048</c:v>
                </c:pt>
                <c:pt idx="187">
                  <c:v>12415.513794482209</c:v>
                </c:pt>
                <c:pt idx="188">
                  <c:v>12475.489804078368</c:v>
                </c:pt>
                <c:pt idx="189">
                  <c:v>12535.465813674531</c:v>
                </c:pt>
                <c:pt idx="190">
                  <c:v>12595.441823270692</c:v>
                </c:pt>
                <c:pt idx="191">
                  <c:v>12655.417832866855</c:v>
                </c:pt>
                <c:pt idx="192">
                  <c:v>12715.393842463014</c:v>
                </c:pt>
                <c:pt idx="193">
                  <c:v>12775.369852059175</c:v>
                </c:pt>
                <c:pt idx="194">
                  <c:v>12835.345861655338</c:v>
                </c:pt>
                <c:pt idx="195">
                  <c:v>12895.321871251499</c:v>
                </c:pt>
                <c:pt idx="196">
                  <c:v>12955.297880847662</c:v>
                </c:pt>
                <c:pt idx="197">
                  <c:v>13015.273890443823</c:v>
                </c:pt>
                <c:pt idx="198">
                  <c:v>13075.249900039984</c:v>
                </c:pt>
                <c:pt idx="199">
                  <c:v>13135.225909636145</c:v>
                </c:pt>
                <c:pt idx="200">
                  <c:v>13195.201919232308</c:v>
                </c:pt>
                <c:pt idx="201">
                  <c:v>13255.177928828467</c:v>
                </c:pt>
                <c:pt idx="202">
                  <c:v>13315.153938424632</c:v>
                </c:pt>
                <c:pt idx="203">
                  <c:v>13375.129948020793</c:v>
                </c:pt>
                <c:pt idx="204">
                  <c:v>13435.105957616954</c:v>
                </c:pt>
                <c:pt idx="205">
                  <c:v>13495.081967213115</c:v>
                </c:pt>
                <c:pt idx="206">
                  <c:v>13555.057976809278</c:v>
                </c:pt>
                <c:pt idx="207">
                  <c:v>13615.033986405439</c:v>
                </c:pt>
                <c:pt idx="208">
                  <c:v>13675.009996001601</c:v>
                </c:pt>
                <c:pt idx="209">
                  <c:v>13734.986005597762</c:v>
                </c:pt>
                <c:pt idx="210">
                  <c:v>13794.96201519392</c:v>
                </c:pt>
                <c:pt idx="211">
                  <c:v>13854.938024790083</c:v>
                </c:pt>
                <c:pt idx="212">
                  <c:v>13914.914034386245</c:v>
                </c:pt>
                <c:pt idx="213">
                  <c:v>13974.890043982406</c:v>
                </c:pt>
                <c:pt idx="214">
                  <c:v>14034.866053578568</c:v>
                </c:pt>
                <c:pt idx="215">
                  <c:v>14094.84206317473</c:v>
                </c:pt>
                <c:pt idx="216">
                  <c:v>14154.818072770893</c:v>
                </c:pt>
                <c:pt idx="217">
                  <c:v>14214.794082367054</c:v>
                </c:pt>
                <c:pt idx="218">
                  <c:v>14274.770091963215</c:v>
                </c:pt>
                <c:pt idx="219">
                  <c:v>14334.746101559374</c:v>
                </c:pt>
                <c:pt idx="220">
                  <c:v>14394.722111155541</c:v>
                </c:pt>
                <c:pt idx="221">
                  <c:v>14454.6981207517</c:v>
                </c:pt>
                <c:pt idx="222">
                  <c:v>14514.674130347861</c:v>
                </c:pt>
                <c:pt idx="223">
                  <c:v>14574.650139944022</c:v>
                </c:pt>
                <c:pt idx="224">
                  <c:v>14634.626149540183</c:v>
                </c:pt>
                <c:pt idx="225">
                  <c:v>14694.602159136344</c:v>
                </c:pt>
                <c:pt idx="226">
                  <c:v>14754.578168732509</c:v>
                </c:pt>
                <c:pt idx="227">
                  <c:v>14814.55417832867</c:v>
                </c:pt>
                <c:pt idx="228">
                  <c:v>14874.530187924831</c:v>
                </c:pt>
                <c:pt idx="229">
                  <c:v>14934.50619752099</c:v>
                </c:pt>
                <c:pt idx="230">
                  <c:v>14994.482207117157</c:v>
                </c:pt>
                <c:pt idx="231">
                  <c:v>15054.458216713316</c:v>
                </c:pt>
                <c:pt idx="232">
                  <c:v>15114.434226309477</c:v>
                </c:pt>
                <c:pt idx="233">
                  <c:v>15174.410235905638</c:v>
                </c:pt>
                <c:pt idx="234">
                  <c:v>15234.386245501799</c:v>
                </c:pt>
                <c:pt idx="235">
                  <c:v>15294.362255097963</c:v>
                </c:pt>
                <c:pt idx="236">
                  <c:v>15354.338264694123</c:v>
                </c:pt>
                <c:pt idx="237">
                  <c:v>15414.314274290286</c:v>
                </c:pt>
                <c:pt idx="238">
                  <c:v>15474.290283886447</c:v>
                </c:pt>
                <c:pt idx="239">
                  <c:v>15534.266293482606</c:v>
                </c:pt>
                <c:pt idx="240">
                  <c:v>15594.242303078767</c:v>
                </c:pt>
                <c:pt idx="241">
                  <c:v>15654.218312674931</c:v>
                </c:pt>
                <c:pt idx="242">
                  <c:v>15714.194322271092</c:v>
                </c:pt>
                <c:pt idx="243">
                  <c:v>15774.170331867253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28608"/>
        <c:axId val="698231488"/>
      </c:scatterChart>
      <c:scatterChart>
        <c:scatterStyle val="lineMarker"/>
        <c:varyColors val="0"/>
        <c:ser>
          <c:idx val="2"/>
          <c:order val="2"/>
          <c:tx>
            <c:strRef>
              <c:f>'Passenger Calc'!$T$21:$U$21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Calc'!$V$21</c:f>
              <c:numCache>
                <c:formatCode>General</c:formatCode>
                <c:ptCount val="1"/>
                <c:pt idx="0">
                  <c:v>132</c:v>
                </c:pt>
              </c:numCache>
            </c:numRef>
          </c:xVal>
          <c:yVal>
            <c:numRef>
              <c:f>'Passenger Calc'!$W$21</c:f>
              <c:numCache>
                <c:formatCode>_(* #,##0.00_);_(* \(#,##0.00\);_(* "-"??_);_(@_)</c:formatCode>
                <c:ptCount val="1"/>
                <c:pt idx="0">
                  <c:v>7917.3130747700916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C21-8003-B101D70A8D32}"/>
            </c:ext>
          </c:extLst>
        </c:ser>
        <c:ser>
          <c:idx val="3"/>
          <c:order val="3"/>
          <c:tx>
            <c:strRef>
              <c:f>'Passenger Calc'!$T$22:$U$22</c:f>
              <c:strCache>
                <c:ptCount val="1"/>
                <c:pt idx="0">
                  <c:v>Maximum Increase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Calc'!$V$22</c:f>
              <c:numCache>
                <c:formatCode>General</c:formatCode>
                <c:ptCount val="1"/>
                <c:pt idx="0">
                  <c:v>183</c:v>
                </c:pt>
              </c:numCache>
            </c:numRef>
          </c:xVal>
          <c:yVal>
            <c:numRef>
              <c:f>'Passenger Calc'!$W$22</c:f>
              <c:numCache>
                <c:formatCode>_(* #,##0.00_);_(* \(#,##0.00\);_(* "-"??_);_(@_)</c:formatCode>
                <c:ptCount val="1"/>
                <c:pt idx="0">
                  <c:v>4858.5365853658541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C21-8003-B101D70A8D32}"/>
            </c:ext>
          </c:extLst>
        </c:ser>
        <c:ser>
          <c:idx val="4"/>
          <c:order val="4"/>
          <c:tx>
            <c:strRef>
              <c:f>'Passenger Calc'!$T$23:$U$23</c:f>
              <c:strCache>
                <c:ptCount val="1"/>
                <c:pt idx="0">
                  <c:v>Minimal Loadfactor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Calc'!$V$23</c:f>
              <c:numCache>
                <c:formatCode>General</c:formatCode>
                <c:ptCount val="1"/>
                <c:pt idx="0">
                  <c:v>202</c:v>
                </c:pt>
              </c:numCache>
            </c:numRef>
          </c:xVal>
          <c:yVal>
            <c:numRef>
              <c:f>'Passenger Calc'!$W$23</c:f>
              <c:numCache>
                <c:formatCode>_(* #,##0.00_);_(* \(#,##0.00\);_(* "-"??_);_(@_)</c:formatCode>
                <c:ptCount val="1"/>
                <c:pt idx="0">
                  <c:v>3718.9924030387842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28608"/>
        <c:axId val="698231488"/>
      </c:scatterChart>
      <c:valAx>
        <c:axId val="13485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</a:t>
                </a:r>
                <a:r>
                  <a:rPr lang="en-US" sz="800" baseline="0"/>
                  <a:t> of passengers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8591088"/>
        <c:crosses val="autoZero"/>
        <c:crossBetween val="midCat"/>
      </c:valAx>
      <c:valAx>
        <c:axId val="1348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Total</a:t>
                </a:r>
                <a:r>
                  <a:rPr lang="en-US" sz="800" baseline="0"/>
                  <a:t> Revenue per flight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8599728"/>
        <c:crosses val="autoZero"/>
        <c:crossBetween val="midCat"/>
      </c:valAx>
      <c:valAx>
        <c:axId val="69823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Ticket</a:t>
                </a:r>
                <a:r>
                  <a:rPr lang="en-US" sz="800" baseline="0"/>
                  <a:t> price per passenger (€)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92737664598046132"/>
              <c:y val="0.15149255534470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8228608"/>
        <c:crosses val="max"/>
        <c:crossBetween val="midCat"/>
      </c:valAx>
      <c:valAx>
        <c:axId val="6982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2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560041</xdr:colOff>
      <xdr:row>18</xdr:row>
      <xdr:rowOff>124564</xdr:rowOff>
    </xdr:from>
    <xdr:to>
      <xdr:col>15</xdr:col>
      <xdr:colOff>804075</xdr:colOff>
      <xdr:row>64</xdr:row>
      <xdr:rowOff>113134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A12EAE62-AA04-711A-5521-41B12AD5A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16984" y="3488866"/>
          <a:ext cx="5937468" cy="8586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455221</xdr:colOff>
      <xdr:row>43</xdr:row>
      <xdr:rowOff>39584</xdr:rowOff>
    </xdr:from>
    <xdr:to>
      <xdr:col>24</xdr:col>
      <xdr:colOff>405958</xdr:colOff>
      <xdr:row>71</xdr:row>
      <xdr:rowOff>24692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6267C-9F59-C5FF-3F3D-877CAAF73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4727" y="7718961"/>
          <a:ext cx="9440592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97487</xdr:colOff>
      <xdr:row>11</xdr:row>
      <xdr:rowOff>176998</xdr:rowOff>
    </xdr:from>
    <xdr:to>
      <xdr:col>8</xdr:col>
      <xdr:colOff>492209</xdr:colOff>
      <xdr:row>16</xdr:row>
      <xdr:rowOff>182201</xdr:rowOff>
    </xdr:to>
    <xdr:grpSp>
      <xdr:nvGrpSpPr>
        <xdr:cNvPr id="2" name="Groep 1">
          <a:extLst>
            <a:ext uri="{FF2B5EF4-FFF2-40B4-BE49-F238E27FC236}">
              <a16:creationId xmlns:a16="http://schemas.microsoft.com/office/drawing/2014/main" id="{7904CD1D-4DE9-4B1D-976B-01DD24203DCC}"/>
            </a:ext>
          </a:extLst>
        </xdr:cNvPr>
        <xdr:cNvGrpSpPr/>
      </xdr:nvGrpSpPr>
      <xdr:grpSpPr>
        <a:xfrm>
          <a:off x="4371313" y="2217833"/>
          <a:ext cx="2435557" cy="932855"/>
          <a:chOff x="9204686" y="4809994"/>
          <a:chExt cx="2451377" cy="923330"/>
        </a:xfrm>
      </xdr:grpSpPr>
      <xdr:sp macro="" textlink="">
        <xdr:nvSpPr>
          <xdr:cNvPr id="3" name="Tekstvak 4">
            <a:extLst>
              <a:ext uri="{FF2B5EF4-FFF2-40B4-BE49-F238E27FC236}">
                <a16:creationId xmlns:a16="http://schemas.microsoft.com/office/drawing/2014/main" id="{5542E64C-2085-B49D-54D5-C37E6AFA37C7}"/>
              </a:ext>
            </a:extLst>
          </xdr:cNvPr>
          <xdr:cNvSpPr txBox="1"/>
        </xdr:nvSpPr>
        <xdr:spPr>
          <a:xfrm>
            <a:off x="10296395" y="4809994"/>
            <a:ext cx="1359668" cy="9233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>
                <a:solidFill>
                  <a:schemeClr val="accent3">
                    <a:lumMod val="50000"/>
                  </a:schemeClr>
                </a:solidFill>
              </a:rPr>
              <a:t>Amsterdam</a:t>
            </a:r>
          </a:p>
          <a:p>
            <a:r>
              <a:rPr lang="nl-NL">
                <a:solidFill>
                  <a:schemeClr val="accent3">
                    <a:lumMod val="50000"/>
                  </a:schemeClr>
                </a:solidFill>
              </a:rPr>
              <a:t>Consultancy</a:t>
            </a:r>
          </a:p>
          <a:p>
            <a:r>
              <a:rPr lang="nl-NL">
                <a:solidFill>
                  <a:schemeClr val="accent3">
                    <a:lumMod val="50000"/>
                  </a:schemeClr>
                </a:solidFill>
              </a:rPr>
              <a:t>Group</a:t>
            </a:r>
          </a:p>
        </xdr:txBody>
      </xdr:sp>
      <xdr:sp macro="" textlink="">
        <xdr:nvSpPr>
          <xdr:cNvPr id="4" name="Tekstvak 5">
            <a:extLst>
              <a:ext uri="{FF2B5EF4-FFF2-40B4-BE49-F238E27FC236}">
                <a16:creationId xmlns:a16="http://schemas.microsoft.com/office/drawing/2014/main" id="{BDE74C00-0613-5110-42F0-6C738976EA31}"/>
              </a:ext>
            </a:extLst>
          </xdr:cNvPr>
          <xdr:cNvSpPr txBox="1"/>
        </xdr:nvSpPr>
        <xdr:spPr>
          <a:xfrm>
            <a:off x="9204686" y="4938315"/>
            <a:ext cx="1220270" cy="7078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4000" b="1">
                <a:solidFill>
                  <a:schemeClr val="accent3">
                    <a:lumMod val="50000"/>
                  </a:schemeClr>
                </a:solidFill>
                <a:latin typeface="Aptos" panose="020B0004020202020204" pitchFamily="34" charset="0"/>
              </a:rPr>
              <a:t>ACG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590938</xdr:colOff>
      <xdr:row>2</xdr:row>
      <xdr:rowOff>171841</xdr:rowOff>
    </xdr:from>
    <xdr:to>
      <xdr:col>25</xdr:col>
      <xdr:colOff>171061</xdr:colOff>
      <xdr:row>17</xdr:row>
      <xdr:rowOff>115857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86A6A09D-14F6-D61D-B78A-DEC61768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51E21-295B-44EB-83A3-97C763936249}" name="Table1" displayName="Table1" ref="A1:T89" totalsRowShown="0" dataDxfId="19">
  <autoFilter ref="A1:T89" xr:uid="{70A51E21-295B-44EB-83A3-97C763936249}"/>
  <sortState xmlns:xlrd2="http://schemas.microsoft.com/office/spreadsheetml/2017/richdata2" ref="A2:T98">
    <sortCondition ref="A1:A98"/>
  </sortState>
  <tableColumns count="20">
    <tableColumn id="1" xr3:uid="{521E5543-3FF2-4D17-B429-4BD82445410F}" name="% HEFA"/>
    <tableColumn id="2" xr3:uid="{4B31CD2B-4F40-4AC1-B1B9-71FBD2A9D8EB}" name="Total E" dataDxfId="18">
      <calculatedColumnFormula>((KPI´s!$J$28*(A2/100*'CO2 calculations'!$C$36)+KPI´s!$J$28*((1-A2/100)*'CO2 calculations'!$C$35))/1000000)+KPI´s!J19/1000000</calculatedColumnFormula>
    </tableColumn>
    <tableColumn id="3" xr3:uid="{3D33CF9D-100E-4BFE-BB8C-922EB489C22C}" name="E-Offset" dataDxfId="17"/>
    <tableColumn id="4" xr3:uid="{E0CFF01D-5BC9-482F-8DE8-728A116CA182}" name="E-Remaining" dataDxfId="16">
      <calculatedColumnFormula>B2</calculatedColumnFormula>
    </tableColumn>
    <tableColumn id="5" xr3:uid="{EFD95FEE-DEB8-4516-B53C-E126371DCDBA}" name="Jet A-1 Cost/yr" dataDxfId="15">
      <calculatedColumnFormula>(KPI´s!$J$28*(1-A2/100))*'CO2 calculations'!E$35</calculatedColumnFormula>
    </tableColumn>
    <tableColumn id="6" xr3:uid="{061A253A-B2BF-4B5C-B388-C08D36A683DE}" name="Jet A-1 Cost/fl" dataDxfId="14">
      <calculatedColumnFormula>E2/10628</calculatedColumnFormula>
    </tableColumn>
    <tableColumn id="7" xr3:uid="{94AD5D3B-902D-4EA4-ADCE-B05701728043}" name="HEFA Cost/yr" dataDxfId="13">
      <calculatedColumnFormula>(KPI´s!$J$28*(A2/100))*'CO2 calculations'!E$36</calculatedColumnFormula>
    </tableColumn>
    <tableColumn id="8" xr3:uid="{096A3D08-2505-410D-9ED1-BA34B00586FA}" name="HEFA Cost/fl" dataDxfId="12">
      <calculatedColumnFormula>G2/10628</calculatedColumnFormula>
    </tableColumn>
    <tableColumn id="9" xr3:uid="{3D050E3C-9EEB-4D38-8F45-5786D3C4C323}" name="Offset Cost/yr" dataDxfId="11">
      <calculatedColumnFormula>C2*'balance sheet'!C$36*1000000</calculatedColumnFormula>
    </tableColumn>
    <tableColumn id="10" xr3:uid="{6CA80050-9DAB-4F19-B1DA-A146109376B5}" name="Offset Cost/fl" dataDxfId="10">
      <calculatedColumnFormula>I2/KPI´s!I$23</calculatedColumnFormula>
    </tableColumn>
    <tableColumn id="11" xr3:uid="{21438702-8E88-4B39-95E0-B6DE25736625}" name="Carbon Tax Yr" dataDxfId="9">
      <calculatedColumnFormula>500*D2*1000</calculatedColumnFormula>
    </tableColumn>
    <tableColumn id="12" xr3:uid="{0915124A-318B-4AA8-A341-148A3C0BD52C}" name="Carbon Tax Fl" dataDxfId="8">
      <calculatedColumnFormula>K2/KPI´s!I$23</calculatedColumnFormula>
    </tableColumn>
    <tableColumn id="13" xr3:uid="{3F5353EC-F9DB-466A-A6E5-5E4B03C6D3DA}" name="Total Cost Yr" dataDxfId="7">
      <calculatedColumnFormula>K2+I2+G2+E2</calculatedColumnFormula>
    </tableColumn>
    <tableColumn id="14" xr3:uid="{571F12C3-F050-4D7B-85D7-887299C66B0F}" name="Total Cost Fl" dataDxfId="6">
      <calculatedColumnFormula>M2/KPI´s!I$23</calculatedColumnFormula>
    </tableColumn>
    <tableColumn id="15" xr3:uid="{D48479E4-DB6D-4494-BE1A-4BFAA15CBCF2}" name="Estimated Offset Power Generation kWh per year" dataDxfId="5">
      <calculatedColumnFormula>'balance sheet'!K$35*'Lithium Carbon Offsetting'!C2/3.6*1000000</calculatedColumnFormula>
    </tableColumn>
    <tableColumn id="16" xr3:uid="{D14E23B1-15C9-43E6-81E4-59E11E0F001E}" name="kWh/fl" dataDxfId="4">
      <calculatedColumnFormula>O2/10628</calculatedColumnFormula>
    </tableColumn>
    <tableColumn id="17" xr3:uid="{6F7040A7-39EA-4339-810F-2F71BEB95044}" name="kWh sale price per year" dataDxfId="3">
      <calculatedColumnFormula>0.33*O2</calculatedColumnFormula>
    </tableColumn>
    <tableColumn id="18" xr3:uid="{7BA74ABA-483A-4EE6-B8D3-E528241E5542}" name="$/fl" dataDxfId="2">
      <calculatedColumnFormula>Q2/10628</calculatedColumnFormula>
    </tableColumn>
    <tableColumn id="19" xr3:uid="{FFD08FCD-3D60-4300-B940-42B78025C148}" name="Net Cost/Yr" dataDxfId="1">
      <calculatedColumnFormula>M2-Q2</calculatedColumnFormula>
    </tableColumn>
    <tableColumn id="20" xr3:uid="{FDD65C43-EC7E-4555-91C0-D310C9DEF44A}" name="Net Cost/Fl" dataDxfId="0">
      <calculatedColumnFormula>S2/10628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micalbook.com/SupplierPriceList_EN.aspx?cbn=CB7164125&amp;c=10g" TargetMode="External"/><Relationship Id="rId2" Type="http://schemas.openxmlformats.org/officeDocument/2006/relationships/hyperlink" Target="https://www.dailymetalprice.com/metalpricecharts.php?c=li&amp;u=kg&amp;d=240" TargetMode="External"/><Relationship Id="rId1" Type="http://schemas.openxmlformats.org/officeDocument/2006/relationships/hyperlink" Target="https://gasbox.lv/en-us/sausais-ledus-un-%C5%A1%C4%B7idrais-sl%C4%81peklis/sl%C4%81peklis-%C5%A1%C4%B7%C4%ABdrais/nitrogen-liquid-kg-gtl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xecutiveflyers.com/what-is-load-factor-in-aviation/" TargetMode="External"/><Relationship Id="rId2" Type="http://schemas.openxmlformats.org/officeDocument/2006/relationships/hyperlink" Target="https://simpleflying.com/load-factor-airline-profitability-relationship-analysis/" TargetMode="External"/><Relationship Id="rId1" Type="http://schemas.openxmlformats.org/officeDocument/2006/relationships/hyperlink" Target="https://www.rtl.nl/nieuws/economie/artikel/5490525/tickets-fors-duurder-maar-we-blijven-vliegen" TargetMode="External"/><Relationship Id="rId4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ourworldindata.org/grapher/annual-co-emissions-from-aviation" TargetMode="External"/><Relationship Id="rId3" Type="http://schemas.openxmlformats.org/officeDocument/2006/relationships/hyperlink" Target="https://img.static-kl.com/m/7b0b0f3946d5bb53/original/KLM-Climate-Action-Plan.pdf" TargetMode="External"/><Relationship Id="rId7" Type="http://schemas.openxmlformats.org/officeDocument/2006/relationships/hyperlink" Target="https://www.transitionpathwayinitiative.org/publications/uploads/2022-carbon-performance-assessment-of-airlines-note-on-methodology" TargetMode="External"/><Relationship Id="rId2" Type="http://schemas.openxmlformats.org/officeDocument/2006/relationships/hyperlink" Target="https://www.sasgroup.net/files/documents/financial-reports/2024/SAS-Annual-and-Sustainability-Report-FY-2024.pdf" TargetMode="External"/><Relationship Id="rId1" Type="http://schemas.openxmlformats.org/officeDocument/2006/relationships/hyperlink" Target="https://www.planespotters.net/airline/SAS" TargetMode="External"/><Relationship Id="rId6" Type="http://schemas.openxmlformats.org/officeDocument/2006/relationships/hyperlink" Target="https://www.cbs.nl/nl-nl/visualisaties/verkeer-en-vervoer/uitstoot-en-brandstofafzet/uitstoot-luchtvaart" TargetMode="External"/><Relationship Id="rId11" Type="http://schemas.openxmlformats.org/officeDocument/2006/relationships/hyperlink" Target="https://www.easa.europa.eu/en/domains/environment/eaer/sustainable-aviation-fuels/saf-market" TargetMode="External"/><Relationship Id="rId5" Type="http://schemas.openxmlformats.org/officeDocument/2006/relationships/hyperlink" Target="https://www.cbs.nl/nl-nl/visualisaties/verkeer-en-vervoer/verkeer/vliegbewegingen" TargetMode="External"/><Relationship Id="rId10" Type="http://schemas.openxmlformats.org/officeDocument/2006/relationships/hyperlink" Target="https://www.eurocontrol.int/publication/taxi-times-summer-2024" TargetMode="External"/><Relationship Id="rId4" Type="http://schemas.openxmlformats.org/officeDocument/2006/relationships/hyperlink" Target="https://www.iata.org/contentassets/d13875e9ed784f75bac90f000760e998/iata-sustainable-aviation-fuel-saf-accounting--reporting-methodology.pdf" TargetMode="External"/><Relationship Id="rId9" Type="http://schemas.openxmlformats.org/officeDocument/2006/relationships/hyperlink" Target="https://www.iata.org/contentassets/d1d4d535bf1c4ba695f43e9beff8294f/airport-environmental-sustainability-polic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1815-486B-4C20-9FFF-5BC8796DCB70}">
  <dimension ref="A1:S24"/>
  <sheetViews>
    <sheetView workbookViewId="0">
      <selection activeCell="J16" sqref="J16"/>
    </sheetView>
  </sheetViews>
  <sheetFormatPr defaultRowHeight="14.4" x14ac:dyDescent="0.3"/>
  <cols>
    <col min="1" max="1" width="9.33203125" customWidth="1"/>
    <col min="4" max="4" width="12.6640625" customWidth="1"/>
    <col min="5" max="5" width="12.88671875" customWidth="1"/>
    <col min="6" max="6" width="11.21875" customWidth="1"/>
    <col min="7" max="7" width="11.33203125" customWidth="1"/>
    <col min="9" max="9" width="11.5546875" bestFit="1" customWidth="1"/>
    <col min="18" max="18" width="10.6640625" customWidth="1"/>
    <col min="19" max="19" width="12.44140625" customWidth="1"/>
  </cols>
  <sheetData>
    <row r="1" spans="1:19" x14ac:dyDescent="0.3">
      <c r="Q1" t="s">
        <v>2177</v>
      </c>
      <c r="R1" t="s">
        <v>2178</v>
      </c>
      <c r="S1" t="s">
        <v>2179</v>
      </c>
    </row>
    <row r="2" spans="1:19" x14ac:dyDescent="0.3">
      <c r="D2" s="208" t="s">
        <v>1656</v>
      </c>
      <c r="E2" s="208"/>
      <c r="F2" s="208"/>
      <c r="G2" s="208"/>
      <c r="H2" s="208"/>
      <c r="I2" s="208"/>
      <c r="L2" t="s">
        <v>2173</v>
      </c>
      <c r="M2" t="s">
        <v>2174</v>
      </c>
      <c r="N2" t="s">
        <v>2175</v>
      </c>
      <c r="P2" t="s">
        <v>2176</v>
      </c>
    </row>
    <row r="3" spans="1:19" x14ac:dyDescent="0.3">
      <c r="B3" t="s">
        <v>1637</v>
      </c>
      <c r="C3" t="s">
        <v>1649</v>
      </c>
      <c r="D3" t="s">
        <v>1650</v>
      </c>
      <c r="E3" t="s">
        <v>1651</v>
      </c>
      <c r="F3" t="s">
        <v>1654</v>
      </c>
      <c r="G3" t="s">
        <v>1652</v>
      </c>
      <c r="H3" t="s">
        <v>1653</v>
      </c>
      <c r="I3" t="s">
        <v>1655</v>
      </c>
      <c r="L3" s="121">
        <v>0.14000000000000001</v>
      </c>
      <c r="P3" t="s">
        <v>2173</v>
      </c>
    </row>
    <row r="4" spans="1:19" x14ac:dyDescent="0.3">
      <c r="A4" t="s">
        <v>46</v>
      </c>
      <c r="B4">
        <v>20</v>
      </c>
      <c r="C4">
        <f>SUM(KPI´s!I2:I15)</f>
        <v>9172</v>
      </c>
      <c r="D4" s="59">
        <f>SUM(KPI´s!M2:M15)/1000000</f>
        <v>97.852678658000016</v>
      </c>
      <c r="E4" s="59">
        <f>SUM(KPI´s!N2:N15)/1000000</f>
        <v>21.056905533999988</v>
      </c>
      <c r="F4" s="59">
        <f>SUM(D4:E4)</f>
        <v>118.90958419200001</v>
      </c>
      <c r="G4" s="59">
        <f>(I4-F4)/2</f>
        <v>5.1699819213912974</v>
      </c>
      <c r="H4" s="59">
        <f>G4</f>
        <v>5.1699819213912974</v>
      </c>
      <c r="I4" s="59">
        <f>F4/0.92</f>
        <v>129.24954803478261</v>
      </c>
      <c r="L4" s="121">
        <v>1</v>
      </c>
    </row>
    <row r="5" spans="1:19" x14ac:dyDescent="0.3">
      <c r="A5" s="60" t="s">
        <v>47</v>
      </c>
      <c r="B5" s="60">
        <v>6</v>
      </c>
      <c r="C5" s="60">
        <f>SUM(KPI´s!I16:I21)</f>
        <v>1456</v>
      </c>
      <c r="D5" s="61">
        <f>SUM(KPI´s!M16:M21)/1000000</f>
        <v>413.80879450559996</v>
      </c>
      <c r="E5" s="61">
        <f>SUM(KPI´s!N16:N21)/1000000</f>
        <v>89.047462108799962</v>
      </c>
      <c r="F5" s="61">
        <f>SUM(D5:E5)</f>
        <v>502.85625661439991</v>
      </c>
      <c r="G5" s="61">
        <f>(I5-F5)/2</f>
        <v>21.863315504973883</v>
      </c>
      <c r="H5" s="61">
        <f>G5</f>
        <v>21.863315504973883</v>
      </c>
      <c r="I5" s="61">
        <f>F5/0.92</f>
        <v>546.58288762434768</v>
      </c>
    </row>
    <row r="6" spans="1:19" x14ac:dyDescent="0.3">
      <c r="A6" t="s">
        <v>1655</v>
      </c>
      <c r="B6">
        <f>SUM(B4:B5)</f>
        <v>26</v>
      </c>
      <c r="C6">
        <f t="shared" ref="C6:H6" si="0">SUM(C4:C5)</f>
        <v>10628</v>
      </c>
      <c r="D6" s="59">
        <f t="shared" si="0"/>
        <v>511.66147316359996</v>
      </c>
      <c r="E6" s="59">
        <f t="shared" si="0"/>
        <v>110.10436764279996</v>
      </c>
      <c r="F6" s="59">
        <f>SUM(F4:F5)</f>
        <v>621.76584080639986</v>
      </c>
      <c r="G6" s="59">
        <f t="shared" si="0"/>
        <v>27.033297426365181</v>
      </c>
      <c r="H6" s="59">
        <f t="shared" si="0"/>
        <v>27.033297426365181</v>
      </c>
      <c r="I6" s="59">
        <f>SUM(F6:H6)</f>
        <v>675.83243565913017</v>
      </c>
      <c r="J6" t="s">
        <v>1657</v>
      </c>
    </row>
    <row r="7" spans="1:19" x14ac:dyDescent="0.3">
      <c r="G7" s="59"/>
      <c r="H7" s="59"/>
      <c r="I7" s="59">
        <f>I6*0.5</f>
        <v>337.91621782956508</v>
      </c>
      <c r="J7" t="s">
        <v>2055</v>
      </c>
    </row>
    <row r="8" spans="1:19" x14ac:dyDescent="0.3">
      <c r="I8" s="59"/>
    </row>
    <row r="11" spans="1:19" x14ac:dyDescent="0.3">
      <c r="B11" s="209" t="s">
        <v>2131</v>
      </c>
      <c r="C11" s="209"/>
      <c r="D11" s="209"/>
      <c r="E11" s="209"/>
      <c r="F11" s="209"/>
      <c r="G11" s="209"/>
      <c r="H11" s="209"/>
      <c r="M11" t="s">
        <v>2181</v>
      </c>
      <c r="N11" t="s">
        <v>2180</v>
      </c>
    </row>
    <row r="12" spans="1:19" x14ac:dyDescent="0.3">
      <c r="A12" s="62"/>
      <c r="B12" s="209"/>
      <c r="C12" s="209"/>
      <c r="D12" s="209"/>
      <c r="E12" s="209"/>
      <c r="F12" s="209"/>
      <c r="G12" s="209"/>
      <c r="H12" s="209"/>
      <c r="I12" s="62"/>
      <c r="J12" s="62"/>
      <c r="K12" s="62"/>
      <c r="L12" s="62"/>
      <c r="M12" s="146">
        <v>1</v>
      </c>
      <c r="N12">
        <f>(M12*1.3)+((1-M12)*3.84)</f>
        <v>1.3</v>
      </c>
    </row>
    <row r="13" spans="1:19" x14ac:dyDescent="0.3">
      <c r="A13" s="62"/>
      <c r="B13" s="209"/>
      <c r="C13" s="209"/>
      <c r="D13" s="209"/>
      <c r="E13" s="209"/>
      <c r="F13" s="209"/>
      <c r="G13" s="209"/>
      <c r="H13" s="209"/>
      <c r="I13" s="62"/>
      <c r="J13" s="62"/>
      <c r="K13" s="62"/>
      <c r="L13" s="62"/>
      <c r="M13" s="147" t="b">
        <v>0</v>
      </c>
      <c r="N13" s="62"/>
    </row>
    <row r="14" spans="1:19" x14ac:dyDescent="0.3">
      <c r="A14" s="62"/>
      <c r="B14" s="209"/>
      <c r="C14" s="209"/>
      <c r="D14" s="209"/>
      <c r="E14" s="209"/>
      <c r="F14" s="209"/>
      <c r="G14" s="209"/>
      <c r="H14" s="209"/>
      <c r="I14" s="62"/>
      <c r="J14" s="62"/>
      <c r="K14" s="62"/>
      <c r="L14" s="62"/>
      <c r="M14" s="62"/>
      <c r="N14" s="62"/>
    </row>
    <row r="15" spans="1:19" x14ac:dyDescent="0.3">
      <c r="A15" s="62"/>
      <c r="B15" s="209"/>
      <c r="C15" s="209"/>
      <c r="D15" s="209"/>
      <c r="E15" s="209"/>
      <c r="F15" s="209"/>
      <c r="G15" s="209"/>
      <c r="H15" s="209"/>
      <c r="I15" s="62"/>
      <c r="J15" s="62"/>
      <c r="K15" s="62"/>
      <c r="L15" s="62"/>
      <c r="M15" s="62"/>
      <c r="N15" s="62"/>
    </row>
    <row r="16" spans="1:19" x14ac:dyDescent="0.3">
      <c r="A16" s="62"/>
      <c r="B16" s="209"/>
      <c r="C16" s="209"/>
      <c r="D16" s="209"/>
      <c r="E16" s="209"/>
      <c r="F16" s="209"/>
      <c r="G16" s="209"/>
      <c r="H16" s="209"/>
      <c r="I16" s="62"/>
      <c r="J16" s="62"/>
      <c r="K16" s="62"/>
      <c r="L16" s="62"/>
      <c r="M16" s="62"/>
      <c r="N16" s="62"/>
    </row>
    <row r="17" spans="1:14" x14ac:dyDescent="0.3">
      <c r="A17" s="62"/>
      <c r="B17" s="209"/>
      <c r="C17" s="209"/>
      <c r="D17" s="209"/>
      <c r="E17" s="209"/>
      <c r="F17" s="209"/>
      <c r="G17" s="209"/>
      <c r="H17" s="209"/>
      <c r="I17" s="62"/>
      <c r="J17" s="62"/>
      <c r="K17" s="62"/>
      <c r="L17" s="62"/>
      <c r="M17" s="62"/>
      <c r="N17" s="62"/>
    </row>
    <row r="18" spans="1:14" x14ac:dyDescent="0.3">
      <c r="A18" s="62"/>
      <c r="B18" s="209"/>
      <c r="C18" s="209"/>
      <c r="D18" s="209"/>
      <c r="E18" s="209"/>
      <c r="F18" s="209"/>
      <c r="G18" s="209"/>
      <c r="H18" s="209"/>
      <c r="I18" s="62"/>
      <c r="J18" s="62"/>
      <c r="K18" s="62"/>
      <c r="L18" s="62"/>
      <c r="M18" s="62"/>
      <c r="N18" s="62"/>
    </row>
    <row r="19" spans="1:14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1:14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1:14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</row>
    <row r="22" spans="1:14" x14ac:dyDescent="0.3">
      <c r="A22" s="62"/>
      <c r="B22" s="62"/>
      <c r="C22" s="62"/>
      <c r="D22" s="62"/>
      <c r="E22" s="62"/>
      <c r="F22" s="62"/>
      <c r="G22" s="62"/>
      <c r="H22" s="62"/>
      <c r="I22" s="63"/>
      <c r="J22" s="62"/>
      <c r="K22" s="62"/>
      <c r="L22" s="62"/>
      <c r="M22" s="63"/>
      <c r="N22" s="62"/>
    </row>
    <row r="23" spans="1:14" x14ac:dyDescent="0.3">
      <c r="A23" s="62"/>
      <c r="B23" s="62"/>
      <c r="C23" s="63"/>
      <c r="D23" s="63"/>
      <c r="E23" s="63"/>
      <c r="F23" s="63"/>
      <c r="G23" s="63"/>
      <c r="H23" s="63"/>
      <c r="I23" s="63"/>
      <c r="J23" s="63"/>
      <c r="K23" s="62"/>
      <c r="L23" s="62"/>
      <c r="M23" s="63"/>
      <c r="N23" s="63"/>
    </row>
    <row r="24" spans="1:14" x14ac:dyDescent="0.3">
      <c r="A24" s="62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</row>
  </sheetData>
  <mergeCells count="2">
    <mergeCell ref="D2:I2"/>
    <mergeCell ref="B11:H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D36-87EC-4DAE-8B91-3177673E3BA0}">
  <dimension ref="A1:T584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9" sqref="O9"/>
    </sheetView>
  </sheetViews>
  <sheetFormatPr defaultColWidth="9.77734375" defaultRowHeight="14.4" x14ac:dyDescent="0.3"/>
  <cols>
    <col min="1" max="1" width="10.77734375" style="18" customWidth="1"/>
    <col min="2" max="2" width="9.21875" style="18" customWidth="1"/>
    <col min="3" max="3" width="27.21875" style="17" customWidth="1"/>
    <col min="4" max="4" width="12.21875" style="16" customWidth="1"/>
    <col min="5" max="5" width="11.21875" style="16" customWidth="1"/>
    <col min="6" max="8" width="12.77734375" style="15" customWidth="1"/>
    <col min="9" max="9" width="9.77734375" style="14"/>
    <col min="10" max="10" width="9.33203125" style="14" customWidth="1"/>
    <col min="11" max="12" width="9.77734375" style="14"/>
    <col min="21" max="16384" width="9.77734375" style="14"/>
  </cols>
  <sheetData>
    <row r="1" spans="1:12" ht="31.2" x14ac:dyDescent="0.3">
      <c r="A1" s="93" t="s">
        <v>1598</v>
      </c>
      <c r="B1" s="94" t="s">
        <v>1597</v>
      </c>
      <c r="C1" s="103" t="s">
        <v>1596</v>
      </c>
      <c r="D1" s="94" t="s">
        <v>1595</v>
      </c>
      <c r="E1" s="94" t="s">
        <v>1594</v>
      </c>
      <c r="F1" s="94" t="s">
        <v>1593</v>
      </c>
      <c r="G1" s="94" t="s">
        <v>1592</v>
      </c>
      <c r="H1" s="95" t="s">
        <v>1591</v>
      </c>
      <c r="J1" s="48" t="s">
        <v>1635</v>
      </c>
      <c r="K1" s="48" t="s">
        <v>1636</v>
      </c>
      <c r="L1"/>
    </row>
    <row r="2" spans="1:12" x14ac:dyDescent="0.3">
      <c r="A2" s="96" t="s">
        <v>1590</v>
      </c>
      <c r="B2" s="96" t="s">
        <v>1589</v>
      </c>
      <c r="C2" s="96" t="s">
        <v>1588</v>
      </c>
      <c r="D2" s="104">
        <v>12.7</v>
      </c>
      <c r="E2" s="104">
        <v>3.9</v>
      </c>
      <c r="F2" s="104">
        <v>9</v>
      </c>
      <c r="G2" s="104">
        <v>12</v>
      </c>
      <c r="H2" s="104">
        <v>17</v>
      </c>
      <c r="J2" s="30">
        <f>AVERAGE(D2:D572)</f>
        <v>11.441666666666677</v>
      </c>
      <c r="K2" s="31" t="s">
        <v>1621</v>
      </c>
      <c r="L2"/>
    </row>
    <row r="3" spans="1:12" x14ac:dyDescent="0.3">
      <c r="A3" s="96" t="s">
        <v>1587</v>
      </c>
      <c r="B3" s="96" t="s">
        <v>1586</v>
      </c>
      <c r="C3" s="96" t="s">
        <v>1585</v>
      </c>
      <c r="D3" s="104">
        <v>10.4</v>
      </c>
      <c r="E3" s="104">
        <v>3.5</v>
      </c>
      <c r="F3" s="104">
        <v>8</v>
      </c>
      <c r="G3" s="104">
        <v>10</v>
      </c>
      <c r="H3" s="104">
        <v>13</v>
      </c>
      <c r="J3" s="25">
        <f>LOOKUP(K3,$A$2:$A$572,$D$2:$D$572)</f>
        <v>13.9</v>
      </c>
      <c r="K3" s="32" t="s">
        <v>1350</v>
      </c>
      <c r="L3"/>
    </row>
    <row r="4" spans="1:12" x14ac:dyDescent="0.3">
      <c r="A4" s="96" t="s">
        <v>1584</v>
      </c>
      <c r="B4" s="96" t="s">
        <v>1583</v>
      </c>
      <c r="C4" s="96" t="s">
        <v>1582</v>
      </c>
      <c r="D4" s="104">
        <v>21.2</v>
      </c>
      <c r="E4" s="104">
        <v>7.1</v>
      </c>
      <c r="F4" s="104">
        <v>14</v>
      </c>
      <c r="G4" s="104">
        <v>20</v>
      </c>
      <c r="H4" s="104">
        <v>30</v>
      </c>
      <c r="J4" s="25">
        <f>LOOKUP(K4,$A$2:$A$572,$D$2:$D$572)</f>
        <v>21</v>
      </c>
      <c r="K4" s="32" t="s">
        <v>1395</v>
      </c>
      <c r="L4"/>
    </row>
    <row r="5" spans="1:12" x14ac:dyDescent="0.3">
      <c r="A5" s="96" t="s">
        <v>1581</v>
      </c>
      <c r="B5" s="96" t="s">
        <v>1580</v>
      </c>
      <c r="C5" s="96" t="s">
        <v>1579</v>
      </c>
      <c r="D5" s="104">
        <v>18.8</v>
      </c>
      <c r="E5" s="104">
        <v>4.5</v>
      </c>
      <c r="F5" s="104">
        <v>14</v>
      </c>
      <c r="G5" s="104">
        <v>18</v>
      </c>
      <c r="H5" s="104">
        <v>24</v>
      </c>
      <c r="J5" s="25">
        <f t="shared" ref="J5:J23" si="0">LOOKUP(K5,$A$2:$A$572,$D$2:$D$572)</f>
        <v>15.9</v>
      </c>
      <c r="K5" s="32" t="s">
        <v>1424</v>
      </c>
      <c r="L5"/>
    </row>
    <row r="6" spans="1:12" x14ac:dyDescent="0.3">
      <c r="A6" s="96" t="s">
        <v>1578</v>
      </c>
      <c r="B6" s="96" t="s">
        <v>1577</v>
      </c>
      <c r="C6" s="96" t="s">
        <v>1576</v>
      </c>
      <c r="D6" s="104">
        <v>16.600000000000001</v>
      </c>
      <c r="E6" s="104">
        <v>4.0999999999999996</v>
      </c>
      <c r="F6" s="104">
        <v>12</v>
      </c>
      <c r="G6" s="104">
        <v>16</v>
      </c>
      <c r="H6" s="104">
        <v>22</v>
      </c>
      <c r="J6" s="25">
        <f t="shared" si="0"/>
        <v>11.2</v>
      </c>
      <c r="K6" s="32" t="s">
        <v>1114</v>
      </c>
      <c r="L6"/>
    </row>
    <row r="7" spans="1:12" x14ac:dyDescent="0.3">
      <c r="A7" s="96" t="s">
        <v>1575</v>
      </c>
      <c r="B7" s="96" t="s">
        <v>1574</v>
      </c>
      <c r="C7" s="96" t="s">
        <v>1573</v>
      </c>
      <c r="D7" s="104">
        <v>21.6</v>
      </c>
      <c r="E7" s="104">
        <v>6.3</v>
      </c>
      <c r="F7" s="104">
        <v>15</v>
      </c>
      <c r="G7" s="104">
        <v>21</v>
      </c>
      <c r="H7" s="104">
        <v>29</v>
      </c>
      <c r="J7" s="25">
        <f t="shared" si="0"/>
        <v>13.3</v>
      </c>
      <c r="K7" s="32" t="s">
        <v>1317</v>
      </c>
      <c r="L7"/>
    </row>
    <row r="8" spans="1:12" x14ac:dyDescent="0.3">
      <c r="A8" s="96" t="s">
        <v>1908</v>
      </c>
      <c r="B8" s="96" t="s">
        <v>1909</v>
      </c>
      <c r="C8" s="96" t="s">
        <v>1910</v>
      </c>
      <c r="D8" s="104">
        <v>7.4</v>
      </c>
      <c r="E8" s="104">
        <v>2.9</v>
      </c>
      <c r="F8" s="104">
        <v>5</v>
      </c>
      <c r="G8" s="104">
        <v>7</v>
      </c>
      <c r="H8" s="104">
        <v>12</v>
      </c>
      <c r="J8" s="25">
        <f t="shared" si="0"/>
        <v>11.9</v>
      </c>
      <c r="K8" s="32" t="s">
        <v>1524</v>
      </c>
      <c r="L8"/>
    </row>
    <row r="9" spans="1:12" x14ac:dyDescent="0.3">
      <c r="A9" s="96" t="s">
        <v>1572</v>
      </c>
      <c r="B9" s="96" t="s">
        <v>1571</v>
      </c>
      <c r="C9" s="96" t="s">
        <v>1570</v>
      </c>
      <c r="D9" s="104">
        <v>12.2</v>
      </c>
      <c r="E9" s="104">
        <v>4.0999999999999996</v>
      </c>
      <c r="F9" s="104">
        <v>9</v>
      </c>
      <c r="G9" s="104">
        <v>12</v>
      </c>
      <c r="H9" s="104">
        <v>16</v>
      </c>
      <c r="J9" s="25">
        <f t="shared" si="0"/>
        <v>10.3</v>
      </c>
      <c r="K9" s="32" t="s">
        <v>1513</v>
      </c>
      <c r="L9"/>
    </row>
    <row r="10" spans="1:12" x14ac:dyDescent="0.3">
      <c r="A10" s="96" t="s">
        <v>1911</v>
      </c>
      <c r="B10" s="96" t="s">
        <v>1912</v>
      </c>
      <c r="C10" s="96" t="s">
        <v>1913</v>
      </c>
      <c r="D10" s="104">
        <v>9.1999999999999993</v>
      </c>
      <c r="E10" s="104">
        <v>3.1</v>
      </c>
      <c r="F10" s="104">
        <v>6</v>
      </c>
      <c r="G10" s="104">
        <v>9</v>
      </c>
      <c r="H10" s="104">
        <v>12</v>
      </c>
      <c r="J10" s="25">
        <f t="shared" si="0"/>
        <v>12.4</v>
      </c>
      <c r="K10" s="32" t="s">
        <v>1511</v>
      </c>
      <c r="L10"/>
    </row>
    <row r="11" spans="1:12" x14ac:dyDescent="0.3">
      <c r="A11" s="96" t="s">
        <v>1569</v>
      </c>
      <c r="B11" s="96" t="s">
        <v>1568</v>
      </c>
      <c r="C11" s="96" t="s">
        <v>1567</v>
      </c>
      <c r="D11" s="104">
        <v>12</v>
      </c>
      <c r="E11" s="104">
        <v>4.8</v>
      </c>
      <c r="F11" s="104">
        <v>8</v>
      </c>
      <c r="G11" s="104">
        <v>11</v>
      </c>
      <c r="H11" s="104">
        <v>16</v>
      </c>
      <c r="J11" s="25">
        <f t="shared" si="0"/>
        <v>13.1</v>
      </c>
      <c r="K11" s="32" t="s">
        <v>1506</v>
      </c>
      <c r="L11"/>
    </row>
    <row r="12" spans="1:12" x14ac:dyDescent="0.3">
      <c r="A12" s="96" t="s">
        <v>1566</v>
      </c>
      <c r="B12" s="96" t="s">
        <v>1565</v>
      </c>
      <c r="C12" s="96" t="s">
        <v>1564</v>
      </c>
      <c r="D12" s="104">
        <v>14.9</v>
      </c>
      <c r="E12" s="104">
        <v>3.8</v>
      </c>
      <c r="F12" s="104">
        <v>11</v>
      </c>
      <c r="G12" s="104">
        <v>14</v>
      </c>
      <c r="H12" s="104">
        <v>20</v>
      </c>
      <c r="J12" s="25">
        <f t="shared" si="0"/>
        <v>15.8</v>
      </c>
      <c r="K12" s="32" t="s">
        <v>741</v>
      </c>
      <c r="L12"/>
    </row>
    <row r="13" spans="1:12" x14ac:dyDescent="0.3">
      <c r="A13" s="96" t="s">
        <v>1563</v>
      </c>
      <c r="B13" s="96" t="s">
        <v>1562</v>
      </c>
      <c r="C13" s="96" t="s">
        <v>1561</v>
      </c>
      <c r="D13" s="104">
        <v>7.9</v>
      </c>
      <c r="E13" s="104">
        <v>3.5</v>
      </c>
      <c r="F13" s="104">
        <v>6</v>
      </c>
      <c r="G13" s="104">
        <v>7</v>
      </c>
      <c r="H13" s="104">
        <v>11</v>
      </c>
      <c r="J13" s="25">
        <f t="shared" si="0"/>
        <v>10.9</v>
      </c>
      <c r="K13" s="32" t="s">
        <v>763</v>
      </c>
      <c r="L13"/>
    </row>
    <row r="14" spans="1:12" x14ac:dyDescent="0.3">
      <c r="A14" s="96" t="s">
        <v>1560</v>
      </c>
      <c r="B14" s="96" t="s">
        <v>1559</v>
      </c>
      <c r="C14" s="96" t="s">
        <v>1558</v>
      </c>
      <c r="D14" s="104">
        <v>13.9</v>
      </c>
      <c r="E14" s="104">
        <v>3.2</v>
      </c>
      <c r="F14" s="104">
        <v>11</v>
      </c>
      <c r="G14" s="104">
        <v>13</v>
      </c>
      <c r="H14" s="104">
        <v>18</v>
      </c>
      <c r="J14" s="25">
        <f t="shared" si="0"/>
        <v>15.2</v>
      </c>
      <c r="K14" s="32" t="s">
        <v>577</v>
      </c>
      <c r="L14"/>
    </row>
    <row r="15" spans="1:12" x14ac:dyDescent="0.3">
      <c r="A15" s="96" t="s">
        <v>1557</v>
      </c>
      <c r="B15" s="96" t="s">
        <v>1556</v>
      </c>
      <c r="C15" s="96" t="s">
        <v>1555</v>
      </c>
      <c r="D15" s="104">
        <v>16.7</v>
      </c>
      <c r="E15" s="104">
        <v>4.7</v>
      </c>
      <c r="F15" s="104">
        <v>12</v>
      </c>
      <c r="G15" s="104">
        <v>16</v>
      </c>
      <c r="H15" s="104">
        <v>22</v>
      </c>
      <c r="J15" s="25">
        <f t="shared" si="0"/>
        <v>18.8</v>
      </c>
      <c r="K15" s="32" t="s">
        <v>536</v>
      </c>
      <c r="L15"/>
    </row>
    <row r="16" spans="1:12" x14ac:dyDescent="0.3">
      <c r="A16" s="96" t="s">
        <v>1554</v>
      </c>
      <c r="B16" s="96" t="s">
        <v>1553</v>
      </c>
      <c r="C16" s="96" t="s">
        <v>1552</v>
      </c>
      <c r="D16" s="104">
        <v>15.6</v>
      </c>
      <c r="E16" s="104">
        <v>4.8</v>
      </c>
      <c r="F16" s="104">
        <v>12</v>
      </c>
      <c r="G16" s="104">
        <v>15</v>
      </c>
      <c r="H16" s="104">
        <v>20</v>
      </c>
      <c r="J16" s="25">
        <f t="shared" si="0"/>
        <v>18.8</v>
      </c>
      <c r="K16" s="32" t="s">
        <v>854</v>
      </c>
      <c r="L16"/>
    </row>
    <row r="17" spans="1:12" x14ac:dyDescent="0.3">
      <c r="A17" s="96" t="s">
        <v>1551</v>
      </c>
      <c r="B17" s="96" t="s">
        <v>1550</v>
      </c>
      <c r="C17" s="96" t="s">
        <v>1549</v>
      </c>
      <c r="D17" s="104">
        <v>16.8</v>
      </c>
      <c r="E17" s="104">
        <v>4.5</v>
      </c>
      <c r="F17" s="104">
        <v>12</v>
      </c>
      <c r="G17" s="104">
        <v>16</v>
      </c>
      <c r="H17" s="104">
        <v>22</v>
      </c>
      <c r="J17" s="25">
        <f t="shared" si="0"/>
        <v>18.3</v>
      </c>
      <c r="K17" s="32" t="s">
        <v>871</v>
      </c>
      <c r="L17"/>
    </row>
    <row r="18" spans="1:12" x14ac:dyDescent="0.3">
      <c r="A18" s="96" t="s">
        <v>1548</v>
      </c>
      <c r="B18" s="96" t="s">
        <v>1547</v>
      </c>
      <c r="C18" s="96" t="s">
        <v>1546</v>
      </c>
      <c r="D18" s="104">
        <v>10.1</v>
      </c>
      <c r="E18" s="104">
        <v>2.4</v>
      </c>
      <c r="F18" s="104">
        <v>8</v>
      </c>
      <c r="G18" s="104">
        <v>10</v>
      </c>
      <c r="H18" s="104">
        <v>13</v>
      </c>
      <c r="J18" s="25">
        <f t="shared" si="0"/>
        <v>14.8</v>
      </c>
      <c r="K18" s="32" t="s">
        <v>163</v>
      </c>
      <c r="L18"/>
    </row>
    <row r="19" spans="1:12" x14ac:dyDescent="0.3">
      <c r="A19" s="96" t="s">
        <v>1545</v>
      </c>
      <c r="B19" s="96" t="s">
        <v>1544</v>
      </c>
      <c r="C19" s="96" t="s">
        <v>1543</v>
      </c>
      <c r="D19" s="104">
        <v>10.5</v>
      </c>
      <c r="E19" s="104">
        <v>3.5</v>
      </c>
      <c r="F19" s="104">
        <v>7</v>
      </c>
      <c r="G19" s="104">
        <v>10</v>
      </c>
      <c r="H19" s="104">
        <v>14</v>
      </c>
      <c r="J19" s="25">
        <f t="shared" si="0"/>
        <v>24.9</v>
      </c>
      <c r="K19" s="32" t="s">
        <v>146</v>
      </c>
      <c r="L19"/>
    </row>
    <row r="20" spans="1:12" x14ac:dyDescent="0.3">
      <c r="A20" s="96" t="s">
        <v>1542</v>
      </c>
      <c r="B20" s="96" t="s">
        <v>1541</v>
      </c>
      <c r="C20" s="96" t="s">
        <v>1540</v>
      </c>
      <c r="D20" s="104">
        <v>10.1</v>
      </c>
      <c r="E20" s="104">
        <v>3</v>
      </c>
      <c r="F20" s="104">
        <v>7</v>
      </c>
      <c r="G20" s="104">
        <v>10</v>
      </c>
      <c r="H20" s="104">
        <v>13</v>
      </c>
      <c r="J20" s="25">
        <f t="shared" si="0"/>
        <v>17</v>
      </c>
      <c r="K20" s="32" t="s">
        <v>1610</v>
      </c>
      <c r="L20"/>
    </row>
    <row r="21" spans="1:12" x14ac:dyDescent="0.3">
      <c r="A21" s="96" t="s">
        <v>1539</v>
      </c>
      <c r="B21" s="96" t="s">
        <v>1538</v>
      </c>
      <c r="C21" s="96" t="s">
        <v>1537</v>
      </c>
      <c r="D21" s="104">
        <v>5.9</v>
      </c>
      <c r="E21" s="104">
        <v>1.9</v>
      </c>
      <c r="F21" s="104">
        <v>4</v>
      </c>
      <c r="G21" s="104">
        <v>6</v>
      </c>
      <c r="H21" s="104">
        <v>8</v>
      </c>
      <c r="J21" s="25">
        <f t="shared" si="0"/>
        <v>17</v>
      </c>
      <c r="K21" s="32" t="s">
        <v>68</v>
      </c>
      <c r="L21"/>
    </row>
    <row r="22" spans="1:12" x14ac:dyDescent="0.3">
      <c r="A22" s="96" t="s">
        <v>1536</v>
      </c>
      <c r="B22" s="96" t="s">
        <v>1535</v>
      </c>
      <c r="C22" s="96" t="s">
        <v>1534</v>
      </c>
      <c r="D22" s="104">
        <v>12.1</v>
      </c>
      <c r="E22" s="104">
        <v>3.8</v>
      </c>
      <c r="F22" s="104">
        <v>9</v>
      </c>
      <c r="G22" s="104">
        <v>11</v>
      </c>
      <c r="H22" s="104">
        <v>16</v>
      </c>
      <c r="J22" s="25">
        <f t="shared" si="0"/>
        <v>16.399999999999999</v>
      </c>
      <c r="K22" s="32" t="s">
        <v>1612</v>
      </c>
      <c r="L22"/>
    </row>
    <row r="23" spans="1:12" x14ac:dyDescent="0.3">
      <c r="A23" s="96" t="s">
        <v>1533</v>
      </c>
      <c r="B23" s="96" t="s">
        <v>1532</v>
      </c>
      <c r="C23" s="96" t="s">
        <v>1531</v>
      </c>
      <c r="D23" s="104">
        <v>11.5</v>
      </c>
      <c r="E23" s="104">
        <v>3.9</v>
      </c>
      <c r="F23" s="104">
        <v>8</v>
      </c>
      <c r="G23" s="104">
        <v>11</v>
      </c>
      <c r="H23" s="104">
        <v>15</v>
      </c>
      <c r="J23" s="25">
        <f t="shared" si="0"/>
        <v>20.7</v>
      </c>
      <c r="K23" s="32" t="s">
        <v>950</v>
      </c>
      <c r="L23"/>
    </row>
    <row r="24" spans="1:12" x14ac:dyDescent="0.3">
      <c r="A24" s="96" t="s">
        <v>1530</v>
      </c>
      <c r="B24" s="96" t="s">
        <v>1529</v>
      </c>
      <c r="C24" s="96" t="s">
        <v>1528</v>
      </c>
      <c r="D24" s="104">
        <v>11.7</v>
      </c>
      <c r="E24" s="104">
        <v>5.8</v>
      </c>
      <c r="F24" s="104">
        <v>9</v>
      </c>
      <c r="G24" s="104">
        <v>11</v>
      </c>
      <c r="H24" s="104">
        <v>14</v>
      </c>
      <c r="J24"/>
      <c r="K24"/>
      <c r="L24"/>
    </row>
    <row r="25" spans="1:12" x14ac:dyDescent="0.3">
      <c r="A25" s="96" t="s">
        <v>1527</v>
      </c>
      <c r="B25" s="96" t="s">
        <v>1526</v>
      </c>
      <c r="C25" s="96" t="s">
        <v>1525</v>
      </c>
      <c r="D25" s="104">
        <v>11.7</v>
      </c>
      <c r="E25" s="104">
        <v>2.6</v>
      </c>
      <c r="F25" s="104">
        <v>10</v>
      </c>
      <c r="G25" s="104">
        <v>12</v>
      </c>
      <c r="H25" s="104">
        <v>14</v>
      </c>
      <c r="J25"/>
      <c r="K25"/>
      <c r="L25"/>
    </row>
    <row r="26" spans="1:12" x14ac:dyDescent="0.3">
      <c r="A26" s="96" t="s">
        <v>1524</v>
      </c>
      <c r="B26" s="96" t="s">
        <v>6</v>
      </c>
      <c r="C26" s="96" t="s">
        <v>1523</v>
      </c>
      <c r="D26" s="104">
        <v>11.9</v>
      </c>
      <c r="E26" s="104">
        <v>6</v>
      </c>
      <c r="F26" s="104">
        <v>8</v>
      </c>
      <c r="G26" s="104">
        <v>11</v>
      </c>
      <c r="H26" s="104">
        <v>15</v>
      </c>
      <c r="J26"/>
      <c r="K26"/>
      <c r="L26"/>
    </row>
    <row r="27" spans="1:12" x14ac:dyDescent="0.3">
      <c r="A27" s="96" t="s">
        <v>1522</v>
      </c>
      <c r="B27" s="96" t="s">
        <v>1521</v>
      </c>
      <c r="C27" s="96" t="s">
        <v>1520</v>
      </c>
      <c r="D27" s="104">
        <v>9.3000000000000007</v>
      </c>
      <c r="E27" s="104">
        <v>3.1</v>
      </c>
      <c r="F27" s="104">
        <v>7</v>
      </c>
      <c r="G27" s="104">
        <v>9</v>
      </c>
      <c r="H27" s="104">
        <v>12</v>
      </c>
      <c r="J27"/>
      <c r="K27"/>
      <c r="L27"/>
    </row>
    <row r="28" spans="1:12" x14ac:dyDescent="0.3">
      <c r="A28" s="96" t="s">
        <v>1519</v>
      </c>
      <c r="B28" s="96" t="s">
        <v>1518</v>
      </c>
      <c r="C28" s="96" t="s">
        <v>1517</v>
      </c>
      <c r="D28" s="104">
        <v>13.6</v>
      </c>
      <c r="E28" s="104">
        <v>5.5</v>
      </c>
      <c r="F28" s="104">
        <v>7</v>
      </c>
      <c r="G28" s="104">
        <v>13</v>
      </c>
      <c r="H28" s="104">
        <v>20</v>
      </c>
      <c r="J28"/>
      <c r="K28"/>
      <c r="L28"/>
    </row>
    <row r="29" spans="1:12" x14ac:dyDescent="0.3">
      <c r="A29" s="96" t="s">
        <v>1516</v>
      </c>
      <c r="B29" s="96" t="s">
        <v>1515</v>
      </c>
      <c r="C29" s="96" t="s">
        <v>1514</v>
      </c>
      <c r="D29" s="104">
        <v>6.8</v>
      </c>
      <c r="E29" s="104">
        <v>2.9</v>
      </c>
      <c r="F29" s="104">
        <v>4</v>
      </c>
      <c r="G29" s="104">
        <v>6</v>
      </c>
      <c r="H29" s="104">
        <v>11</v>
      </c>
      <c r="J29"/>
      <c r="K29"/>
      <c r="L29"/>
    </row>
    <row r="30" spans="1:12" x14ac:dyDescent="0.3">
      <c r="A30" s="96" t="s">
        <v>1513</v>
      </c>
      <c r="B30" s="96" t="s">
        <v>7</v>
      </c>
      <c r="C30" s="96" t="s">
        <v>1512</v>
      </c>
      <c r="D30" s="104">
        <v>10.3</v>
      </c>
      <c r="E30" s="104">
        <v>4.3</v>
      </c>
      <c r="F30" s="104">
        <v>7</v>
      </c>
      <c r="G30" s="104">
        <v>9</v>
      </c>
      <c r="H30" s="104">
        <v>15</v>
      </c>
      <c r="J30"/>
      <c r="K30"/>
      <c r="L30"/>
    </row>
    <row r="31" spans="1:12" x14ac:dyDescent="0.3">
      <c r="A31" s="96" t="s">
        <v>1511</v>
      </c>
      <c r="B31" s="96" t="s">
        <v>8</v>
      </c>
      <c r="C31" s="96" t="s">
        <v>1510</v>
      </c>
      <c r="D31" s="104">
        <v>12.4</v>
      </c>
      <c r="E31" s="104">
        <v>4.4000000000000004</v>
      </c>
      <c r="F31" s="104">
        <v>8</v>
      </c>
      <c r="G31" s="104">
        <v>12</v>
      </c>
      <c r="H31" s="104">
        <v>18</v>
      </c>
      <c r="J31"/>
      <c r="K31"/>
      <c r="L31"/>
    </row>
    <row r="32" spans="1:12" x14ac:dyDescent="0.3">
      <c r="A32" s="96" t="s">
        <v>1509</v>
      </c>
      <c r="B32" s="96" t="s">
        <v>1508</v>
      </c>
      <c r="C32" s="96" t="s">
        <v>1507</v>
      </c>
      <c r="D32" s="104">
        <v>12</v>
      </c>
      <c r="E32" s="104">
        <v>3.6</v>
      </c>
      <c r="F32" s="104">
        <v>9</v>
      </c>
      <c r="G32" s="104">
        <v>11</v>
      </c>
      <c r="H32" s="104">
        <v>16</v>
      </c>
      <c r="J32"/>
      <c r="K32"/>
      <c r="L32"/>
    </row>
    <row r="33" spans="1:12" x14ac:dyDescent="0.3">
      <c r="A33" s="96" t="s">
        <v>1506</v>
      </c>
      <c r="B33" s="96" t="s">
        <v>9</v>
      </c>
      <c r="C33" s="96" t="s">
        <v>1505</v>
      </c>
      <c r="D33" s="104">
        <v>13.1</v>
      </c>
      <c r="E33" s="104">
        <v>4.4000000000000004</v>
      </c>
      <c r="F33" s="104">
        <v>9</v>
      </c>
      <c r="G33" s="104">
        <v>13</v>
      </c>
      <c r="H33" s="104">
        <v>18</v>
      </c>
      <c r="J33"/>
      <c r="K33"/>
      <c r="L33"/>
    </row>
    <row r="34" spans="1:12" x14ac:dyDescent="0.3">
      <c r="A34" s="96" t="s">
        <v>1504</v>
      </c>
      <c r="B34" s="96" t="s">
        <v>1503</v>
      </c>
      <c r="C34" s="96" t="s">
        <v>1502</v>
      </c>
      <c r="D34" s="104">
        <v>10.6</v>
      </c>
      <c r="E34" s="104">
        <v>3.8</v>
      </c>
      <c r="F34" s="104">
        <v>7</v>
      </c>
      <c r="G34" s="104">
        <v>10</v>
      </c>
      <c r="H34" s="104">
        <v>14</v>
      </c>
      <c r="J34"/>
      <c r="K34"/>
      <c r="L34"/>
    </row>
    <row r="35" spans="1:12" x14ac:dyDescent="0.3">
      <c r="A35" s="96" t="s">
        <v>1501</v>
      </c>
      <c r="B35" s="96" t="s">
        <v>1500</v>
      </c>
      <c r="C35" s="96" t="s">
        <v>1499</v>
      </c>
      <c r="D35" s="104">
        <v>12.4</v>
      </c>
      <c r="E35" s="104">
        <v>3.7</v>
      </c>
      <c r="F35" s="104">
        <v>9</v>
      </c>
      <c r="G35" s="104">
        <v>12</v>
      </c>
      <c r="H35" s="104">
        <v>17</v>
      </c>
      <c r="J35"/>
      <c r="K35"/>
      <c r="L35"/>
    </row>
    <row r="36" spans="1:12" x14ac:dyDescent="0.3">
      <c r="A36" s="96" t="s">
        <v>1498</v>
      </c>
      <c r="B36" s="96" t="s">
        <v>1497</v>
      </c>
      <c r="C36" s="96" t="s">
        <v>1496</v>
      </c>
      <c r="D36" s="104">
        <v>5.8</v>
      </c>
      <c r="E36" s="104">
        <v>2</v>
      </c>
      <c r="F36" s="104">
        <v>4</v>
      </c>
      <c r="G36" s="104">
        <v>5</v>
      </c>
      <c r="H36" s="104">
        <v>8</v>
      </c>
      <c r="J36"/>
      <c r="K36"/>
      <c r="L36"/>
    </row>
    <row r="37" spans="1:12" x14ac:dyDescent="0.3">
      <c r="A37" s="96" t="s">
        <v>1495</v>
      </c>
      <c r="B37" s="96" t="s">
        <v>1494</v>
      </c>
      <c r="C37" s="96" t="s">
        <v>1493</v>
      </c>
      <c r="D37" s="104">
        <v>10.4</v>
      </c>
      <c r="E37" s="104">
        <v>4.4000000000000004</v>
      </c>
      <c r="F37" s="104">
        <v>6</v>
      </c>
      <c r="G37" s="104">
        <v>10</v>
      </c>
      <c r="H37" s="104">
        <v>15</v>
      </c>
      <c r="J37"/>
      <c r="K37"/>
      <c r="L37"/>
    </row>
    <row r="38" spans="1:12" x14ac:dyDescent="0.3">
      <c r="A38" s="96" t="s">
        <v>1492</v>
      </c>
      <c r="B38" s="96" t="s">
        <v>1491</v>
      </c>
      <c r="C38" s="96" t="s">
        <v>1490</v>
      </c>
      <c r="D38" s="104">
        <v>10.3</v>
      </c>
      <c r="E38" s="104">
        <v>3</v>
      </c>
      <c r="F38" s="104">
        <v>7</v>
      </c>
      <c r="G38" s="104">
        <v>10</v>
      </c>
      <c r="H38" s="104">
        <v>14</v>
      </c>
      <c r="J38"/>
      <c r="K38"/>
      <c r="L38"/>
    </row>
    <row r="39" spans="1:12" x14ac:dyDescent="0.3">
      <c r="A39" s="96" t="s">
        <v>1489</v>
      </c>
      <c r="B39" s="96" t="s">
        <v>1488</v>
      </c>
      <c r="C39" s="96" t="s">
        <v>1487</v>
      </c>
      <c r="D39" s="104">
        <v>9.6</v>
      </c>
      <c r="E39" s="104">
        <v>2.9</v>
      </c>
      <c r="F39" s="104">
        <v>7</v>
      </c>
      <c r="G39" s="104">
        <v>9</v>
      </c>
      <c r="H39" s="104">
        <v>13</v>
      </c>
      <c r="J39"/>
      <c r="K39"/>
      <c r="L39"/>
    </row>
    <row r="40" spans="1:12" x14ac:dyDescent="0.3">
      <c r="A40" s="96" t="s">
        <v>1486</v>
      </c>
      <c r="B40" s="96" t="s">
        <v>1485</v>
      </c>
      <c r="C40" s="96" t="s">
        <v>1484</v>
      </c>
      <c r="D40" s="104">
        <v>10.5</v>
      </c>
      <c r="E40" s="104">
        <v>4</v>
      </c>
      <c r="F40" s="104">
        <v>8</v>
      </c>
      <c r="G40" s="104">
        <v>10</v>
      </c>
      <c r="H40" s="104">
        <v>14</v>
      </c>
      <c r="J40"/>
      <c r="K40"/>
      <c r="L40"/>
    </row>
    <row r="41" spans="1:12" x14ac:dyDescent="0.3">
      <c r="A41" s="96" t="s">
        <v>1483</v>
      </c>
      <c r="B41" s="96" t="s">
        <v>1482</v>
      </c>
      <c r="C41" s="96" t="s">
        <v>1481</v>
      </c>
      <c r="D41" s="104">
        <v>10.8</v>
      </c>
      <c r="E41" s="104">
        <v>4.5</v>
      </c>
      <c r="F41" s="104">
        <v>7</v>
      </c>
      <c r="G41" s="104">
        <v>10</v>
      </c>
      <c r="H41" s="104">
        <v>15</v>
      </c>
      <c r="J41"/>
      <c r="K41"/>
      <c r="L41"/>
    </row>
    <row r="42" spans="1:12" x14ac:dyDescent="0.3">
      <c r="A42" s="96" t="s">
        <v>1480</v>
      </c>
      <c r="B42" s="96" t="s">
        <v>1479</v>
      </c>
      <c r="C42" s="96" t="s">
        <v>1478</v>
      </c>
      <c r="D42" s="104">
        <v>8.9</v>
      </c>
      <c r="E42" s="104">
        <v>2.7</v>
      </c>
      <c r="F42" s="104">
        <v>6</v>
      </c>
      <c r="G42" s="104">
        <v>8</v>
      </c>
      <c r="H42" s="104">
        <v>12</v>
      </c>
      <c r="J42"/>
      <c r="K42"/>
      <c r="L42"/>
    </row>
    <row r="43" spans="1:12" x14ac:dyDescent="0.3">
      <c r="A43" s="96" t="s">
        <v>1477</v>
      </c>
      <c r="B43" s="96" t="s">
        <v>1476</v>
      </c>
      <c r="C43" s="96" t="s">
        <v>1475</v>
      </c>
      <c r="D43" s="104">
        <v>10.7</v>
      </c>
      <c r="E43" s="104">
        <v>2.8</v>
      </c>
      <c r="F43" s="104">
        <v>8</v>
      </c>
      <c r="G43" s="104">
        <v>10</v>
      </c>
      <c r="H43" s="104">
        <v>13</v>
      </c>
      <c r="J43"/>
      <c r="K43"/>
      <c r="L43"/>
    </row>
    <row r="44" spans="1:12" x14ac:dyDescent="0.3">
      <c r="A44" s="96" t="s">
        <v>1474</v>
      </c>
      <c r="B44" s="96" t="s">
        <v>1473</v>
      </c>
      <c r="C44" s="96" t="s">
        <v>1472</v>
      </c>
      <c r="D44" s="104">
        <v>9.4</v>
      </c>
      <c r="E44" s="104">
        <v>4</v>
      </c>
      <c r="F44" s="104">
        <v>5</v>
      </c>
      <c r="G44" s="104">
        <v>9</v>
      </c>
      <c r="H44" s="104">
        <v>13</v>
      </c>
      <c r="K44"/>
      <c r="L44"/>
    </row>
    <row r="45" spans="1:12" x14ac:dyDescent="0.3">
      <c r="A45" s="96" t="s">
        <v>1471</v>
      </c>
      <c r="B45" s="96" t="s">
        <v>1470</v>
      </c>
      <c r="C45" s="96" t="s">
        <v>1469</v>
      </c>
      <c r="D45" s="104">
        <v>8.6999999999999993</v>
      </c>
      <c r="E45" s="104">
        <v>3.5</v>
      </c>
      <c r="F45" s="104">
        <v>4</v>
      </c>
      <c r="G45" s="104">
        <v>9</v>
      </c>
      <c r="H45" s="104">
        <v>14</v>
      </c>
      <c r="J45"/>
      <c r="K45"/>
      <c r="L45"/>
    </row>
    <row r="46" spans="1:12" x14ac:dyDescent="0.3">
      <c r="A46" s="96" t="s">
        <v>1468</v>
      </c>
      <c r="B46" s="96" t="s">
        <v>1467</v>
      </c>
      <c r="C46" s="96" t="s">
        <v>1466</v>
      </c>
      <c r="D46" s="104">
        <v>8.5</v>
      </c>
      <c r="E46" s="104">
        <v>3.5</v>
      </c>
      <c r="F46" s="104">
        <v>5</v>
      </c>
      <c r="G46" s="104">
        <v>8</v>
      </c>
      <c r="H46" s="104">
        <v>12</v>
      </c>
      <c r="J46"/>
      <c r="K46"/>
      <c r="L46"/>
    </row>
    <row r="47" spans="1:12" x14ac:dyDescent="0.3">
      <c r="A47" s="96" t="s">
        <v>1465</v>
      </c>
      <c r="B47" s="96" t="s">
        <v>1464</v>
      </c>
      <c r="C47" s="96" t="s">
        <v>1914</v>
      </c>
      <c r="D47" s="104">
        <v>7.7</v>
      </c>
      <c r="E47" s="104">
        <v>2.6</v>
      </c>
      <c r="F47" s="104">
        <v>5</v>
      </c>
      <c r="G47" s="104">
        <v>7</v>
      </c>
      <c r="H47" s="104">
        <v>11</v>
      </c>
      <c r="J47"/>
      <c r="K47"/>
      <c r="L47"/>
    </row>
    <row r="48" spans="1:12" x14ac:dyDescent="0.3">
      <c r="A48" s="96" t="s">
        <v>1463</v>
      </c>
      <c r="B48" s="96" t="s">
        <v>1462</v>
      </c>
      <c r="C48" s="96" t="s">
        <v>1461</v>
      </c>
      <c r="D48" s="104">
        <v>9.5</v>
      </c>
      <c r="E48" s="104">
        <v>3.9</v>
      </c>
      <c r="F48" s="104">
        <v>5</v>
      </c>
      <c r="G48" s="104">
        <v>9</v>
      </c>
      <c r="H48" s="104">
        <v>14</v>
      </c>
      <c r="J48"/>
      <c r="K48"/>
      <c r="L48"/>
    </row>
    <row r="49" spans="1:12" x14ac:dyDescent="0.3">
      <c r="A49" s="96" t="s">
        <v>1460</v>
      </c>
      <c r="B49" s="96" t="s">
        <v>1459</v>
      </c>
      <c r="C49" s="96" t="s">
        <v>1458</v>
      </c>
      <c r="D49" s="104">
        <v>9.6</v>
      </c>
      <c r="E49" s="104">
        <v>4.3</v>
      </c>
      <c r="F49" s="104">
        <v>5</v>
      </c>
      <c r="G49" s="104">
        <v>9</v>
      </c>
      <c r="H49" s="104">
        <v>14</v>
      </c>
      <c r="J49"/>
      <c r="K49"/>
      <c r="L49"/>
    </row>
    <row r="50" spans="1:12" x14ac:dyDescent="0.3">
      <c r="A50" s="96" t="s">
        <v>1457</v>
      </c>
      <c r="B50" s="96" t="s">
        <v>1456</v>
      </c>
      <c r="C50" s="96" t="s">
        <v>1455</v>
      </c>
      <c r="D50" s="104">
        <v>4.4000000000000004</v>
      </c>
      <c r="E50" s="104">
        <v>1.7</v>
      </c>
      <c r="F50" s="104">
        <v>3</v>
      </c>
      <c r="G50" s="104">
        <v>4</v>
      </c>
      <c r="H50" s="104">
        <v>6</v>
      </c>
      <c r="J50"/>
      <c r="K50"/>
      <c r="L50"/>
    </row>
    <row r="51" spans="1:12" x14ac:dyDescent="0.3">
      <c r="A51" s="96" t="s">
        <v>1915</v>
      </c>
      <c r="B51" s="96" t="s">
        <v>1916</v>
      </c>
      <c r="C51" s="96" t="s">
        <v>1917</v>
      </c>
      <c r="D51" s="104">
        <v>3.5</v>
      </c>
      <c r="E51" s="104">
        <v>1.1000000000000001</v>
      </c>
      <c r="F51" s="104">
        <v>3</v>
      </c>
      <c r="G51" s="104">
        <v>3</v>
      </c>
      <c r="H51" s="104">
        <v>4</v>
      </c>
      <c r="J51"/>
      <c r="K51"/>
      <c r="L51"/>
    </row>
    <row r="52" spans="1:12" x14ac:dyDescent="0.3">
      <c r="A52" s="96" t="s">
        <v>1918</v>
      </c>
      <c r="B52" s="96" t="s">
        <v>1919</v>
      </c>
      <c r="C52" s="96" t="s">
        <v>1920</v>
      </c>
      <c r="D52" s="104">
        <v>3.7</v>
      </c>
      <c r="E52" s="104">
        <v>3.2</v>
      </c>
      <c r="F52" s="104">
        <v>2</v>
      </c>
      <c r="G52" s="104">
        <v>3</v>
      </c>
      <c r="H52" s="104">
        <v>5</v>
      </c>
      <c r="J52"/>
      <c r="K52"/>
      <c r="L52"/>
    </row>
    <row r="53" spans="1:12" x14ac:dyDescent="0.3">
      <c r="A53" s="96" t="s">
        <v>1921</v>
      </c>
      <c r="B53" s="96" t="s">
        <v>1922</v>
      </c>
      <c r="C53" s="96" t="s">
        <v>1923</v>
      </c>
      <c r="D53" s="104">
        <v>3.1</v>
      </c>
      <c r="E53" s="104">
        <v>0.8</v>
      </c>
      <c r="F53" s="104">
        <v>2</v>
      </c>
      <c r="G53" s="104">
        <v>3</v>
      </c>
      <c r="H53" s="104">
        <v>4</v>
      </c>
      <c r="J53"/>
      <c r="K53"/>
      <c r="L53"/>
    </row>
    <row r="54" spans="1:12" x14ac:dyDescent="0.3">
      <c r="A54" s="96" t="s">
        <v>1924</v>
      </c>
      <c r="B54" s="96" t="s">
        <v>1925</v>
      </c>
      <c r="C54" s="96" t="s">
        <v>1926</v>
      </c>
      <c r="D54" s="104">
        <v>3.5</v>
      </c>
      <c r="E54" s="104">
        <v>1</v>
      </c>
      <c r="F54" s="104">
        <v>2</v>
      </c>
      <c r="G54" s="104">
        <v>3</v>
      </c>
      <c r="H54" s="104">
        <v>5</v>
      </c>
      <c r="J54"/>
      <c r="K54"/>
      <c r="L54"/>
    </row>
    <row r="55" spans="1:12" x14ac:dyDescent="0.3">
      <c r="A55" s="96" t="s">
        <v>1927</v>
      </c>
      <c r="B55" s="96" t="s">
        <v>1928</v>
      </c>
      <c r="C55" s="96" t="s">
        <v>1929</v>
      </c>
      <c r="D55" s="104">
        <v>3.3</v>
      </c>
      <c r="E55" s="104">
        <v>1.8</v>
      </c>
      <c r="F55" s="104">
        <v>2</v>
      </c>
      <c r="G55" s="104">
        <v>3</v>
      </c>
      <c r="H55" s="104">
        <v>4</v>
      </c>
      <c r="J55"/>
      <c r="K55"/>
      <c r="L55"/>
    </row>
    <row r="56" spans="1:12" x14ac:dyDescent="0.3">
      <c r="A56" s="96" t="s">
        <v>1454</v>
      </c>
      <c r="B56" s="96" t="s">
        <v>1453</v>
      </c>
      <c r="C56" s="96" t="s">
        <v>1452</v>
      </c>
      <c r="D56" s="104">
        <v>3.4</v>
      </c>
      <c r="E56" s="104">
        <v>1</v>
      </c>
      <c r="F56" s="104">
        <v>2</v>
      </c>
      <c r="G56" s="104">
        <v>3</v>
      </c>
      <c r="H56" s="104">
        <v>4</v>
      </c>
      <c r="J56"/>
      <c r="K56"/>
      <c r="L56"/>
    </row>
    <row r="57" spans="1:12" x14ac:dyDescent="0.3">
      <c r="A57" s="96" t="s">
        <v>1451</v>
      </c>
      <c r="B57" s="96" t="s">
        <v>1450</v>
      </c>
      <c r="C57" s="96" t="s">
        <v>1449</v>
      </c>
      <c r="D57" s="104">
        <v>5.2</v>
      </c>
      <c r="E57" s="104">
        <v>1.5</v>
      </c>
      <c r="F57" s="104">
        <v>4</v>
      </c>
      <c r="G57" s="104">
        <v>5</v>
      </c>
      <c r="H57" s="104">
        <v>7</v>
      </c>
      <c r="J57"/>
      <c r="K57"/>
      <c r="L57"/>
    </row>
    <row r="58" spans="1:12" x14ac:dyDescent="0.3">
      <c r="A58" s="96" t="s">
        <v>1448</v>
      </c>
      <c r="B58" s="96" t="s">
        <v>1447</v>
      </c>
      <c r="C58" s="96" t="s">
        <v>1446</v>
      </c>
      <c r="D58" s="104">
        <v>3.7</v>
      </c>
      <c r="E58" s="104">
        <v>1.7</v>
      </c>
      <c r="F58" s="104">
        <v>2</v>
      </c>
      <c r="G58" s="104">
        <v>3</v>
      </c>
      <c r="H58" s="104">
        <v>5</v>
      </c>
      <c r="J58"/>
      <c r="K58"/>
      <c r="L58"/>
    </row>
    <row r="59" spans="1:12" x14ac:dyDescent="0.3">
      <c r="A59" s="96" t="s">
        <v>1930</v>
      </c>
      <c r="B59" s="96" t="s">
        <v>1931</v>
      </c>
      <c r="C59" s="96" t="s">
        <v>1932</v>
      </c>
      <c r="D59" s="104">
        <v>3.3</v>
      </c>
      <c r="E59" s="104">
        <v>0.8</v>
      </c>
      <c r="F59" s="104">
        <v>2</v>
      </c>
      <c r="G59" s="104">
        <v>3</v>
      </c>
      <c r="H59" s="104">
        <v>4</v>
      </c>
      <c r="J59"/>
      <c r="K59"/>
      <c r="L59"/>
    </row>
    <row r="60" spans="1:12" x14ac:dyDescent="0.3">
      <c r="A60" s="96" t="s">
        <v>1445</v>
      </c>
      <c r="B60" s="96" t="s">
        <v>1444</v>
      </c>
      <c r="C60" s="96" t="s">
        <v>1443</v>
      </c>
      <c r="D60" s="104">
        <v>6.5</v>
      </c>
      <c r="E60" s="104">
        <v>3.2</v>
      </c>
      <c r="F60" s="104">
        <v>3</v>
      </c>
      <c r="G60" s="104">
        <v>7</v>
      </c>
      <c r="H60" s="104">
        <v>9</v>
      </c>
      <c r="J60"/>
      <c r="K60"/>
      <c r="L60"/>
    </row>
    <row r="61" spans="1:12" x14ac:dyDescent="0.3">
      <c r="A61" s="96" t="s">
        <v>1442</v>
      </c>
      <c r="B61" s="96" t="s">
        <v>1441</v>
      </c>
      <c r="C61" s="96" t="s">
        <v>1440</v>
      </c>
      <c r="D61" s="104">
        <v>7.7</v>
      </c>
      <c r="E61" s="104">
        <v>2.8</v>
      </c>
      <c r="F61" s="104">
        <v>5</v>
      </c>
      <c r="G61" s="104">
        <v>8</v>
      </c>
      <c r="H61" s="104">
        <v>10</v>
      </c>
      <c r="J61"/>
      <c r="K61"/>
      <c r="L61"/>
    </row>
    <row r="62" spans="1:12" x14ac:dyDescent="0.3">
      <c r="A62" s="96" t="s">
        <v>1933</v>
      </c>
      <c r="B62" s="96" t="s">
        <v>1934</v>
      </c>
      <c r="C62" s="96" t="s">
        <v>1935</v>
      </c>
      <c r="D62" s="104">
        <v>5.6</v>
      </c>
      <c r="E62" s="104">
        <v>3.5</v>
      </c>
      <c r="F62" s="104">
        <v>3</v>
      </c>
      <c r="G62" s="104">
        <v>4</v>
      </c>
      <c r="H62" s="104">
        <v>10</v>
      </c>
      <c r="J62"/>
      <c r="K62"/>
      <c r="L62"/>
    </row>
    <row r="63" spans="1:12" x14ac:dyDescent="0.3">
      <c r="A63" s="96" t="s">
        <v>1439</v>
      </c>
      <c r="B63" s="96" t="s">
        <v>1438</v>
      </c>
      <c r="C63" s="96" t="s">
        <v>1437</v>
      </c>
      <c r="D63" s="104">
        <v>5.7</v>
      </c>
      <c r="E63" s="104">
        <v>2.7</v>
      </c>
      <c r="F63" s="104">
        <v>4</v>
      </c>
      <c r="G63" s="104">
        <v>5</v>
      </c>
      <c r="H63" s="104">
        <v>10</v>
      </c>
      <c r="J63"/>
      <c r="K63"/>
      <c r="L63"/>
    </row>
    <row r="64" spans="1:12" x14ac:dyDescent="0.3">
      <c r="A64" s="96" t="s">
        <v>1436</v>
      </c>
      <c r="B64" s="96" t="s">
        <v>1435</v>
      </c>
      <c r="C64" s="96" t="s">
        <v>1434</v>
      </c>
      <c r="D64" s="104">
        <v>4.5999999999999996</v>
      </c>
      <c r="E64" s="104">
        <v>1.4</v>
      </c>
      <c r="F64" s="104">
        <v>3</v>
      </c>
      <c r="G64" s="104">
        <v>4</v>
      </c>
      <c r="H64" s="104">
        <v>6</v>
      </c>
      <c r="J64"/>
      <c r="K64"/>
      <c r="L64"/>
    </row>
    <row r="65" spans="1:12" x14ac:dyDescent="0.3">
      <c r="A65" s="96" t="s">
        <v>1433</v>
      </c>
      <c r="B65" s="96" t="s">
        <v>1432</v>
      </c>
      <c r="C65" s="96" t="s">
        <v>1431</v>
      </c>
      <c r="D65" s="104">
        <v>11.5</v>
      </c>
      <c r="E65" s="104">
        <v>5.4</v>
      </c>
      <c r="F65" s="104">
        <v>8</v>
      </c>
      <c r="G65" s="104">
        <v>10</v>
      </c>
      <c r="H65" s="104">
        <v>15</v>
      </c>
      <c r="J65"/>
      <c r="K65"/>
      <c r="L65"/>
    </row>
    <row r="66" spans="1:12" x14ac:dyDescent="0.3">
      <c r="A66" s="96" t="s">
        <v>1430</v>
      </c>
      <c r="B66" s="96" t="s">
        <v>1429</v>
      </c>
      <c r="C66" s="96" t="s">
        <v>1428</v>
      </c>
      <c r="D66" s="104">
        <v>9.1999999999999993</v>
      </c>
      <c r="E66" s="104">
        <v>2.4</v>
      </c>
      <c r="F66" s="104">
        <v>7</v>
      </c>
      <c r="G66" s="104">
        <v>9</v>
      </c>
      <c r="H66" s="104">
        <v>12</v>
      </c>
      <c r="J66"/>
      <c r="K66"/>
      <c r="L66"/>
    </row>
    <row r="67" spans="1:12" x14ac:dyDescent="0.3">
      <c r="A67" s="96" t="s">
        <v>1427</v>
      </c>
      <c r="B67" s="96" t="s">
        <v>1426</v>
      </c>
      <c r="C67" s="96" t="s">
        <v>1425</v>
      </c>
      <c r="D67" s="104">
        <v>12.8</v>
      </c>
      <c r="E67" s="104">
        <v>5</v>
      </c>
      <c r="F67" s="104">
        <v>9</v>
      </c>
      <c r="G67" s="104">
        <v>12</v>
      </c>
      <c r="H67" s="104">
        <v>17</v>
      </c>
      <c r="J67"/>
      <c r="K67"/>
      <c r="L67"/>
    </row>
    <row r="68" spans="1:12" x14ac:dyDescent="0.3">
      <c r="A68" s="96" t="s">
        <v>1424</v>
      </c>
      <c r="B68" s="96" t="s">
        <v>3</v>
      </c>
      <c r="C68" s="96" t="s">
        <v>1423</v>
      </c>
      <c r="D68" s="104">
        <v>15.9</v>
      </c>
      <c r="E68" s="104">
        <v>7.3</v>
      </c>
      <c r="F68" s="104">
        <v>10</v>
      </c>
      <c r="G68" s="104">
        <v>14</v>
      </c>
      <c r="H68" s="104">
        <v>22</v>
      </c>
      <c r="J68"/>
      <c r="K68"/>
      <c r="L68"/>
    </row>
    <row r="69" spans="1:12" x14ac:dyDescent="0.3">
      <c r="A69" s="96" t="s">
        <v>1422</v>
      </c>
      <c r="B69" s="96" t="s">
        <v>1421</v>
      </c>
      <c r="C69" s="96" t="s">
        <v>1420</v>
      </c>
      <c r="D69" s="104">
        <v>11.7</v>
      </c>
      <c r="E69" s="104">
        <v>9</v>
      </c>
      <c r="F69" s="104">
        <v>7</v>
      </c>
      <c r="G69" s="104">
        <v>10</v>
      </c>
      <c r="H69" s="104">
        <v>15</v>
      </c>
      <c r="J69"/>
      <c r="K69"/>
      <c r="L69"/>
    </row>
    <row r="70" spans="1:12" x14ac:dyDescent="0.3">
      <c r="A70" s="96" t="s">
        <v>1419</v>
      </c>
      <c r="B70" s="96" t="s">
        <v>1418</v>
      </c>
      <c r="C70" s="96" t="s">
        <v>1417</v>
      </c>
      <c r="D70" s="104">
        <v>11.1</v>
      </c>
      <c r="E70" s="104">
        <v>4.3</v>
      </c>
      <c r="F70" s="104">
        <v>8</v>
      </c>
      <c r="G70" s="104">
        <v>10</v>
      </c>
      <c r="H70" s="104">
        <v>15</v>
      </c>
      <c r="J70"/>
      <c r="K70"/>
      <c r="L70"/>
    </row>
    <row r="71" spans="1:12" x14ac:dyDescent="0.3">
      <c r="A71" s="96" t="s">
        <v>1416</v>
      </c>
      <c r="B71" s="96" t="s">
        <v>1415</v>
      </c>
      <c r="C71" s="96" t="s">
        <v>1414</v>
      </c>
      <c r="D71" s="104">
        <v>12.4</v>
      </c>
      <c r="E71" s="104">
        <v>6.3</v>
      </c>
      <c r="F71" s="104">
        <v>9</v>
      </c>
      <c r="G71" s="104">
        <v>11</v>
      </c>
      <c r="H71" s="104">
        <v>16</v>
      </c>
      <c r="J71"/>
      <c r="K71"/>
      <c r="L71"/>
    </row>
    <row r="72" spans="1:12" x14ac:dyDescent="0.3">
      <c r="A72" s="96" t="s">
        <v>1413</v>
      </c>
      <c r="B72" s="96" t="s">
        <v>1412</v>
      </c>
      <c r="C72" s="96" t="s">
        <v>1411</v>
      </c>
      <c r="D72" s="104">
        <v>17.5</v>
      </c>
      <c r="E72" s="104">
        <v>10.5</v>
      </c>
      <c r="F72" s="104">
        <v>10</v>
      </c>
      <c r="G72" s="104">
        <v>15</v>
      </c>
      <c r="H72" s="104">
        <v>27</v>
      </c>
      <c r="J72"/>
      <c r="K72"/>
      <c r="L72"/>
    </row>
    <row r="73" spans="1:12" x14ac:dyDescent="0.3">
      <c r="A73" s="96" t="s">
        <v>1410</v>
      </c>
      <c r="B73" s="96" t="s">
        <v>1409</v>
      </c>
      <c r="C73" s="96" t="s">
        <v>1408</v>
      </c>
      <c r="D73" s="104">
        <v>10.9</v>
      </c>
      <c r="E73" s="104">
        <v>3.1</v>
      </c>
      <c r="F73" s="104">
        <v>8</v>
      </c>
      <c r="G73" s="104">
        <v>10</v>
      </c>
      <c r="H73" s="104">
        <v>14</v>
      </c>
      <c r="J73"/>
      <c r="K73"/>
      <c r="L73"/>
    </row>
    <row r="74" spans="1:12" x14ac:dyDescent="0.3">
      <c r="A74" s="96" t="s">
        <v>1936</v>
      </c>
      <c r="B74" s="96" t="s">
        <v>1937</v>
      </c>
      <c r="C74" s="96" t="s">
        <v>1938</v>
      </c>
      <c r="D74" s="104">
        <v>9.3000000000000007</v>
      </c>
      <c r="E74" s="104">
        <v>2.7</v>
      </c>
      <c r="F74" s="104">
        <v>7</v>
      </c>
      <c r="G74" s="104">
        <v>9</v>
      </c>
      <c r="H74" s="104">
        <v>12</v>
      </c>
      <c r="J74"/>
      <c r="K74"/>
      <c r="L74"/>
    </row>
    <row r="75" spans="1:12" x14ac:dyDescent="0.3">
      <c r="A75" s="96" t="s">
        <v>1407</v>
      </c>
      <c r="B75" s="96" t="s">
        <v>1406</v>
      </c>
      <c r="C75" s="96" t="s">
        <v>1405</v>
      </c>
      <c r="D75" s="104">
        <v>10.8</v>
      </c>
      <c r="E75" s="104">
        <v>3.3</v>
      </c>
      <c r="F75" s="104">
        <v>8</v>
      </c>
      <c r="G75" s="104">
        <v>11</v>
      </c>
      <c r="H75" s="104">
        <v>14</v>
      </c>
      <c r="J75"/>
      <c r="K75"/>
      <c r="L75"/>
    </row>
    <row r="76" spans="1:12" x14ac:dyDescent="0.3">
      <c r="A76" s="96" t="s">
        <v>1404</v>
      </c>
      <c r="B76" s="96" t="s">
        <v>1403</v>
      </c>
      <c r="C76" s="96" t="s">
        <v>1402</v>
      </c>
      <c r="D76" s="104">
        <v>9.6999999999999993</v>
      </c>
      <c r="E76" s="104">
        <v>2.4</v>
      </c>
      <c r="F76" s="104">
        <v>8</v>
      </c>
      <c r="G76" s="104">
        <v>9</v>
      </c>
      <c r="H76" s="104">
        <v>12</v>
      </c>
      <c r="J76"/>
      <c r="K76"/>
      <c r="L76"/>
    </row>
    <row r="77" spans="1:12" x14ac:dyDescent="0.3">
      <c r="A77" s="96" t="s">
        <v>1401</v>
      </c>
      <c r="B77" s="96" t="s">
        <v>1400</v>
      </c>
      <c r="C77" s="96" t="s">
        <v>1399</v>
      </c>
      <c r="D77" s="104">
        <v>20.399999999999999</v>
      </c>
      <c r="E77" s="104">
        <v>9.1999999999999993</v>
      </c>
      <c r="F77" s="104">
        <v>13</v>
      </c>
      <c r="G77" s="104">
        <v>19</v>
      </c>
      <c r="H77" s="104">
        <v>28</v>
      </c>
      <c r="J77"/>
      <c r="K77"/>
      <c r="L77"/>
    </row>
    <row r="78" spans="1:12" x14ac:dyDescent="0.3">
      <c r="A78" s="96" t="s">
        <v>1398</v>
      </c>
      <c r="B78" s="96" t="s">
        <v>1397</v>
      </c>
      <c r="C78" s="96" t="s">
        <v>1396</v>
      </c>
      <c r="D78" s="104">
        <v>8</v>
      </c>
      <c r="E78" s="104">
        <v>3.3</v>
      </c>
      <c r="F78" s="104">
        <v>4</v>
      </c>
      <c r="G78" s="104">
        <v>8</v>
      </c>
      <c r="H78" s="104">
        <v>12</v>
      </c>
      <c r="J78"/>
      <c r="K78"/>
      <c r="L78"/>
    </row>
    <row r="79" spans="1:12" x14ac:dyDescent="0.3">
      <c r="A79" s="96" t="s">
        <v>1395</v>
      </c>
      <c r="B79" s="96" t="s">
        <v>1394</v>
      </c>
      <c r="C79" s="96" t="s">
        <v>1393</v>
      </c>
      <c r="D79" s="104">
        <v>21</v>
      </c>
      <c r="E79" s="104">
        <v>8.1</v>
      </c>
      <c r="F79" s="104">
        <v>13</v>
      </c>
      <c r="G79" s="104">
        <v>20</v>
      </c>
      <c r="H79" s="104">
        <v>30</v>
      </c>
      <c r="J79"/>
      <c r="K79"/>
      <c r="L79"/>
    </row>
    <row r="80" spans="1:12" x14ac:dyDescent="0.3">
      <c r="A80" s="96" t="s">
        <v>1392</v>
      </c>
      <c r="B80" s="96" t="s">
        <v>1391</v>
      </c>
      <c r="C80" s="96" t="s">
        <v>1390</v>
      </c>
      <c r="D80" s="104">
        <v>10.6</v>
      </c>
      <c r="E80" s="104">
        <v>4.2</v>
      </c>
      <c r="F80" s="104">
        <v>7</v>
      </c>
      <c r="G80" s="104">
        <v>10</v>
      </c>
      <c r="H80" s="104">
        <v>14</v>
      </c>
      <c r="J80"/>
      <c r="K80"/>
      <c r="L80"/>
    </row>
    <row r="81" spans="1:12" x14ac:dyDescent="0.3">
      <c r="A81" s="96" t="s">
        <v>1389</v>
      </c>
      <c r="B81" s="96" t="s">
        <v>1388</v>
      </c>
      <c r="C81" s="96" t="s">
        <v>1387</v>
      </c>
      <c r="D81" s="104">
        <v>11.9</v>
      </c>
      <c r="E81" s="104">
        <v>4.2</v>
      </c>
      <c r="F81" s="104">
        <v>9</v>
      </c>
      <c r="G81" s="104">
        <v>11</v>
      </c>
      <c r="H81" s="104">
        <v>15</v>
      </c>
      <c r="J81"/>
      <c r="K81"/>
      <c r="L81"/>
    </row>
    <row r="82" spans="1:12" x14ac:dyDescent="0.3">
      <c r="A82" s="96" t="s">
        <v>1386</v>
      </c>
      <c r="B82" s="96" t="s">
        <v>1385</v>
      </c>
      <c r="C82" s="96" t="s">
        <v>1384</v>
      </c>
      <c r="D82" s="104">
        <v>9.6</v>
      </c>
      <c r="E82" s="104">
        <v>2.8</v>
      </c>
      <c r="F82" s="104">
        <v>8</v>
      </c>
      <c r="G82" s="104">
        <v>9</v>
      </c>
      <c r="H82" s="104">
        <v>11</v>
      </c>
      <c r="J82"/>
      <c r="K82"/>
      <c r="L82"/>
    </row>
    <row r="83" spans="1:12" x14ac:dyDescent="0.3">
      <c r="A83" s="96" t="s">
        <v>1383</v>
      </c>
      <c r="B83" s="96" t="s">
        <v>1382</v>
      </c>
      <c r="C83" s="96" t="s">
        <v>1381</v>
      </c>
      <c r="D83" s="104">
        <v>12.4</v>
      </c>
      <c r="E83" s="104">
        <v>7.1</v>
      </c>
      <c r="F83" s="104">
        <v>8</v>
      </c>
      <c r="G83" s="104">
        <v>11</v>
      </c>
      <c r="H83" s="104">
        <v>16</v>
      </c>
      <c r="J83"/>
      <c r="K83"/>
      <c r="L83"/>
    </row>
    <row r="84" spans="1:12" x14ac:dyDescent="0.3">
      <c r="A84" s="96" t="s">
        <v>1380</v>
      </c>
      <c r="B84" s="96" t="s">
        <v>1379</v>
      </c>
      <c r="C84" s="96" t="s">
        <v>1378</v>
      </c>
      <c r="D84" s="104">
        <v>11.3</v>
      </c>
      <c r="E84" s="104">
        <v>2.9</v>
      </c>
      <c r="F84" s="104">
        <v>8</v>
      </c>
      <c r="G84" s="104">
        <v>11</v>
      </c>
      <c r="H84" s="104">
        <v>15</v>
      </c>
      <c r="J84"/>
      <c r="K84"/>
      <c r="L84"/>
    </row>
    <row r="85" spans="1:12" x14ac:dyDescent="0.3">
      <c r="A85" s="96" t="s">
        <v>1377</v>
      </c>
      <c r="B85" s="96" t="s">
        <v>1376</v>
      </c>
      <c r="C85" s="96" t="s">
        <v>1375</v>
      </c>
      <c r="D85" s="104">
        <v>12.2</v>
      </c>
      <c r="E85" s="104">
        <v>5.4</v>
      </c>
      <c r="F85" s="104">
        <v>9</v>
      </c>
      <c r="G85" s="104">
        <v>11</v>
      </c>
      <c r="H85" s="104">
        <v>16</v>
      </c>
      <c r="J85"/>
      <c r="K85"/>
      <c r="L85"/>
    </row>
    <row r="86" spans="1:12" x14ac:dyDescent="0.3">
      <c r="A86" s="96" t="s">
        <v>1374</v>
      </c>
      <c r="B86" s="96" t="s">
        <v>1373</v>
      </c>
      <c r="C86" s="96" t="s">
        <v>1372</v>
      </c>
      <c r="D86" s="104">
        <v>10.6</v>
      </c>
      <c r="E86" s="104">
        <v>4.8</v>
      </c>
      <c r="F86" s="104">
        <v>8</v>
      </c>
      <c r="G86" s="104">
        <v>10</v>
      </c>
      <c r="H86" s="104">
        <v>14</v>
      </c>
      <c r="J86"/>
      <c r="K86"/>
      <c r="L86"/>
    </row>
    <row r="87" spans="1:12" x14ac:dyDescent="0.3">
      <c r="A87" s="96" t="s">
        <v>1371</v>
      </c>
      <c r="B87" s="96" t="s">
        <v>1370</v>
      </c>
      <c r="C87" s="96" t="s">
        <v>1369</v>
      </c>
      <c r="D87" s="104">
        <v>6.9</v>
      </c>
      <c r="E87" s="104">
        <v>2.2999999999999998</v>
      </c>
      <c r="F87" s="104">
        <v>4</v>
      </c>
      <c r="G87" s="104">
        <v>7</v>
      </c>
      <c r="H87" s="104">
        <v>10</v>
      </c>
      <c r="J87"/>
      <c r="K87"/>
      <c r="L87"/>
    </row>
    <row r="88" spans="1:12" x14ac:dyDescent="0.3">
      <c r="A88" s="96" t="s">
        <v>1368</v>
      </c>
      <c r="B88" s="96" t="s">
        <v>1367</v>
      </c>
      <c r="C88" s="96" t="s">
        <v>1366</v>
      </c>
      <c r="D88" s="104">
        <v>11.4</v>
      </c>
      <c r="E88" s="104">
        <v>5.7</v>
      </c>
      <c r="F88" s="104">
        <v>8</v>
      </c>
      <c r="G88" s="104">
        <v>10</v>
      </c>
      <c r="H88" s="104">
        <v>15</v>
      </c>
      <c r="J88"/>
      <c r="K88"/>
      <c r="L88"/>
    </row>
    <row r="89" spans="1:12" x14ac:dyDescent="0.3">
      <c r="A89" s="96" t="s">
        <v>1365</v>
      </c>
      <c r="B89" s="96" t="s">
        <v>1364</v>
      </c>
      <c r="C89" s="96" t="s">
        <v>1363</v>
      </c>
      <c r="D89" s="104">
        <v>13</v>
      </c>
      <c r="E89" s="104">
        <v>6</v>
      </c>
      <c r="F89" s="104">
        <v>8</v>
      </c>
      <c r="G89" s="104">
        <v>12</v>
      </c>
      <c r="H89" s="104">
        <v>18</v>
      </c>
      <c r="J89"/>
      <c r="K89"/>
      <c r="L89"/>
    </row>
    <row r="90" spans="1:12" x14ac:dyDescent="0.3">
      <c r="A90" s="96" t="s">
        <v>1362</v>
      </c>
      <c r="B90" s="96" t="s">
        <v>1361</v>
      </c>
      <c r="C90" s="96" t="s">
        <v>1360</v>
      </c>
      <c r="D90" s="104">
        <v>8.4</v>
      </c>
      <c r="E90" s="104">
        <v>4</v>
      </c>
      <c r="F90" s="104">
        <v>5</v>
      </c>
      <c r="G90" s="104">
        <v>8</v>
      </c>
      <c r="H90" s="104">
        <v>12</v>
      </c>
      <c r="J90"/>
      <c r="K90"/>
      <c r="L90"/>
    </row>
    <row r="91" spans="1:12" x14ac:dyDescent="0.3">
      <c r="A91" s="96" t="s">
        <v>1359</v>
      </c>
      <c r="B91" s="96" t="s">
        <v>1358</v>
      </c>
      <c r="C91" s="96" t="s">
        <v>1357</v>
      </c>
      <c r="D91" s="104">
        <v>10.1</v>
      </c>
      <c r="E91" s="104">
        <v>2.8</v>
      </c>
      <c r="F91" s="104">
        <v>7</v>
      </c>
      <c r="G91" s="104">
        <v>10</v>
      </c>
      <c r="H91" s="104">
        <v>13</v>
      </c>
      <c r="J91"/>
      <c r="K91"/>
      <c r="L91"/>
    </row>
    <row r="92" spans="1:12" x14ac:dyDescent="0.3">
      <c r="A92" s="96" t="s">
        <v>1356</v>
      </c>
      <c r="B92" s="96" t="s">
        <v>1355</v>
      </c>
      <c r="C92" s="96" t="s">
        <v>1354</v>
      </c>
      <c r="D92" s="104">
        <v>14.2</v>
      </c>
      <c r="E92" s="104">
        <v>5.8</v>
      </c>
      <c r="F92" s="104">
        <v>9</v>
      </c>
      <c r="G92" s="104">
        <v>13</v>
      </c>
      <c r="H92" s="104">
        <v>20</v>
      </c>
      <c r="J92"/>
      <c r="K92"/>
      <c r="L92"/>
    </row>
    <row r="93" spans="1:12" x14ac:dyDescent="0.3">
      <c r="A93" s="96" t="s">
        <v>1353</v>
      </c>
      <c r="B93" s="96" t="s">
        <v>1352</v>
      </c>
      <c r="C93" s="96" t="s">
        <v>1351</v>
      </c>
      <c r="D93" s="104">
        <v>11.3</v>
      </c>
      <c r="E93" s="104">
        <v>2.7</v>
      </c>
      <c r="F93" s="104">
        <v>9</v>
      </c>
      <c r="G93" s="104">
        <v>11</v>
      </c>
      <c r="H93" s="104">
        <v>14</v>
      </c>
      <c r="J93"/>
      <c r="K93"/>
      <c r="L93"/>
    </row>
    <row r="94" spans="1:12" x14ac:dyDescent="0.3">
      <c r="A94" s="96" t="s">
        <v>1350</v>
      </c>
      <c r="B94" s="96" t="s">
        <v>1349</v>
      </c>
      <c r="C94" s="96" t="s">
        <v>1348</v>
      </c>
      <c r="D94" s="104">
        <v>13.9</v>
      </c>
      <c r="E94" s="104">
        <v>5.3</v>
      </c>
      <c r="F94" s="104">
        <v>9</v>
      </c>
      <c r="G94" s="104">
        <v>13</v>
      </c>
      <c r="H94" s="104">
        <v>20</v>
      </c>
      <c r="J94"/>
      <c r="K94"/>
      <c r="L94"/>
    </row>
    <row r="95" spans="1:12" x14ac:dyDescent="0.3">
      <c r="A95" s="96" t="s">
        <v>1347</v>
      </c>
      <c r="B95" s="96" t="s">
        <v>1346</v>
      </c>
      <c r="C95" s="96" t="s">
        <v>1345</v>
      </c>
      <c r="D95" s="104">
        <v>10.199999999999999</v>
      </c>
      <c r="E95" s="104">
        <v>4</v>
      </c>
      <c r="F95" s="104">
        <v>7</v>
      </c>
      <c r="G95" s="104">
        <v>10</v>
      </c>
      <c r="H95" s="104">
        <v>13</v>
      </c>
      <c r="J95"/>
      <c r="K95"/>
      <c r="L95"/>
    </row>
    <row r="96" spans="1:12" x14ac:dyDescent="0.3">
      <c r="A96" s="96" t="s">
        <v>1344</v>
      </c>
      <c r="B96" s="96" t="s">
        <v>1343</v>
      </c>
      <c r="C96" s="96" t="s">
        <v>1342</v>
      </c>
      <c r="D96" s="104">
        <v>10.3</v>
      </c>
      <c r="E96" s="104">
        <v>3.8</v>
      </c>
      <c r="F96" s="104">
        <v>7</v>
      </c>
      <c r="G96" s="104">
        <v>10</v>
      </c>
      <c r="H96" s="104">
        <v>14</v>
      </c>
      <c r="J96"/>
      <c r="K96"/>
      <c r="L96"/>
    </row>
    <row r="97" spans="1:12" x14ac:dyDescent="0.3">
      <c r="A97" s="96" t="s">
        <v>1341</v>
      </c>
      <c r="B97" s="96" t="s">
        <v>1340</v>
      </c>
      <c r="C97" s="96" t="s">
        <v>1339</v>
      </c>
      <c r="D97" s="104">
        <v>5.9</v>
      </c>
      <c r="E97" s="104">
        <v>2.8</v>
      </c>
      <c r="F97" s="104">
        <v>4</v>
      </c>
      <c r="G97" s="104">
        <v>6</v>
      </c>
      <c r="H97" s="104">
        <v>8</v>
      </c>
      <c r="J97"/>
      <c r="K97"/>
      <c r="L97"/>
    </row>
    <row r="98" spans="1:12" x14ac:dyDescent="0.3">
      <c r="A98" s="96" t="s">
        <v>1338</v>
      </c>
      <c r="B98" s="96" t="s">
        <v>1337</v>
      </c>
      <c r="C98" s="96" t="s">
        <v>1336</v>
      </c>
      <c r="D98" s="104">
        <v>10.3</v>
      </c>
      <c r="E98" s="104">
        <v>3.3</v>
      </c>
      <c r="F98" s="104">
        <v>8</v>
      </c>
      <c r="G98" s="104">
        <v>10</v>
      </c>
      <c r="H98" s="104">
        <v>13</v>
      </c>
      <c r="J98"/>
      <c r="K98"/>
      <c r="L98"/>
    </row>
    <row r="99" spans="1:12" x14ac:dyDescent="0.3">
      <c r="A99" s="96" t="s">
        <v>1335</v>
      </c>
      <c r="B99" s="96" t="s">
        <v>1334</v>
      </c>
      <c r="C99" s="96" t="s">
        <v>1333</v>
      </c>
      <c r="D99" s="104">
        <v>16.100000000000001</v>
      </c>
      <c r="E99" s="104">
        <v>6.1</v>
      </c>
      <c r="F99" s="104">
        <v>10</v>
      </c>
      <c r="G99" s="104">
        <v>15</v>
      </c>
      <c r="H99" s="104">
        <v>23</v>
      </c>
      <c r="J99"/>
      <c r="K99"/>
      <c r="L99"/>
    </row>
    <row r="100" spans="1:12" x14ac:dyDescent="0.3">
      <c r="A100" s="96" t="s">
        <v>1332</v>
      </c>
      <c r="B100" s="96" t="s">
        <v>1331</v>
      </c>
      <c r="C100" s="96" t="s">
        <v>1330</v>
      </c>
      <c r="D100" s="104">
        <v>7.2</v>
      </c>
      <c r="E100" s="104">
        <v>3.9</v>
      </c>
      <c r="F100" s="104">
        <v>4</v>
      </c>
      <c r="G100" s="104">
        <v>6</v>
      </c>
      <c r="H100" s="104">
        <v>11</v>
      </c>
      <c r="J100"/>
      <c r="K100"/>
      <c r="L100"/>
    </row>
    <row r="101" spans="1:12" x14ac:dyDescent="0.3">
      <c r="A101" s="96" t="s">
        <v>1329</v>
      </c>
      <c r="B101" s="96" t="s">
        <v>1328</v>
      </c>
      <c r="C101" s="96" t="s">
        <v>1327</v>
      </c>
      <c r="D101" s="104">
        <v>6.6</v>
      </c>
      <c r="E101" s="104">
        <v>2.6</v>
      </c>
      <c r="F101" s="104">
        <v>4</v>
      </c>
      <c r="G101" s="104">
        <v>6</v>
      </c>
      <c r="H101" s="104">
        <v>10</v>
      </c>
      <c r="J101"/>
      <c r="K101"/>
      <c r="L101"/>
    </row>
    <row r="102" spans="1:12" x14ac:dyDescent="0.3">
      <c r="A102" s="96" t="s">
        <v>1326</v>
      </c>
      <c r="B102" s="96" t="s">
        <v>1325</v>
      </c>
      <c r="C102" s="96" t="s">
        <v>1324</v>
      </c>
      <c r="D102" s="104">
        <v>11.6</v>
      </c>
      <c r="E102" s="104">
        <v>3.5</v>
      </c>
      <c r="F102" s="104">
        <v>9</v>
      </c>
      <c r="G102" s="104">
        <v>11</v>
      </c>
      <c r="H102" s="104">
        <v>14</v>
      </c>
      <c r="J102"/>
      <c r="K102"/>
      <c r="L102"/>
    </row>
    <row r="103" spans="1:12" x14ac:dyDescent="0.3">
      <c r="A103" s="96" t="s">
        <v>1323</v>
      </c>
      <c r="B103" s="96" t="s">
        <v>1322</v>
      </c>
      <c r="C103" s="96" t="s">
        <v>1321</v>
      </c>
      <c r="D103" s="104">
        <v>8.6999999999999993</v>
      </c>
      <c r="E103" s="104">
        <v>2.9</v>
      </c>
      <c r="F103" s="104">
        <v>5</v>
      </c>
      <c r="G103" s="104">
        <v>8</v>
      </c>
      <c r="H103" s="104">
        <v>12</v>
      </c>
      <c r="J103"/>
      <c r="K103"/>
      <c r="L103"/>
    </row>
    <row r="104" spans="1:12" x14ac:dyDescent="0.3">
      <c r="A104" s="96" t="s">
        <v>1320</v>
      </c>
      <c r="B104" s="96" t="s">
        <v>1319</v>
      </c>
      <c r="C104" s="96" t="s">
        <v>1318</v>
      </c>
      <c r="D104" s="104">
        <v>10.8</v>
      </c>
      <c r="E104" s="104">
        <v>3.6</v>
      </c>
      <c r="F104" s="104">
        <v>8</v>
      </c>
      <c r="G104" s="104">
        <v>10</v>
      </c>
      <c r="H104" s="104">
        <v>14</v>
      </c>
      <c r="J104"/>
      <c r="K104"/>
      <c r="L104"/>
    </row>
    <row r="105" spans="1:12" x14ac:dyDescent="0.3">
      <c r="A105" s="96" t="s">
        <v>1317</v>
      </c>
      <c r="B105" s="96" t="s">
        <v>5</v>
      </c>
      <c r="C105" s="96" t="s">
        <v>1316</v>
      </c>
      <c r="D105" s="104">
        <v>13.3</v>
      </c>
      <c r="E105" s="104">
        <v>5.6</v>
      </c>
      <c r="F105" s="104">
        <v>9</v>
      </c>
      <c r="G105" s="104">
        <v>12</v>
      </c>
      <c r="H105" s="104">
        <v>18</v>
      </c>
      <c r="J105"/>
      <c r="K105"/>
      <c r="L105"/>
    </row>
    <row r="106" spans="1:12" x14ac:dyDescent="0.3">
      <c r="A106" s="96" t="s">
        <v>1315</v>
      </c>
      <c r="B106" s="96" t="s">
        <v>1314</v>
      </c>
      <c r="C106" s="96" t="s">
        <v>1939</v>
      </c>
      <c r="D106" s="104">
        <v>11.2</v>
      </c>
      <c r="E106" s="104">
        <v>5.3</v>
      </c>
      <c r="F106" s="104">
        <v>7</v>
      </c>
      <c r="G106" s="104">
        <v>10</v>
      </c>
      <c r="H106" s="104">
        <v>16</v>
      </c>
      <c r="J106"/>
      <c r="K106"/>
      <c r="L106"/>
    </row>
    <row r="107" spans="1:12" x14ac:dyDescent="0.3">
      <c r="A107" s="96" t="s">
        <v>1313</v>
      </c>
      <c r="B107" s="96" t="s">
        <v>1312</v>
      </c>
      <c r="C107" s="96" t="s">
        <v>1311</v>
      </c>
      <c r="D107" s="104">
        <v>10.6</v>
      </c>
      <c r="E107" s="104">
        <v>5.5</v>
      </c>
      <c r="F107" s="104">
        <v>7</v>
      </c>
      <c r="G107" s="104">
        <v>10</v>
      </c>
      <c r="H107" s="104">
        <v>13</v>
      </c>
      <c r="J107"/>
      <c r="K107"/>
      <c r="L107"/>
    </row>
    <row r="108" spans="1:12" x14ac:dyDescent="0.3">
      <c r="A108" s="96" t="s">
        <v>1310</v>
      </c>
      <c r="B108" s="96" t="s">
        <v>1309</v>
      </c>
      <c r="C108" s="96" t="s">
        <v>1308</v>
      </c>
      <c r="D108" s="104">
        <v>11.1</v>
      </c>
      <c r="E108" s="104">
        <v>3.8</v>
      </c>
      <c r="F108" s="104">
        <v>7</v>
      </c>
      <c r="G108" s="104">
        <v>11</v>
      </c>
      <c r="H108" s="104">
        <v>15</v>
      </c>
      <c r="J108"/>
      <c r="K108"/>
      <c r="L108"/>
    </row>
    <row r="109" spans="1:12" x14ac:dyDescent="0.3">
      <c r="A109" s="96" t="s">
        <v>1307</v>
      </c>
      <c r="B109" s="96" t="s">
        <v>1306</v>
      </c>
      <c r="C109" s="96" t="s">
        <v>1305</v>
      </c>
      <c r="D109" s="104">
        <v>7.7</v>
      </c>
      <c r="E109" s="104">
        <v>4.5999999999999996</v>
      </c>
      <c r="F109" s="104">
        <v>4</v>
      </c>
      <c r="G109" s="104">
        <v>7</v>
      </c>
      <c r="H109" s="104">
        <v>10</v>
      </c>
      <c r="J109"/>
      <c r="K109"/>
      <c r="L109"/>
    </row>
    <row r="110" spans="1:12" x14ac:dyDescent="0.3">
      <c r="A110" s="96" t="s">
        <v>1304</v>
      </c>
      <c r="B110" s="96" t="s">
        <v>1303</v>
      </c>
      <c r="C110" s="96" t="s">
        <v>1302</v>
      </c>
      <c r="D110" s="104">
        <v>3.4</v>
      </c>
      <c r="E110" s="104">
        <v>2.1</v>
      </c>
      <c r="F110" s="104">
        <v>2</v>
      </c>
      <c r="G110" s="104">
        <v>3</v>
      </c>
      <c r="H110" s="104">
        <v>4</v>
      </c>
      <c r="J110"/>
      <c r="K110"/>
      <c r="L110"/>
    </row>
    <row r="111" spans="1:12" x14ac:dyDescent="0.3">
      <c r="A111" s="96" t="s">
        <v>1301</v>
      </c>
      <c r="B111" s="96" t="s">
        <v>1300</v>
      </c>
      <c r="C111" s="96" t="s">
        <v>1299</v>
      </c>
      <c r="D111" s="104">
        <v>6.5</v>
      </c>
      <c r="E111" s="104">
        <v>6.1</v>
      </c>
      <c r="F111" s="104">
        <v>2</v>
      </c>
      <c r="G111" s="104">
        <v>7</v>
      </c>
      <c r="H111" s="104">
        <v>10</v>
      </c>
      <c r="J111"/>
      <c r="K111"/>
      <c r="L111"/>
    </row>
    <row r="112" spans="1:12" x14ac:dyDescent="0.3">
      <c r="A112" s="96" t="s">
        <v>1298</v>
      </c>
      <c r="B112" s="96" t="s">
        <v>1297</v>
      </c>
      <c r="C112" s="96" t="s">
        <v>1296</v>
      </c>
      <c r="D112" s="104">
        <v>2.2999999999999998</v>
      </c>
      <c r="E112" s="104">
        <v>0.5</v>
      </c>
      <c r="F112" s="104">
        <v>2</v>
      </c>
      <c r="G112" s="104">
        <v>2</v>
      </c>
      <c r="H112" s="104">
        <v>3</v>
      </c>
      <c r="J112"/>
      <c r="K112"/>
      <c r="L112"/>
    </row>
    <row r="113" spans="1:12" x14ac:dyDescent="0.3">
      <c r="A113" s="96" t="s">
        <v>1295</v>
      </c>
      <c r="B113" s="96" t="s">
        <v>1294</v>
      </c>
      <c r="C113" s="96" t="s">
        <v>1293</v>
      </c>
      <c r="D113" s="104">
        <v>3.2</v>
      </c>
      <c r="E113" s="104">
        <v>1.2</v>
      </c>
      <c r="F113" s="104">
        <v>2</v>
      </c>
      <c r="G113" s="104">
        <v>3</v>
      </c>
      <c r="H113" s="104">
        <v>4</v>
      </c>
      <c r="J113"/>
      <c r="K113"/>
      <c r="L113"/>
    </row>
    <row r="114" spans="1:12" x14ac:dyDescent="0.3">
      <c r="A114" s="96" t="s">
        <v>1292</v>
      </c>
      <c r="B114" s="96" t="s">
        <v>1291</v>
      </c>
      <c r="C114" s="96" t="s">
        <v>1290</v>
      </c>
      <c r="D114" s="104">
        <v>5.3</v>
      </c>
      <c r="E114" s="104">
        <v>4.2</v>
      </c>
      <c r="F114" s="104">
        <v>2</v>
      </c>
      <c r="G114" s="104">
        <v>4</v>
      </c>
      <c r="H114" s="104">
        <v>10</v>
      </c>
      <c r="J114"/>
      <c r="K114"/>
      <c r="L114"/>
    </row>
    <row r="115" spans="1:12" x14ac:dyDescent="0.3">
      <c r="A115" s="96" t="s">
        <v>1289</v>
      </c>
      <c r="B115" s="96" t="s">
        <v>1288</v>
      </c>
      <c r="C115" s="96" t="s">
        <v>1287</v>
      </c>
      <c r="D115" s="104">
        <v>9.3000000000000007</v>
      </c>
      <c r="E115" s="104">
        <v>4.8</v>
      </c>
      <c r="F115" s="104">
        <v>6</v>
      </c>
      <c r="G115" s="104">
        <v>9</v>
      </c>
      <c r="H115" s="104">
        <v>13</v>
      </c>
      <c r="J115"/>
      <c r="K115"/>
      <c r="L115"/>
    </row>
    <row r="116" spans="1:12" x14ac:dyDescent="0.3">
      <c r="A116" s="96" t="s">
        <v>1286</v>
      </c>
      <c r="B116" s="96" t="s">
        <v>1285</v>
      </c>
      <c r="C116" s="96" t="s">
        <v>1284</v>
      </c>
      <c r="D116" s="104">
        <v>2.2000000000000002</v>
      </c>
      <c r="E116" s="104">
        <v>0.6</v>
      </c>
      <c r="F116" s="104">
        <v>1</v>
      </c>
      <c r="G116" s="104">
        <v>2</v>
      </c>
      <c r="H116" s="104">
        <v>3</v>
      </c>
      <c r="J116"/>
      <c r="K116"/>
      <c r="L116"/>
    </row>
    <row r="117" spans="1:12" x14ac:dyDescent="0.3">
      <c r="A117" s="96" t="s">
        <v>1283</v>
      </c>
      <c r="B117" s="96" t="s">
        <v>1282</v>
      </c>
      <c r="C117" s="96" t="s">
        <v>1281</v>
      </c>
      <c r="D117" s="104">
        <v>3</v>
      </c>
      <c r="E117" s="104">
        <v>1.1000000000000001</v>
      </c>
      <c r="F117" s="104">
        <v>2</v>
      </c>
      <c r="G117" s="104">
        <v>3</v>
      </c>
      <c r="H117" s="104">
        <v>4</v>
      </c>
      <c r="J117"/>
      <c r="K117"/>
      <c r="L117"/>
    </row>
    <row r="118" spans="1:12" x14ac:dyDescent="0.3">
      <c r="A118" s="96" t="s">
        <v>1280</v>
      </c>
      <c r="B118" s="96" t="s">
        <v>1279</v>
      </c>
      <c r="C118" s="96" t="s">
        <v>1278</v>
      </c>
      <c r="D118" s="104">
        <v>8.1</v>
      </c>
      <c r="E118" s="104">
        <v>4</v>
      </c>
      <c r="F118" s="104">
        <v>5</v>
      </c>
      <c r="G118" s="104">
        <v>7</v>
      </c>
      <c r="H118" s="104">
        <v>11</v>
      </c>
      <c r="J118"/>
      <c r="K118"/>
      <c r="L118"/>
    </row>
    <row r="119" spans="1:12" x14ac:dyDescent="0.3">
      <c r="A119" s="96" t="s">
        <v>1277</v>
      </c>
      <c r="B119" s="96" t="s">
        <v>1276</v>
      </c>
      <c r="C119" s="96" t="s">
        <v>1275</v>
      </c>
      <c r="D119" s="104">
        <v>7</v>
      </c>
      <c r="E119" s="104">
        <v>4.0999999999999996</v>
      </c>
      <c r="F119" s="104">
        <v>4</v>
      </c>
      <c r="G119" s="104">
        <v>5</v>
      </c>
      <c r="H119" s="104">
        <v>12</v>
      </c>
      <c r="J119"/>
      <c r="K119"/>
      <c r="L119"/>
    </row>
    <row r="120" spans="1:12" x14ac:dyDescent="0.3">
      <c r="A120" s="96" t="s">
        <v>1274</v>
      </c>
      <c r="B120" s="96" t="s">
        <v>1273</v>
      </c>
      <c r="C120" s="96" t="s">
        <v>1272</v>
      </c>
      <c r="D120" s="104">
        <v>8.3000000000000007</v>
      </c>
      <c r="E120" s="104">
        <v>5.5</v>
      </c>
      <c r="F120" s="104">
        <v>3</v>
      </c>
      <c r="G120" s="104">
        <v>8</v>
      </c>
      <c r="H120" s="104">
        <v>12</v>
      </c>
      <c r="J120"/>
      <c r="K120"/>
      <c r="L120"/>
    </row>
    <row r="121" spans="1:12" x14ac:dyDescent="0.3">
      <c r="A121" s="96" t="s">
        <v>1271</v>
      </c>
      <c r="B121" s="96" t="s">
        <v>1270</v>
      </c>
      <c r="C121" s="96" t="s">
        <v>1269</v>
      </c>
      <c r="D121" s="104">
        <v>2.8</v>
      </c>
      <c r="E121" s="104">
        <v>1.1000000000000001</v>
      </c>
      <c r="F121" s="104">
        <v>2</v>
      </c>
      <c r="G121" s="104">
        <v>3</v>
      </c>
      <c r="H121" s="104">
        <v>4</v>
      </c>
      <c r="J121"/>
      <c r="K121"/>
      <c r="L121"/>
    </row>
    <row r="122" spans="1:12" x14ac:dyDescent="0.3">
      <c r="A122" s="96" t="s">
        <v>1268</v>
      </c>
      <c r="B122" s="96" t="s">
        <v>1267</v>
      </c>
      <c r="C122" s="96" t="s">
        <v>1266</v>
      </c>
      <c r="D122" s="104">
        <v>11.6</v>
      </c>
      <c r="E122" s="104">
        <v>5.9</v>
      </c>
      <c r="F122" s="104">
        <v>8</v>
      </c>
      <c r="G122" s="104">
        <v>10</v>
      </c>
      <c r="H122" s="104">
        <v>16</v>
      </c>
      <c r="J122"/>
      <c r="K122"/>
      <c r="L122"/>
    </row>
    <row r="123" spans="1:12" x14ac:dyDescent="0.3">
      <c r="A123" s="96" t="s">
        <v>1265</v>
      </c>
      <c r="B123" s="96" t="s">
        <v>1264</v>
      </c>
      <c r="C123" s="96" t="s">
        <v>1263</v>
      </c>
      <c r="D123" s="104">
        <v>7.5</v>
      </c>
      <c r="E123" s="104">
        <v>5.7</v>
      </c>
      <c r="F123" s="104">
        <v>2</v>
      </c>
      <c r="G123" s="104">
        <v>7</v>
      </c>
      <c r="H123" s="104">
        <v>11</v>
      </c>
      <c r="J123"/>
      <c r="K123"/>
      <c r="L123"/>
    </row>
    <row r="124" spans="1:12" x14ac:dyDescent="0.3">
      <c r="A124" s="96" t="s">
        <v>1262</v>
      </c>
      <c r="B124" s="96" t="s">
        <v>1261</v>
      </c>
      <c r="C124" s="96" t="s">
        <v>1260</v>
      </c>
      <c r="D124" s="104">
        <v>3.1</v>
      </c>
      <c r="E124" s="104">
        <v>1.3</v>
      </c>
      <c r="F124" s="104">
        <v>2</v>
      </c>
      <c r="G124" s="104">
        <v>3</v>
      </c>
      <c r="H124" s="104">
        <v>4</v>
      </c>
      <c r="J124"/>
      <c r="K124"/>
      <c r="L124"/>
    </row>
    <row r="125" spans="1:12" x14ac:dyDescent="0.3">
      <c r="A125" s="96" t="s">
        <v>1259</v>
      </c>
      <c r="B125" s="96" t="s">
        <v>1258</v>
      </c>
      <c r="C125" s="96" t="s">
        <v>1257</v>
      </c>
      <c r="D125" s="104">
        <v>3.3</v>
      </c>
      <c r="E125" s="104">
        <v>1.6</v>
      </c>
      <c r="F125" s="104">
        <v>2</v>
      </c>
      <c r="G125" s="104">
        <v>3</v>
      </c>
      <c r="H125" s="104">
        <v>5</v>
      </c>
      <c r="J125"/>
      <c r="K125"/>
      <c r="L125"/>
    </row>
    <row r="126" spans="1:12" x14ac:dyDescent="0.3">
      <c r="A126" s="96" t="s">
        <v>1256</v>
      </c>
      <c r="B126" s="96" t="s">
        <v>1255</v>
      </c>
      <c r="C126" s="96" t="s">
        <v>1254</v>
      </c>
      <c r="D126" s="104">
        <v>2.6</v>
      </c>
      <c r="E126" s="104">
        <v>1.9</v>
      </c>
      <c r="F126" s="104">
        <v>2</v>
      </c>
      <c r="G126" s="104">
        <v>2</v>
      </c>
      <c r="H126" s="104">
        <v>4</v>
      </c>
      <c r="J126"/>
      <c r="K126"/>
      <c r="L126"/>
    </row>
    <row r="127" spans="1:12" x14ac:dyDescent="0.3">
      <c r="A127" s="96" t="s">
        <v>1253</v>
      </c>
      <c r="B127" s="96" t="s">
        <v>1252</v>
      </c>
      <c r="C127" s="96" t="s">
        <v>1251</v>
      </c>
      <c r="D127" s="104">
        <v>7.3</v>
      </c>
      <c r="E127" s="104">
        <v>5.6</v>
      </c>
      <c r="F127" s="104">
        <v>3</v>
      </c>
      <c r="G127" s="104">
        <v>7</v>
      </c>
      <c r="H127" s="104">
        <v>10</v>
      </c>
      <c r="J127"/>
      <c r="K127"/>
      <c r="L127"/>
    </row>
    <row r="128" spans="1:12" x14ac:dyDescent="0.3">
      <c r="A128" s="96" t="s">
        <v>1250</v>
      </c>
      <c r="B128" s="96" t="s">
        <v>1249</v>
      </c>
      <c r="C128" s="96" t="s">
        <v>1248</v>
      </c>
      <c r="D128" s="104">
        <v>4.9000000000000004</v>
      </c>
      <c r="E128" s="104">
        <v>3.7</v>
      </c>
      <c r="F128" s="104">
        <v>2</v>
      </c>
      <c r="G128" s="104">
        <v>4</v>
      </c>
      <c r="H128" s="104">
        <v>10</v>
      </c>
      <c r="J128"/>
      <c r="K128"/>
      <c r="L128"/>
    </row>
    <row r="129" spans="1:12" x14ac:dyDescent="0.3">
      <c r="A129" s="96" t="s">
        <v>1247</v>
      </c>
      <c r="B129" s="96" t="s">
        <v>1246</v>
      </c>
      <c r="C129" s="96" t="s">
        <v>1245</v>
      </c>
      <c r="D129" s="104">
        <v>2.2999999999999998</v>
      </c>
      <c r="E129" s="104">
        <v>0.9</v>
      </c>
      <c r="F129" s="104">
        <v>2</v>
      </c>
      <c r="G129" s="104">
        <v>2</v>
      </c>
      <c r="H129" s="104">
        <v>3</v>
      </c>
      <c r="J129"/>
      <c r="K129"/>
      <c r="L129"/>
    </row>
    <row r="130" spans="1:12" x14ac:dyDescent="0.3">
      <c r="A130" s="96" t="s">
        <v>1244</v>
      </c>
      <c r="B130" s="96" t="s">
        <v>1243</v>
      </c>
      <c r="C130" s="96" t="s">
        <v>1242</v>
      </c>
      <c r="D130" s="104">
        <v>3.1</v>
      </c>
      <c r="E130" s="104">
        <v>2</v>
      </c>
      <c r="F130" s="104">
        <v>2</v>
      </c>
      <c r="G130" s="104">
        <v>3</v>
      </c>
      <c r="H130" s="104">
        <v>4</v>
      </c>
      <c r="J130"/>
      <c r="K130"/>
      <c r="L130"/>
    </row>
    <row r="131" spans="1:12" x14ac:dyDescent="0.3">
      <c r="A131" s="96" t="s">
        <v>1241</v>
      </c>
      <c r="B131" s="96" t="s">
        <v>1240</v>
      </c>
      <c r="C131" s="96" t="s">
        <v>1239</v>
      </c>
      <c r="D131" s="104">
        <v>7</v>
      </c>
      <c r="E131" s="104">
        <v>2.9</v>
      </c>
      <c r="F131" s="104">
        <v>5</v>
      </c>
      <c r="G131" s="104">
        <v>7</v>
      </c>
      <c r="H131" s="104">
        <v>9</v>
      </c>
      <c r="J131"/>
      <c r="K131"/>
      <c r="L131"/>
    </row>
    <row r="132" spans="1:12" x14ac:dyDescent="0.3">
      <c r="A132" s="96" t="s">
        <v>1238</v>
      </c>
      <c r="B132" s="96" t="s">
        <v>1237</v>
      </c>
      <c r="C132" s="96" t="s">
        <v>1236</v>
      </c>
      <c r="D132" s="104">
        <v>2.2000000000000002</v>
      </c>
      <c r="E132" s="104">
        <v>0.7</v>
      </c>
      <c r="F132" s="104">
        <v>2</v>
      </c>
      <c r="G132" s="104">
        <v>2</v>
      </c>
      <c r="H132" s="104">
        <v>3</v>
      </c>
      <c r="J132"/>
      <c r="K132"/>
      <c r="L132"/>
    </row>
    <row r="133" spans="1:12" x14ac:dyDescent="0.3">
      <c r="A133" s="96" t="s">
        <v>1235</v>
      </c>
      <c r="B133" s="96" t="s">
        <v>1234</v>
      </c>
      <c r="C133" s="96" t="s">
        <v>1233</v>
      </c>
      <c r="D133" s="104">
        <v>2.1</v>
      </c>
      <c r="E133" s="104">
        <v>0.8</v>
      </c>
      <c r="F133" s="104">
        <v>1</v>
      </c>
      <c r="G133" s="104">
        <v>2</v>
      </c>
      <c r="H133" s="104">
        <v>3</v>
      </c>
      <c r="J133"/>
      <c r="K133"/>
      <c r="L133"/>
    </row>
    <row r="134" spans="1:12" x14ac:dyDescent="0.3">
      <c r="A134" s="96" t="s">
        <v>1232</v>
      </c>
      <c r="B134" s="96" t="s">
        <v>1231</v>
      </c>
      <c r="C134" s="96" t="s">
        <v>1230</v>
      </c>
      <c r="D134" s="104">
        <v>2.1</v>
      </c>
      <c r="E134" s="104">
        <v>1.3</v>
      </c>
      <c r="F134" s="104">
        <v>1</v>
      </c>
      <c r="G134" s="104">
        <v>2</v>
      </c>
      <c r="H134" s="104">
        <v>3</v>
      </c>
      <c r="J134"/>
      <c r="K134"/>
      <c r="L134"/>
    </row>
    <row r="135" spans="1:12" x14ac:dyDescent="0.3">
      <c r="A135" s="96" t="s">
        <v>1229</v>
      </c>
      <c r="B135" s="96" t="s">
        <v>1228</v>
      </c>
      <c r="C135" s="96" t="s">
        <v>1227</v>
      </c>
      <c r="D135" s="104">
        <v>2.7</v>
      </c>
      <c r="E135" s="104">
        <v>0.8</v>
      </c>
      <c r="F135" s="104">
        <v>2</v>
      </c>
      <c r="G135" s="104">
        <v>3</v>
      </c>
      <c r="H135" s="104">
        <v>4</v>
      </c>
      <c r="J135"/>
      <c r="K135"/>
      <c r="L135"/>
    </row>
    <row r="136" spans="1:12" x14ac:dyDescent="0.3">
      <c r="A136" s="96" t="s">
        <v>1226</v>
      </c>
      <c r="B136" s="96" t="s">
        <v>1225</v>
      </c>
      <c r="C136" s="96" t="s">
        <v>1224</v>
      </c>
      <c r="D136" s="104">
        <v>2.8</v>
      </c>
      <c r="E136" s="104">
        <v>0.8</v>
      </c>
      <c r="F136" s="104">
        <v>2</v>
      </c>
      <c r="G136" s="104">
        <v>3</v>
      </c>
      <c r="H136" s="104">
        <v>4</v>
      </c>
      <c r="J136"/>
      <c r="K136"/>
      <c r="L136"/>
    </row>
    <row r="137" spans="1:12" x14ac:dyDescent="0.3">
      <c r="A137" s="96" t="s">
        <v>1223</v>
      </c>
      <c r="B137" s="96" t="s">
        <v>1222</v>
      </c>
      <c r="C137" s="96" t="s">
        <v>1221</v>
      </c>
      <c r="D137" s="104">
        <v>2.7</v>
      </c>
      <c r="E137" s="104">
        <v>0.8</v>
      </c>
      <c r="F137" s="104">
        <v>2</v>
      </c>
      <c r="G137" s="104">
        <v>3</v>
      </c>
      <c r="H137" s="104">
        <v>4</v>
      </c>
      <c r="J137"/>
      <c r="K137"/>
      <c r="L137"/>
    </row>
    <row r="138" spans="1:12" x14ac:dyDescent="0.3">
      <c r="A138" s="96" t="s">
        <v>1220</v>
      </c>
      <c r="B138" s="96" t="s">
        <v>1219</v>
      </c>
      <c r="C138" s="96" t="s">
        <v>1218</v>
      </c>
      <c r="D138" s="104">
        <v>5.7</v>
      </c>
      <c r="E138" s="104">
        <v>3.4</v>
      </c>
      <c r="F138" s="104">
        <v>3</v>
      </c>
      <c r="G138" s="104">
        <v>5</v>
      </c>
      <c r="H138" s="104">
        <v>10</v>
      </c>
      <c r="J138"/>
      <c r="K138"/>
      <c r="L138"/>
    </row>
    <row r="139" spans="1:12" x14ac:dyDescent="0.3">
      <c r="A139" s="96" t="s">
        <v>1217</v>
      </c>
      <c r="B139" s="96" t="s">
        <v>1216</v>
      </c>
      <c r="C139" s="96" t="s">
        <v>1215</v>
      </c>
      <c r="D139" s="104">
        <v>2.5</v>
      </c>
      <c r="E139" s="104">
        <v>1.9</v>
      </c>
      <c r="F139" s="104">
        <v>2</v>
      </c>
      <c r="G139" s="104">
        <v>2</v>
      </c>
      <c r="H139" s="104">
        <v>3</v>
      </c>
      <c r="J139"/>
      <c r="K139"/>
      <c r="L139"/>
    </row>
    <row r="140" spans="1:12" x14ac:dyDescent="0.3">
      <c r="A140" s="96" t="s">
        <v>1214</v>
      </c>
      <c r="B140" s="96" t="s">
        <v>1213</v>
      </c>
      <c r="C140" s="96" t="s">
        <v>1212</v>
      </c>
      <c r="D140" s="104">
        <v>2.7</v>
      </c>
      <c r="E140" s="104">
        <v>1.1000000000000001</v>
      </c>
      <c r="F140" s="104">
        <v>2</v>
      </c>
      <c r="G140" s="104">
        <v>3</v>
      </c>
      <c r="H140" s="104">
        <v>4</v>
      </c>
      <c r="J140"/>
      <c r="K140"/>
      <c r="L140"/>
    </row>
    <row r="141" spans="1:12" x14ac:dyDescent="0.3">
      <c r="A141" s="96" t="s">
        <v>1211</v>
      </c>
      <c r="B141" s="96" t="s">
        <v>1210</v>
      </c>
      <c r="C141" s="96" t="s">
        <v>1209</v>
      </c>
      <c r="D141" s="104">
        <v>2.2999999999999998</v>
      </c>
      <c r="E141" s="104">
        <v>1</v>
      </c>
      <c r="F141" s="104">
        <v>1</v>
      </c>
      <c r="G141" s="104">
        <v>2</v>
      </c>
      <c r="H141" s="104">
        <v>4</v>
      </c>
      <c r="J141"/>
      <c r="K141"/>
      <c r="L141"/>
    </row>
    <row r="142" spans="1:12" x14ac:dyDescent="0.3">
      <c r="A142" s="96" t="s">
        <v>1208</v>
      </c>
      <c r="B142" s="96" t="s">
        <v>1207</v>
      </c>
      <c r="C142" s="96" t="s">
        <v>1206</v>
      </c>
      <c r="D142" s="104">
        <v>2.2999999999999998</v>
      </c>
      <c r="E142" s="104">
        <v>1.1000000000000001</v>
      </c>
      <c r="F142" s="104">
        <v>1</v>
      </c>
      <c r="G142" s="104">
        <v>2</v>
      </c>
      <c r="H142" s="104">
        <v>3</v>
      </c>
      <c r="J142"/>
      <c r="K142"/>
      <c r="L142"/>
    </row>
    <row r="143" spans="1:12" x14ac:dyDescent="0.3">
      <c r="A143" s="96" t="s">
        <v>1205</v>
      </c>
      <c r="B143" s="96" t="s">
        <v>1204</v>
      </c>
      <c r="C143" s="96" t="s">
        <v>1203</v>
      </c>
      <c r="D143" s="104">
        <v>2.4</v>
      </c>
      <c r="E143" s="104">
        <v>0.7</v>
      </c>
      <c r="F143" s="104">
        <v>2</v>
      </c>
      <c r="G143" s="104">
        <v>2</v>
      </c>
      <c r="H143" s="104">
        <v>3</v>
      </c>
      <c r="J143"/>
      <c r="K143"/>
      <c r="L143"/>
    </row>
    <row r="144" spans="1:12" x14ac:dyDescent="0.3">
      <c r="A144" s="96" t="s">
        <v>1202</v>
      </c>
      <c r="B144" s="96" t="s">
        <v>1201</v>
      </c>
      <c r="C144" s="96" t="s">
        <v>1200</v>
      </c>
      <c r="D144" s="104">
        <v>2.9</v>
      </c>
      <c r="E144" s="104">
        <v>0.9</v>
      </c>
      <c r="F144" s="104">
        <v>2</v>
      </c>
      <c r="G144" s="104">
        <v>3</v>
      </c>
      <c r="H144" s="104">
        <v>4</v>
      </c>
      <c r="J144"/>
      <c r="K144"/>
      <c r="L144"/>
    </row>
    <row r="145" spans="1:12" x14ac:dyDescent="0.3">
      <c r="A145" s="96" t="s">
        <v>1199</v>
      </c>
      <c r="B145" s="96" t="s">
        <v>1198</v>
      </c>
      <c r="C145" s="96" t="s">
        <v>1197</v>
      </c>
      <c r="D145" s="104">
        <v>2.8</v>
      </c>
      <c r="E145" s="104">
        <v>1.8</v>
      </c>
      <c r="F145" s="104">
        <v>2</v>
      </c>
      <c r="G145" s="104">
        <v>2</v>
      </c>
      <c r="H145" s="104">
        <v>4</v>
      </c>
      <c r="J145"/>
      <c r="K145"/>
      <c r="L145"/>
    </row>
    <row r="146" spans="1:12" x14ac:dyDescent="0.3">
      <c r="A146" s="96" t="s">
        <v>1196</v>
      </c>
      <c r="B146" s="96" t="s">
        <v>1195</v>
      </c>
      <c r="C146" s="96" t="s">
        <v>1194</v>
      </c>
      <c r="D146" s="104">
        <v>7</v>
      </c>
      <c r="E146" s="104">
        <v>5.0999999999999996</v>
      </c>
      <c r="F146" s="104">
        <v>2</v>
      </c>
      <c r="G146" s="104">
        <v>7</v>
      </c>
      <c r="H146" s="104">
        <v>11</v>
      </c>
      <c r="J146"/>
      <c r="K146"/>
      <c r="L146"/>
    </row>
    <row r="147" spans="1:12" x14ac:dyDescent="0.3">
      <c r="A147" s="96" t="s">
        <v>1193</v>
      </c>
      <c r="B147" s="96" t="s">
        <v>1192</v>
      </c>
      <c r="C147" s="96" t="s">
        <v>1191</v>
      </c>
      <c r="D147" s="104">
        <v>10</v>
      </c>
      <c r="E147" s="104">
        <v>4.2</v>
      </c>
      <c r="F147" s="104">
        <v>5</v>
      </c>
      <c r="G147" s="104">
        <v>10</v>
      </c>
      <c r="H147" s="104">
        <v>14</v>
      </c>
      <c r="J147"/>
      <c r="K147"/>
      <c r="L147"/>
    </row>
    <row r="148" spans="1:12" x14ac:dyDescent="0.3">
      <c r="A148" s="96" t="s">
        <v>1190</v>
      </c>
      <c r="B148" s="96" t="s">
        <v>1189</v>
      </c>
      <c r="C148" s="96" t="s">
        <v>1188</v>
      </c>
      <c r="D148" s="104">
        <v>7.9</v>
      </c>
      <c r="E148" s="104">
        <v>4.9000000000000004</v>
      </c>
      <c r="F148" s="104">
        <v>3</v>
      </c>
      <c r="G148" s="104">
        <v>8</v>
      </c>
      <c r="H148" s="104">
        <v>11</v>
      </c>
      <c r="J148"/>
      <c r="K148"/>
      <c r="L148"/>
    </row>
    <row r="149" spans="1:12" x14ac:dyDescent="0.3">
      <c r="A149" s="96" t="s">
        <v>1187</v>
      </c>
      <c r="B149" s="96" t="s">
        <v>1186</v>
      </c>
      <c r="C149" s="96" t="s">
        <v>1185</v>
      </c>
      <c r="D149" s="104">
        <v>3</v>
      </c>
      <c r="E149" s="104">
        <v>1.2</v>
      </c>
      <c r="F149" s="104">
        <v>2</v>
      </c>
      <c r="G149" s="104">
        <v>3</v>
      </c>
      <c r="H149" s="104">
        <v>4</v>
      </c>
      <c r="J149"/>
      <c r="K149"/>
      <c r="L149"/>
    </row>
    <row r="150" spans="1:12" x14ac:dyDescent="0.3">
      <c r="A150" s="96" t="s">
        <v>1184</v>
      </c>
      <c r="B150" s="96" t="s">
        <v>1183</v>
      </c>
      <c r="C150" s="96" t="s">
        <v>1182</v>
      </c>
      <c r="D150" s="104">
        <v>9.8000000000000007</v>
      </c>
      <c r="E150" s="104">
        <v>5.2</v>
      </c>
      <c r="F150" s="104">
        <v>7</v>
      </c>
      <c r="G150" s="104">
        <v>9</v>
      </c>
      <c r="H150" s="104">
        <v>12</v>
      </c>
      <c r="J150"/>
      <c r="K150"/>
      <c r="L150"/>
    </row>
    <row r="151" spans="1:12" x14ac:dyDescent="0.3">
      <c r="A151" s="96" t="s">
        <v>1181</v>
      </c>
      <c r="B151" s="96" t="s">
        <v>1180</v>
      </c>
      <c r="C151" s="96" t="s">
        <v>1179</v>
      </c>
      <c r="D151" s="104">
        <v>10.4</v>
      </c>
      <c r="E151" s="104">
        <v>2.6</v>
      </c>
      <c r="F151" s="104">
        <v>8</v>
      </c>
      <c r="G151" s="104">
        <v>10</v>
      </c>
      <c r="H151" s="104">
        <v>13</v>
      </c>
      <c r="J151"/>
      <c r="K151"/>
      <c r="L151"/>
    </row>
    <row r="152" spans="1:12" x14ac:dyDescent="0.3">
      <c r="A152" s="96" t="s">
        <v>1178</v>
      </c>
      <c r="B152" s="96" t="s">
        <v>1177</v>
      </c>
      <c r="C152" s="96" t="s">
        <v>1176</v>
      </c>
      <c r="D152" s="104">
        <v>10.6</v>
      </c>
      <c r="E152" s="104">
        <v>3.6</v>
      </c>
      <c r="F152" s="104">
        <v>7</v>
      </c>
      <c r="G152" s="104">
        <v>10</v>
      </c>
      <c r="H152" s="104">
        <v>14</v>
      </c>
      <c r="J152"/>
      <c r="K152"/>
      <c r="L152"/>
    </row>
    <row r="153" spans="1:12" x14ac:dyDescent="0.3">
      <c r="A153" s="96" t="s">
        <v>1175</v>
      </c>
      <c r="B153" s="96" t="s">
        <v>1174</v>
      </c>
      <c r="C153" s="96" t="s">
        <v>1173</v>
      </c>
      <c r="D153" s="104">
        <v>11.3</v>
      </c>
      <c r="E153" s="104">
        <v>4.2</v>
      </c>
      <c r="F153" s="104">
        <v>7</v>
      </c>
      <c r="G153" s="104">
        <v>11</v>
      </c>
      <c r="H153" s="104">
        <v>15</v>
      </c>
      <c r="J153"/>
      <c r="K153"/>
      <c r="L153"/>
    </row>
    <row r="154" spans="1:12" x14ac:dyDescent="0.3">
      <c r="A154" s="96" t="s">
        <v>1172</v>
      </c>
      <c r="B154" s="96" t="s">
        <v>1171</v>
      </c>
      <c r="C154" s="96" t="s">
        <v>1170</v>
      </c>
      <c r="D154" s="104">
        <v>11.3</v>
      </c>
      <c r="E154" s="104">
        <v>3.4</v>
      </c>
      <c r="F154" s="104">
        <v>8</v>
      </c>
      <c r="G154" s="104">
        <v>11</v>
      </c>
      <c r="H154" s="104">
        <v>15</v>
      </c>
      <c r="J154"/>
      <c r="K154"/>
      <c r="L154"/>
    </row>
    <row r="155" spans="1:12" x14ac:dyDescent="0.3">
      <c r="A155" s="96" t="s">
        <v>1169</v>
      </c>
      <c r="B155" s="96" t="s">
        <v>1168</v>
      </c>
      <c r="C155" s="96" t="s">
        <v>1167</v>
      </c>
      <c r="D155" s="104">
        <v>7.4</v>
      </c>
      <c r="E155" s="104">
        <v>2.9</v>
      </c>
      <c r="F155" s="104">
        <v>4</v>
      </c>
      <c r="G155" s="104">
        <v>7</v>
      </c>
      <c r="H155" s="104">
        <v>11</v>
      </c>
      <c r="J155"/>
      <c r="K155"/>
      <c r="L155"/>
    </row>
    <row r="156" spans="1:12" x14ac:dyDescent="0.3">
      <c r="A156" s="96" t="s">
        <v>1166</v>
      </c>
      <c r="B156" s="96" t="s">
        <v>1165</v>
      </c>
      <c r="C156" s="96" t="s">
        <v>1164</v>
      </c>
      <c r="D156" s="104">
        <v>10.199999999999999</v>
      </c>
      <c r="E156" s="104">
        <v>3.1</v>
      </c>
      <c r="F156" s="104">
        <v>8</v>
      </c>
      <c r="G156" s="104">
        <v>10</v>
      </c>
      <c r="H156" s="104">
        <v>13</v>
      </c>
      <c r="J156"/>
      <c r="K156"/>
      <c r="L156"/>
    </row>
    <row r="157" spans="1:12" x14ac:dyDescent="0.3">
      <c r="A157" s="96" t="s">
        <v>1163</v>
      </c>
      <c r="B157" s="96" t="s">
        <v>1162</v>
      </c>
      <c r="C157" s="96" t="s">
        <v>1161</v>
      </c>
      <c r="D157" s="104">
        <v>10.4</v>
      </c>
      <c r="E157" s="104">
        <v>3.2</v>
      </c>
      <c r="F157" s="104">
        <v>7</v>
      </c>
      <c r="G157" s="104">
        <v>10</v>
      </c>
      <c r="H157" s="104">
        <v>14</v>
      </c>
      <c r="J157"/>
      <c r="K157"/>
      <c r="L157"/>
    </row>
    <row r="158" spans="1:12" x14ac:dyDescent="0.3">
      <c r="A158" s="96" t="s">
        <v>1160</v>
      </c>
      <c r="B158" s="96" t="s">
        <v>1159</v>
      </c>
      <c r="C158" s="96" t="s">
        <v>1158</v>
      </c>
      <c r="D158" s="104">
        <v>10.9</v>
      </c>
      <c r="E158" s="104">
        <v>3.1</v>
      </c>
      <c r="F158" s="104">
        <v>8</v>
      </c>
      <c r="G158" s="104">
        <v>10</v>
      </c>
      <c r="H158" s="104">
        <v>15</v>
      </c>
      <c r="J158"/>
      <c r="K158"/>
      <c r="L158"/>
    </row>
    <row r="159" spans="1:12" x14ac:dyDescent="0.3">
      <c r="A159" s="96" t="s">
        <v>1157</v>
      </c>
      <c r="B159" s="96" t="s">
        <v>1156</v>
      </c>
      <c r="C159" s="96" t="s">
        <v>1155</v>
      </c>
      <c r="D159" s="104">
        <v>8</v>
      </c>
      <c r="E159" s="104">
        <v>2.8</v>
      </c>
      <c r="F159" s="104">
        <v>5</v>
      </c>
      <c r="G159" s="104">
        <v>8</v>
      </c>
      <c r="H159" s="104">
        <v>11</v>
      </c>
      <c r="J159"/>
      <c r="K159"/>
      <c r="L159"/>
    </row>
    <row r="160" spans="1:12" x14ac:dyDescent="0.3">
      <c r="A160" s="96" t="s">
        <v>1154</v>
      </c>
      <c r="B160" s="96" t="s">
        <v>1153</v>
      </c>
      <c r="C160" s="96" t="s">
        <v>1152</v>
      </c>
      <c r="D160" s="104">
        <v>14</v>
      </c>
      <c r="E160" s="104">
        <v>5</v>
      </c>
      <c r="F160" s="104">
        <v>9</v>
      </c>
      <c r="G160" s="104">
        <v>13</v>
      </c>
      <c r="H160" s="104">
        <v>20</v>
      </c>
      <c r="J160"/>
      <c r="K160"/>
      <c r="L160"/>
    </row>
    <row r="161" spans="1:12" x14ac:dyDescent="0.3">
      <c r="A161" s="96" t="s">
        <v>1151</v>
      </c>
      <c r="B161" s="96" t="s">
        <v>1150</v>
      </c>
      <c r="C161" s="96" t="s">
        <v>1149</v>
      </c>
      <c r="D161" s="104">
        <v>10.4</v>
      </c>
      <c r="E161" s="104">
        <v>3.2</v>
      </c>
      <c r="F161" s="104">
        <v>7</v>
      </c>
      <c r="G161" s="104">
        <v>10</v>
      </c>
      <c r="H161" s="104">
        <v>14</v>
      </c>
      <c r="J161"/>
      <c r="K161"/>
      <c r="L161"/>
    </row>
    <row r="162" spans="1:12" x14ac:dyDescent="0.3">
      <c r="A162" s="96" t="s">
        <v>1148</v>
      </c>
      <c r="B162" s="96" t="s">
        <v>1147</v>
      </c>
      <c r="C162" s="96" t="s">
        <v>1940</v>
      </c>
      <c r="D162" s="104">
        <v>8.4</v>
      </c>
      <c r="E162" s="104">
        <v>3.2</v>
      </c>
      <c r="F162" s="104">
        <v>4</v>
      </c>
      <c r="G162" s="104">
        <v>8</v>
      </c>
      <c r="H162" s="104">
        <v>13</v>
      </c>
      <c r="J162"/>
      <c r="K162"/>
      <c r="L162"/>
    </row>
    <row r="163" spans="1:12" x14ac:dyDescent="0.3">
      <c r="A163" s="96" t="s">
        <v>1146</v>
      </c>
      <c r="B163" s="96" t="s">
        <v>1145</v>
      </c>
      <c r="C163" s="96" t="s">
        <v>1144</v>
      </c>
      <c r="D163" s="104">
        <v>3.9</v>
      </c>
      <c r="E163" s="104">
        <v>2.5</v>
      </c>
      <c r="F163" s="104">
        <v>2</v>
      </c>
      <c r="G163" s="104">
        <v>3</v>
      </c>
      <c r="H163" s="104">
        <v>7</v>
      </c>
      <c r="J163"/>
      <c r="K163"/>
      <c r="L163"/>
    </row>
    <row r="164" spans="1:12" x14ac:dyDescent="0.3">
      <c r="A164" s="96" t="s">
        <v>1143</v>
      </c>
      <c r="B164" s="96" t="s">
        <v>1142</v>
      </c>
      <c r="C164" s="96" t="s">
        <v>1141</v>
      </c>
      <c r="D164" s="104">
        <v>10</v>
      </c>
      <c r="E164" s="104">
        <v>3.8</v>
      </c>
      <c r="F164" s="104">
        <v>7</v>
      </c>
      <c r="G164" s="104">
        <v>10</v>
      </c>
      <c r="H164" s="104">
        <v>13</v>
      </c>
      <c r="J164"/>
      <c r="K164"/>
      <c r="L164"/>
    </row>
    <row r="165" spans="1:12" x14ac:dyDescent="0.3">
      <c r="A165" s="96" t="s">
        <v>1140</v>
      </c>
      <c r="B165" s="96" t="s">
        <v>1139</v>
      </c>
      <c r="C165" s="96" t="s">
        <v>1138</v>
      </c>
      <c r="D165" s="104">
        <v>10.6</v>
      </c>
      <c r="E165" s="104">
        <v>7.2</v>
      </c>
      <c r="F165" s="104">
        <v>7</v>
      </c>
      <c r="G165" s="104">
        <v>10</v>
      </c>
      <c r="H165" s="104">
        <v>13</v>
      </c>
      <c r="J165"/>
      <c r="K165"/>
      <c r="L165"/>
    </row>
    <row r="166" spans="1:12" x14ac:dyDescent="0.3">
      <c r="A166" s="96" t="s">
        <v>1137</v>
      </c>
      <c r="B166" s="96" t="s">
        <v>1136</v>
      </c>
      <c r="C166" s="96" t="s">
        <v>1135</v>
      </c>
      <c r="D166" s="104">
        <v>8.8000000000000007</v>
      </c>
      <c r="E166" s="104">
        <v>3.1</v>
      </c>
      <c r="F166" s="104">
        <v>6</v>
      </c>
      <c r="G166" s="104">
        <v>9</v>
      </c>
      <c r="H166" s="104">
        <v>12</v>
      </c>
      <c r="J166"/>
      <c r="K166"/>
      <c r="L166"/>
    </row>
    <row r="167" spans="1:12" x14ac:dyDescent="0.3">
      <c r="A167" s="96" t="s">
        <v>1134</v>
      </c>
      <c r="B167" s="96" t="s">
        <v>1133</v>
      </c>
      <c r="C167" s="96" t="s">
        <v>1132</v>
      </c>
      <c r="D167" s="104">
        <v>6.3</v>
      </c>
      <c r="E167" s="104">
        <v>2.2999999999999998</v>
      </c>
      <c r="F167" s="104">
        <v>4</v>
      </c>
      <c r="G167" s="104">
        <v>6</v>
      </c>
      <c r="H167" s="104">
        <v>10</v>
      </c>
      <c r="J167"/>
      <c r="K167"/>
      <c r="L167"/>
    </row>
    <row r="168" spans="1:12" x14ac:dyDescent="0.3">
      <c r="A168" s="96" t="s">
        <v>1941</v>
      </c>
      <c r="B168" s="96" t="s">
        <v>1942</v>
      </c>
      <c r="C168" s="96" t="s">
        <v>1943</v>
      </c>
      <c r="D168" s="104">
        <v>6.8</v>
      </c>
      <c r="E168" s="104">
        <v>1.7</v>
      </c>
      <c r="F168" s="104">
        <v>5</v>
      </c>
      <c r="G168" s="104">
        <v>7</v>
      </c>
      <c r="H168" s="104">
        <v>9</v>
      </c>
      <c r="J168"/>
      <c r="K168"/>
      <c r="L168"/>
    </row>
    <row r="169" spans="1:12" x14ac:dyDescent="0.3">
      <c r="A169" s="96" t="s">
        <v>1131</v>
      </c>
      <c r="B169" s="96" t="s">
        <v>1130</v>
      </c>
      <c r="C169" s="96" t="s">
        <v>1129</v>
      </c>
      <c r="D169" s="104">
        <v>7</v>
      </c>
      <c r="E169" s="104">
        <v>5.9</v>
      </c>
      <c r="F169" s="104">
        <v>4</v>
      </c>
      <c r="G169" s="104">
        <v>5</v>
      </c>
      <c r="H169" s="104">
        <v>14</v>
      </c>
      <c r="J169"/>
      <c r="K169"/>
      <c r="L169"/>
    </row>
    <row r="170" spans="1:12" x14ac:dyDescent="0.3">
      <c r="A170" s="96" t="s">
        <v>1128</v>
      </c>
      <c r="B170" s="96" t="s">
        <v>1127</v>
      </c>
      <c r="C170" s="96" t="s">
        <v>1126</v>
      </c>
      <c r="D170" s="104">
        <v>5.2</v>
      </c>
      <c r="E170" s="104">
        <v>2.6</v>
      </c>
      <c r="F170" s="104">
        <v>3</v>
      </c>
      <c r="G170" s="104">
        <v>5</v>
      </c>
      <c r="H170" s="104">
        <v>8</v>
      </c>
      <c r="J170"/>
      <c r="K170"/>
      <c r="L170"/>
    </row>
    <row r="171" spans="1:12" x14ac:dyDescent="0.3">
      <c r="A171" s="96" t="s">
        <v>1125</v>
      </c>
      <c r="B171" s="96" t="s">
        <v>1124</v>
      </c>
      <c r="C171" s="96" t="s">
        <v>1123</v>
      </c>
      <c r="D171" s="104">
        <v>9.1</v>
      </c>
      <c r="E171" s="104">
        <v>2.5</v>
      </c>
      <c r="F171" s="104">
        <v>7</v>
      </c>
      <c r="G171" s="104">
        <v>9</v>
      </c>
      <c r="H171" s="104">
        <v>11</v>
      </c>
      <c r="J171"/>
      <c r="K171"/>
      <c r="L171"/>
    </row>
    <row r="172" spans="1:12" x14ac:dyDescent="0.3">
      <c r="A172" s="96" t="s">
        <v>1122</v>
      </c>
      <c r="B172" s="96" t="s">
        <v>1121</v>
      </c>
      <c r="C172" s="96" t="s">
        <v>1120</v>
      </c>
      <c r="D172" s="104">
        <v>5.4</v>
      </c>
      <c r="E172" s="104">
        <v>2.1</v>
      </c>
      <c r="F172" s="104">
        <v>3</v>
      </c>
      <c r="G172" s="104">
        <v>5</v>
      </c>
      <c r="H172" s="104">
        <v>8</v>
      </c>
      <c r="J172"/>
      <c r="K172"/>
      <c r="L172"/>
    </row>
    <row r="173" spans="1:12" x14ac:dyDescent="0.3">
      <c r="A173" s="96" t="s">
        <v>1944</v>
      </c>
      <c r="B173" s="96" t="s">
        <v>1945</v>
      </c>
      <c r="C173" s="96" t="s">
        <v>1946</v>
      </c>
      <c r="D173" s="104">
        <v>5.8</v>
      </c>
      <c r="E173" s="104">
        <v>5.8</v>
      </c>
      <c r="F173" s="104">
        <v>3</v>
      </c>
      <c r="G173" s="104">
        <v>5</v>
      </c>
      <c r="H173" s="104">
        <v>8</v>
      </c>
      <c r="J173"/>
      <c r="K173"/>
      <c r="L173"/>
    </row>
    <row r="174" spans="1:12" x14ac:dyDescent="0.3">
      <c r="A174" s="96" t="s">
        <v>1119</v>
      </c>
      <c r="B174" s="96" t="s">
        <v>1118</v>
      </c>
      <c r="C174" s="96" t="s">
        <v>1947</v>
      </c>
      <c r="D174" s="104">
        <v>6.8</v>
      </c>
      <c r="E174" s="104">
        <v>3</v>
      </c>
      <c r="F174" s="104">
        <v>4</v>
      </c>
      <c r="G174" s="104">
        <v>6</v>
      </c>
      <c r="H174" s="104">
        <v>11</v>
      </c>
      <c r="J174"/>
      <c r="K174"/>
      <c r="L174"/>
    </row>
    <row r="175" spans="1:12" x14ac:dyDescent="0.3">
      <c r="A175" s="96" t="s">
        <v>1117</v>
      </c>
      <c r="B175" s="96" t="s">
        <v>1116</v>
      </c>
      <c r="C175" s="96" t="s">
        <v>1115</v>
      </c>
      <c r="D175" s="104">
        <v>9</v>
      </c>
      <c r="E175" s="104">
        <v>3.6</v>
      </c>
      <c r="F175" s="104">
        <v>6</v>
      </c>
      <c r="G175" s="104">
        <v>8</v>
      </c>
      <c r="H175" s="104">
        <v>12</v>
      </c>
      <c r="J175"/>
      <c r="K175"/>
      <c r="L175"/>
    </row>
    <row r="176" spans="1:12" x14ac:dyDescent="0.3">
      <c r="A176" s="96" t="s">
        <v>1114</v>
      </c>
      <c r="B176" s="96" t="s">
        <v>1113</v>
      </c>
      <c r="C176" s="96" t="s">
        <v>1112</v>
      </c>
      <c r="D176" s="104">
        <v>11.2</v>
      </c>
      <c r="E176" s="104">
        <v>4.5</v>
      </c>
      <c r="F176" s="104">
        <v>8</v>
      </c>
      <c r="G176" s="104">
        <v>10</v>
      </c>
      <c r="H176" s="104">
        <v>15</v>
      </c>
      <c r="J176"/>
      <c r="K176"/>
      <c r="L176"/>
    </row>
    <row r="177" spans="1:12" x14ac:dyDescent="0.3">
      <c r="A177" s="96" t="s">
        <v>1111</v>
      </c>
      <c r="B177" s="96" t="s">
        <v>1110</v>
      </c>
      <c r="C177" s="96" t="s">
        <v>1109</v>
      </c>
      <c r="D177" s="104">
        <v>4.5</v>
      </c>
      <c r="E177" s="104">
        <v>1.4</v>
      </c>
      <c r="F177" s="104">
        <v>3</v>
      </c>
      <c r="G177" s="104">
        <v>4</v>
      </c>
      <c r="H177" s="104">
        <v>6</v>
      </c>
      <c r="J177"/>
      <c r="K177"/>
      <c r="L177"/>
    </row>
    <row r="178" spans="1:12" x14ac:dyDescent="0.3">
      <c r="A178" s="96" t="s">
        <v>1108</v>
      </c>
      <c r="B178" s="96" t="s">
        <v>1107</v>
      </c>
      <c r="C178" s="96" t="s">
        <v>1106</v>
      </c>
      <c r="D178" s="104">
        <v>7.4</v>
      </c>
      <c r="E178" s="104">
        <v>2.2000000000000002</v>
      </c>
      <c r="F178" s="104">
        <v>5</v>
      </c>
      <c r="G178" s="104">
        <v>7</v>
      </c>
      <c r="H178" s="104">
        <v>10</v>
      </c>
      <c r="J178"/>
      <c r="K178"/>
      <c r="L178"/>
    </row>
    <row r="179" spans="1:12" x14ac:dyDescent="0.3">
      <c r="A179" s="96" t="s">
        <v>1105</v>
      </c>
      <c r="B179" s="96" t="s">
        <v>1104</v>
      </c>
      <c r="C179" s="96" t="s">
        <v>1103</v>
      </c>
      <c r="D179" s="104">
        <v>4.5</v>
      </c>
      <c r="E179" s="104">
        <v>1.9</v>
      </c>
      <c r="F179" s="104">
        <v>3</v>
      </c>
      <c r="G179" s="104">
        <v>4</v>
      </c>
      <c r="H179" s="104">
        <v>6</v>
      </c>
      <c r="J179"/>
      <c r="K179"/>
      <c r="L179"/>
    </row>
    <row r="180" spans="1:12" x14ac:dyDescent="0.3">
      <c r="A180" s="96" t="s">
        <v>1102</v>
      </c>
      <c r="B180" s="96" t="s">
        <v>1101</v>
      </c>
      <c r="C180" s="96" t="s">
        <v>1100</v>
      </c>
      <c r="D180" s="104">
        <v>5.0999999999999996</v>
      </c>
      <c r="E180" s="104">
        <v>2.2999999999999998</v>
      </c>
      <c r="F180" s="104">
        <v>3</v>
      </c>
      <c r="G180" s="104">
        <v>5</v>
      </c>
      <c r="H180" s="104">
        <v>8</v>
      </c>
      <c r="J180"/>
      <c r="K180"/>
      <c r="L180"/>
    </row>
    <row r="181" spans="1:12" x14ac:dyDescent="0.3">
      <c r="A181" s="96" t="s">
        <v>1099</v>
      </c>
      <c r="B181" s="96" t="s">
        <v>1098</v>
      </c>
      <c r="C181" s="96" t="s">
        <v>1097</v>
      </c>
      <c r="D181" s="104">
        <v>10.8</v>
      </c>
      <c r="E181" s="104">
        <v>4</v>
      </c>
      <c r="F181" s="104">
        <v>6</v>
      </c>
      <c r="G181" s="104">
        <v>11</v>
      </c>
      <c r="H181" s="104">
        <v>15</v>
      </c>
      <c r="J181"/>
      <c r="K181"/>
      <c r="L181"/>
    </row>
    <row r="182" spans="1:12" x14ac:dyDescent="0.3">
      <c r="A182" s="96" t="s">
        <v>1096</v>
      </c>
      <c r="B182" s="96" t="s">
        <v>1095</v>
      </c>
      <c r="C182" s="96" t="s">
        <v>1094</v>
      </c>
      <c r="D182" s="104">
        <v>6.6</v>
      </c>
      <c r="E182" s="104">
        <v>2.9</v>
      </c>
      <c r="F182" s="104">
        <v>4</v>
      </c>
      <c r="G182" s="104">
        <v>6</v>
      </c>
      <c r="H182" s="104">
        <v>10</v>
      </c>
      <c r="J182"/>
      <c r="K182"/>
      <c r="L182"/>
    </row>
    <row r="183" spans="1:12" x14ac:dyDescent="0.3">
      <c r="A183" s="96" t="s">
        <v>1093</v>
      </c>
      <c r="B183" s="96" t="s">
        <v>1092</v>
      </c>
      <c r="C183" s="96" t="s">
        <v>1091</v>
      </c>
      <c r="D183" s="104">
        <v>6.1</v>
      </c>
      <c r="E183" s="104">
        <v>3.1</v>
      </c>
      <c r="F183" s="104">
        <v>4</v>
      </c>
      <c r="G183" s="104">
        <v>5</v>
      </c>
      <c r="H183" s="104">
        <v>10</v>
      </c>
      <c r="J183"/>
      <c r="K183"/>
      <c r="L183"/>
    </row>
    <row r="184" spans="1:12" x14ac:dyDescent="0.3">
      <c r="A184" s="96" t="s">
        <v>1090</v>
      </c>
      <c r="B184" s="96" t="s">
        <v>1089</v>
      </c>
      <c r="C184" s="96" t="s">
        <v>1088</v>
      </c>
      <c r="D184" s="104">
        <v>9.6999999999999993</v>
      </c>
      <c r="E184" s="104">
        <v>3.8</v>
      </c>
      <c r="F184" s="104">
        <v>5</v>
      </c>
      <c r="G184" s="104">
        <v>10</v>
      </c>
      <c r="H184" s="104">
        <v>13</v>
      </c>
      <c r="J184"/>
      <c r="K184"/>
      <c r="L184"/>
    </row>
    <row r="185" spans="1:12" x14ac:dyDescent="0.3">
      <c r="A185" s="96" t="s">
        <v>1087</v>
      </c>
      <c r="B185" s="96" t="s">
        <v>1086</v>
      </c>
      <c r="C185" s="96" t="s">
        <v>1085</v>
      </c>
      <c r="D185" s="104">
        <v>14.1</v>
      </c>
      <c r="E185" s="104">
        <v>3.3</v>
      </c>
      <c r="F185" s="104">
        <v>11</v>
      </c>
      <c r="G185" s="104">
        <v>13</v>
      </c>
      <c r="H185" s="104">
        <v>18</v>
      </c>
      <c r="J185"/>
      <c r="K185"/>
      <c r="L185"/>
    </row>
    <row r="186" spans="1:12" x14ac:dyDescent="0.3">
      <c r="A186" s="96" t="s">
        <v>1084</v>
      </c>
      <c r="B186" s="96" t="s">
        <v>1083</v>
      </c>
      <c r="C186" s="96" t="s">
        <v>1082</v>
      </c>
      <c r="D186" s="104">
        <v>17</v>
      </c>
      <c r="E186" s="104">
        <v>5.9</v>
      </c>
      <c r="F186" s="104">
        <v>12</v>
      </c>
      <c r="G186" s="104">
        <v>16</v>
      </c>
      <c r="H186" s="104">
        <v>23</v>
      </c>
      <c r="J186"/>
      <c r="K186"/>
      <c r="L186"/>
    </row>
    <row r="187" spans="1:12" x14ac:dyDescent="0.3">
      <c r="A187" s="96" t="s">
        <v>2047</v>
      </c>
      <c r="B187" s="96" t="s">
        <v>2048</v>
      </c>
      <c r="C187" s="96" t="s">
        <v>2049</v>
      </c>
      <c r="D187" s="104">
        <v>15.3</v>
      </c>
      <c r="E187" s="104">
        <v>2.4</v>
      </c>
      <c r="F187" s="104">
        <v>13</v>
      </c>
      <c r="G187" s="104">
        <v>15</v>
      </c>
      <c r="H187" s="104">
        <v>18</v>
      </c>
      <c r="J187"/>
      <c r="K187"/>
      <c r="L187"/>
    </row>
    <row r="188" spans="1:12" x14ac:dyDescent="0.3">
      <c r="A188" s="96" t="s">
        <v>1081</v>
      </c>
      <c r="B188" s="96" t="s">
        <v>1080</v>
      </c>
      <c r="C188" s="96" t="s">
        <v>1079</v>
      </c>
      <c r="D188" s="104">
        <v>15</v>
      </c>
      <c r="E188" s="104">
        <v>3.1</v>
      </c>
      <c r="F188" s="104">
        <v>11</v>
      </c>
      <c r="G188" s="104">
        <v>15</v>
      </c>
      <c r="H188" s="104">
        <v>19</v>
      </c>
      <c r="J188"/>
      <c r="K188"/>
      <c r="L188"/>
    </row>
    <row r="189" spans="1:12" x14ac:dyDescent="0.3">
      <c r="A189" s="96" t="s">
        <v>1078</v>
      </c>
      <c r="B189" s="96" t="s">
        <v>1077</v>
      </c>
      <c r="C189" s="96" t="s">
        <v>1076</v>
      </c>
      <c r="D189" s="104">
        <v>10.8</v>
      </c>
      <c r="E189" s="104">
        <v>5.0999999999999996</v>
      </c>
      <c r="F189" s="104">
        <v>6</v>
      </c>
      <c r="G189" s="104">
        <v>8</v>
      </c>
      <c r="H189" s="104">
        <v>18</v>
      </c>
      <c r="J189"/>
      <c r="K189"/>
      <c r="L189"/>
    </row>
    <row r="190" spans="1:12" x14ac:dyDescent="0.3">
      <c r="A190" s="96" t="s">
        <v>1075</v>
      </c>
      <c r="B190" s="96" t="s">
        <v>1074</v>
      </c>
      <c r="C190" s="96" t="s">
        <v>1073</v>
      </c>
      <c r="D190" s="104">
        <v>15.1</v>
      </c>
      <c r="E190" s="104">
        <v>4</v>
      </c>
      <c r="F190" s="104">
        <v>12</v>
      </c>
      <c r="G190" s="104">
        <v>15</v>
      </c>
      <c r="H190" s="104">
        <v>19</v>
      </c>
      <c r="J190"/>
      <c r="K190"/>
      <c r="L190"/>
    </row>
    <row r="191" spans="1:12" x14ac:dyDescent="0.3">
      <c r="A191" s="96" t="s">
        <v>1072</v>
      </c>
      <c r="B191" s="96" t="s">
        <v>1071</v>
      </c>
      <c r="C191" s="96" t="s">
        <v>1070</v>
      </c>
      <c r="D191" s="104">
        <v>13.7</v>
      </c>
      <c r="E191" s="104">
        <v>3.8</v>
      </c>
      <c r="F191" s="104">
        <v>10</v>
      </c>
      <c r="G191" s="104">
        <v>12.5</v>
      </c>
      <c r="H191" s="104">
        <v>18</v>
      </c>
      <c r="J191"/>
      <c r="K191"/>
      <c r="L191"/>
    </row>
    <row r="192" spans="1:12" x14ac:dyDescent="0.3">
      <c r="A192" s="96" t="s">
        <v>1948</v>
      </c>
      <c r="B192" s="96" t="s">
        <v>1949</v>
      </c>
      <c r="C192" s="96" t="s">
        <v>1950</v>
      </c>
      <c r="D192" s="104">
        <v>18.3</v>
      </c>
      <c r="E192" s="104">
        <v>3.7</v>
      </c>
      <c r="F192" s="104">
        <v>15</v>
      </c>
      <c r="G192" s="104">
        <v>17</v>
      </c>
      <c r="H192" s="104">
        <v>22</v>
      </c>
      <c r="J192"/>
      <c r="K192"/>
      <c r="L192"/>
    </row>
    <row r="193" spans="1:12" x14ac:dyDescent="0.3">
      <c r="A193" s="96" t="s">
        <v>1069</v>
      </c>
      <c r="B193" s="96" t="s">
        <v>1068</v>
      </c>
      <c r="C193" s="96" t="s">
        <v>1067</v>
      </c>
      <c r="D193" s="104">
        <v>8.6999999999999993</v>
      </c>
      <c r="E193" s="104">
        <v>3.6</v>
      </c>
      <c r="F193" s="104">
        <v>6</v>
      </c>
      <c r="G193" s="104">
        <v>8</v>
      </c>
      <c r="H193" s="104">
        <v>13</v>
      </c>
      <c r="J193"/>
      <c r="K193"/>
      <c r="L193"/>
    </row>
    <row r="194" spans="1:12" x14ac:dyDescent="0.3">
      <c r="A194" s="96" t="s">
        <v>1066</v>
      </c>
      <c r="B194" s="96" t="s">
        <v>1065</v>
      </c>
      <c r="C194" s="96" t="s">
        <v>1064</v>
      </c>
      <c r="D194" s="104">
        <v>16.100000000000001</v>
      </c>
      <c r="E194" s="104">
        <v>5.4</v>
      </c>
      <c r="F194" s="104">
        <v>13</v>
      </c>
      <c r="G194" s="104">
        <v>15</v>
      </c>
      <c r="H194" s="104">
        <v>20</v>
      </c>
      <c r="J194"/>
      <c r="K194"/>
      <c r="L194"/>
    </row>
    <row r="195" spans="1:12" x14ac:dyDescent="0.3">
      <c r="A195" s="96" t="s">
        <v>1063</v>
      </c>
      <c r="B195" s="96" t="s">
        <v>1062</v>
      </c>
      <c r="C195" s="96" t="s">
        <v>1061</v>
      </c>
      <c r="D195" s="104">
        <v>15.5</v>
      </c>
      <c r="E195" s="104">
        <v>4.3</v>
      </c>
      <c r="F195" s="104">
        <v>12</v>
      </c>
      <c r="G195" s="104">
        <v>15</v>
      </c>
      <c r="H195" s="104">
        <v>20</v>
      </c>
      <c r="J195"/>
      <c r="K195"/>
      <c r="L195"/>
    </row>
    <row r="196" spans="1:12" x14ac:dyDescent="0.3">
      <c r="A196" s="96" t="s">
        <v>1060</v>
      </c>
      <c r="B196" s="96" t="s">
        <v>1059</v>
      </c>
      <c r="C196" s="96" t="s">
        <v>1058</v>
      </c>
      <c r="D196" s="104">
        <v>16</v>
      </c>
      <c r="E196" s="104">
        <v>2.6</v>
      </c>
      <c r="F196" s="104">
        <v>13</v>
      </c>
      <c r="G196" s="104">
        <v>16</v>
      </c>
      <c r="H196" s="104">
        <v>19</v>
      </c>
      <c r="J196"/>
      <c r="K196"/>
      <c r="L196"/>
    </row>
    <row r="197" spans="1:12" x14ac:dyDescent="0.3">
      <c r="A197" s="96" t="s">
        <v>1057</v>
      </c>
      <c r="B197" s="96" t="s">
        <v>1056</v>
      </c>
      <c r="C197" s="96" t="s">
        <v>1055</v>
      </c>
      <c r="D197" s="104">
        <v>11.7</v>
      </c>
      <c r="E197" s="104">
        <v>4.3</v>
      </c>
      <c r="F197" s="104">
        <v>7</v>
      </c>
      <c r="G197" s="104">
        <v>10</v>
      </c>
      <c r="H197" s="104">
        <v>17</v>
      </c>
      <c r="J197"/>
      <c r="K197"/>
      <c r="L197"/>
    </row>
    <row r="198" spans="1:12" x14ac:dyDescent="0.3">
      <c r="A198" s="96" t="s">
        <v>1054</v>
      </c>
      <c r="B198" s="96" t="s">
        <v>1053</v>
      </c>
      <c r="C198" s="96" t="s">
        <v>1052</v>
      </c>
      <c r="D198" s="104">
        <v>9.8000000000000007</v>
      </c>
      <c r="E198" s="104">
        <v>4.4000000000000004</v>
      </c>
      <c r="F198" s="104">
        <v>5</v>
      </c>
      <c r="G198" s="104">
        <v>10</v>
      </c>
      <c r="H198" s="104">
        <v>14</v>
      </c>
      <c r="J198"/>
      <c r="K198"/>
      <c r="L198"/>
    </row>
    <row r="199" spans="1:12" x14ac:dyDescent="0.3">
      <c r="A199" s="96" t="s">
        <v>1051</v>
      </c>
      <c r="B199" s="96" t="s">
        <v>1050</v>
      </c>
      <c r="C199" s="96" t="s">
        <v>1049</v>
      </c>
      <c r="D199" s="104">
        <v>4.9000000000000004</v>
      </c>
      <c r="E199" s="104">
        <v>1.8</v>
      </c>
      <c r="F199" s="104">
        <v>3</v>
      </c>
      <c r="G199" s="104">
        <v>5</v>
      </c>
      <c r="H199" s="104">
        <v>7</v>
      </c>
      <c r="J199"/>
      <c r="K199"/>
      <c r="L199"/>
    </row>
    <row r="200" spans="1:12" x14ac:dyDescent="0.3">
      <c r="A200" s="96" t="s">
        <v>1048</v>
      </c>
      <c r="B200" s="96" t="s">
        <v>1047</v>
      </c>
      <c r="C200" s="96" t="s">
        <v>1046</v>
      </c>
      <c r="D200" s="104">
        <v>4.4000000000000004</v>
      </c>
      <c r="E200" s="104">
        <v>1.7</v>
      </c>
      <c r="F200" s="104">
        <v>3</v>
      </c>
      <c r="G200" s="104">
        <v>4</v>
      </c>
      <c r="H200" s="104">
        <v>6</v>
      </c>
      <c r="J200"/>
      <c r="K200"/>
      <c r="L200"/>
    </row>
    <row r="201" spans="1:12" x14ac:dyDescent="0.3">
      <c r="A201" s="96" t="s">
        <v>1045</v>
      </c>
      <c r="B201" s="96" t="s">
        <v>1044</v>
      </c>
      <c r="C201" s="96" t="s">
        <v>1043</v>
      </c>
      <c r="D201" s="104">
        <v>5.5</v>
      </c>
      <c r="E201" s="104">
        <v>2.8</v>
      </c>
      <c r="F201" s="104">
        <v>3</v>
      </c>
      <c r="G201" s="104">
        <v>5</v>
      </c>
      <c r="H201" s="104">
        <v>9</v>
      </c>
      <c r="J201"/>
      <c r="K201"/>
      <c r="L201"/>
    </row>
    <row r="202" spans="1:12" x14ac:dyDescent="0.3">
      <c r="A202" s="96" t="s">
        <v>1042</v>
      </c>
      <c r="B202" s="96" t="s">
        <v>1041</v>
      </c>
      <c r="C202" s="96" t="s">
        <v>1040</v>
      </c>
      <c r="D202" s="104">
        <v>11.8</v>
      </c>
      <c r="E202" s="104">
        <v>4.8</v>
      </c>
      <c r="F202" s="104">
        <v>7</v>
      </c>
      <c r="G202" s="104">
        <v>11</v>
      </c>
      <c r="H202" s="104">
        <v>17</v>
      </c>
      <c r="J202"/>
      <c r="K202"/>
      <c r="L202"/>
    </row>
    <row r="203" spans="1:12" x14ac:dyDescent="0.3">
      <c r="A203" s="96" t="s">
        <v>1039</v>
      </c>
      <c r="B203" s="96" t="s">
        <v>1038</v>
      </c>
      <c r="C203" s="96" t="s">
        <v>1037</v>
      </c>
      <c r="D203" s="104">
        <v>9.9</v>
      </c>
      <c r="E203" s="104">
        <v>4.3</v>
      </c>
      <c r="F203" s="104">
        <v>5</v>
      </c>
      <c r="G203" s="104">
        <v>10</v>
      </c>
      <c r="H203" s="104">
        <v>14</v>
      </c>
      <c r="J203"/>
      <c r="K203"/>
      <c r="L203"/>
    </row>
    <row r="204" spans="1:12" x14ac:dyDescent="0.3">
      <c r="A204" s="96" t="s">
        <v>1036</v>
      </c>
      <c r="B204" s="96" t="s">
        <v>1035</v>
      </c>
      <c r="C204" s="96" t="s">
        <v>1034</v>
      </c>
      <c r="D204" s="104">
        <v>11.1</v>
      </c>
      <c r="E204" s="104">
        <v>4.5999999999999996</v>
      </c>
      <c r="F204" s="104">
        <v>7</v>
      </c>
      <c r="G204" s="104">
        <v>11</v>
      </c>
      <c r="H204" s="104">
        <v>15</v>
      </c>
      <c r="J204"/>
      <c r="K204"/>
      <c r="L204"/>
    </row>
    <row r="205" spans="1:12" x14ac:dyDescent="0.3">
      <c r="A205" s="96" t="s">
        <v>1033</v>
      </c>
      <c r="B205" s="96" t="s">
        <v>1032</v>
      </c>
      <c r="C205" s="96" t="s">
        <v>1031</v>
      </c>
      <c r="D205" s="104">
        <v>9.6</v>
      </c>
      <c r="E205" s="104">
        <v>4.5999999999999996</v>
      </c>
      <c r="F205" s="104">
        <v>5</v>
      </c>
      <c r="G205" s="104">
        <v>9</v>
      </c>
      <c r="H205" s="104">
        <v>15</v>
      </c>
      <c r="J205"/>
      <c r="K205"/>
      <c r="L205"/>
    </row>
    <row r="206" spans="1:12" x14ac:dyDescent="0.3">
      <c r="A206" s="96" t="s">
        <v>1030</v>
      </c>
      <c r="B206" s="96" t="s">
        <v>1029</v>
      </c>
      <c r="C206" s="96" t="s">
        <v>1028</v>
      </c>
      <c r="D206" s="104">
        <v>11.7</v>
      </c>
      <c r="E206" s="104">
        <v>3</v>
      </c>
      <c r="F206" s="104">
        <v>9</v>
      </c>
      <c r="G206" s="104">
        <v>11</v>
      </c>
      <c r="H206" s="104">
        <v>15</v>
      </c>
      <c r="J206"/>
      <c r="K206"/>
      <c r="L206"/>
    </row>
    <row r="207" spans="1:12" x14ac:dyDescent="0.3">
      <c r="A207" s="96" t="s">
        <v>1027</v>
      </c>
      <c r="B207" s="96" t="s">
        <v>1026</v>
      </c>
      <c r="C207" s="96" t="s">
        <v>1025</v>
      </c>
      <c r="D207" s="104">
        <v>11.3</v>
      </c>
      <c r="E207" s="104">
        <v>3.3</v>
      </c>
      <c r="F207" s="104">
        <v>8</v>
      </c>
      <c r="G207" s="104">
        <v>11</v>
      </c>
      <c r="H207" s="104">
        <v>15</v>
      </c>
      <c r="J207"/>
      <c r="K207"/>
      <c r="L207"/>
    </row>
    <row r="208" spans="1:12" x14ac:dyDescent="0.3">
      <c r="A208" s="96" t="s">
        <v>1024</v>
      </c>
      <c r="B208" s="96" t="s">
        <v>1023</v>
      </c>
      <c r="C208" s="96" t="s">
        <v>1022</v>
      </c>
      <c r="D208" s="104">
        <v>11.3</v>
      </c>
      <c r="E208" s="104">
        <v>3.4</v>
      </c>
      <c r="F208" s="104">
        <v>8</v>
      </c>
      <c r="G208" s="104">
        <v>11</v>
      </c>
      <c r="H208" s="104">
        <v>15</v>
      </c>
      <c r="J208"/>
      <c r="K208"/>
      <c r="L208"/>
    </row>
    <row r="209" spans="1:12" x14ac:dyDescent="0.3">
      <c r="A209" s="96" t="s">
        <v>1021</v>
      </c>
      <c r="B209" s="96" t="s">
        <v>1020</v>
      </c>
      <c r="C209" s="96" t="s">
        <v>1019</v>
      </c>
      <c r="D209" s="104">
        <v>12.2</v>
      </c>
      <c r="E209" s="104">
        <v>3.5</v>
      </c>
      <c r="F209" s="104">
        <v>9</v>
      </c>
      <c r="G209" s="104">
        <v>11</v>
      </c>
      <c r="H209" s="104">
        <v>17</v>
      </c>
      <c r="J209"/>
      <c r="K209"/>
      <c r="L209"/>
    </row>
    <row r="210" spans="1:12" x14ac:dyDescent="0.3">
      <c r="A210" s="96" t="s">
        <v>1018</v>
      </c>
      <c r="B210" s="96" t="s">
        <v>1017</v>
      </c>
      <c r="C210" s="96" t="s">
        <v>1016</v>
      </c>
      <c r="D210" s="104">
        <v>12.3</v>
      </c>
      <c r="E210" s="104">
        <v>3.9</v>
      </c>
      <c r="F210" s="104">
        <v>8</v>
      </c>
      <c r="G210" s="104">
        <v>12</v>
      </c>
      <c r="H210" s="104">
        <v>17</v>
      </c>
      <c r="J210"/>
      <c r="K210"/>
      <c r="L210"/>
    </row>
    <row r="211" spans="1:12" x14ac:dyDescent="0.3">
      <c r="A211" s="96" t="s">
        <v>1015</v>
      </c>
      <c r="B211" s="96" t="s">
        <v>1014</v>
      </c>
      <c r="C211" s="96" t="s">
        <v>1013</v>
      </c>
      <c r="D211" s="104">
        <v>8.5</v>
      </c>
      <c r="E211" s="104">
        <v>3.3</v>
      </c>
      <c r="F211" s="104">
        <v>5</v>
      </c>
      <c r="G211" s="104">
        <v>8</v>
      </c>
      <c r="H211" s="104">
        <v>13</v>
      </c>
      <c r="J211"/>
      <c r="K211"/>
      <c r="L211"/>
    </row>
    <row r="212" spans="1:12" x14ac:dyDescent="0.3">
      <c r="A212" s="96" t="s">
        <v>1012</v>
      </c>
      <c r="B212" s="96" t="s">
        <v>1011</v>
      </c>
      <c r="C212" s="96" t="s">
        <v>1010</v>
      </c>
      <c r="D212" s="104">
        <v>12.5</v>
      </c>
      <c r="E212" s="104">
        <v>4.5</v>
      </c>
      <c r="F212" s="104">
        <v>8</v>
      </c>
      <c r="G212" s="104">
        <v>12</v>
      </c>
      <c r="H212" s="104">
        <v>17</v>
      </c>
      <c r="J212"/>
      <c r="K212"/>
      <c r="L212"/>
    </row>
    <row r="213" spans="1:12" x14ac:dyDescent="0.3">
      <c r="A213" s="96" t="s">
        <v>1951</v>
      </c>
      <c r="B213" s="96" t="s">
        <v>1952</v>
      </c>
      <c r="C213" s="96" t="s">
        <v>1953</v>
      </c>
      <c r="D213" s="104">
        <v>8.6</v>
      </c>
      <c r="E213" s="104">
        <v>4.9000000000000004</v>
      </c>
      <c r="F213" s="104">
        <v>4</v>
      </c>
      <c r="G213" s="104">
        <v>8</v>
      </c>
      <c r="H213" s="104">
        <v>13</v>
      </c>
      <c r="J213"/>
      <c r="K213"/>
      <c r="L213"/>
    </row>
    <row r="214" spans="1:12" x14ac:dyDescent="0.3">
      <c r="A214" s="96" t="s">
        <v>1009</v>
      </c>
      <c r="B214" s="96" t="s">
        <v>1008</v>
      </c>
      <c r="C214" s="96" t="s">
        <v>1007</v>
      </c>
      <c r="D214" s="104">
        <v>9.4</v>
      </c>
      <c r="E214" s="104">
        <v>4.2</v>
      </c>
      <c r="F214" s="104">
        <v>6</v>
      </c>
      <c r="G214" s="104">
        <v>9</v>
      </c>
      <c r="H214" s="104">
        <v>14</v>
      </c>
      <c r="J214"/>
      <c r="K214"/>
      <c r="L214"/>
    </row>
    <row r="215" spans="1:12" x14ac:dyDescent="0.3">
      <c r="A215" s="96" t="s">
        <v>1006</v>
      </c>
      <c r="B215" s="96" t="s">
        <v>1005</v>
      </c>
      <c r="C215" s="96" t="s">
        <v>1004</v>
      </c>
      <c r="D215" s="104">
        <v>13.2</v>
      </c>
      <c r="E215" s="104">
        <v>3.6</v>
      </c>
      <c r="F215" s="104">
        <v>10</v>
      </c>
      <c r="G215" s="104">
        <v>13</v>
      </c>
      <c r="H215" s="104">
        <v>17</v>
      </c>
      <c r="J215"/>
      <c r="K215"/>
      <c r="L215"/>
    </row>
    <row r="216" spans="1:12" x14ac:dyDescent="0.3">
      <c r="A216" s="96" t="s">
        <v>1003</v>
      </c>
      <c r="B216" s="96" t="s">
        <v>1002</v>
      </c>
      <c r="C216" s="96" t="s">
        <v>1001</v>
      </c>
      <c r="D216" s="104">
        <v>14.4</v>
      </c>
      <c r="E216" s="104">
        <v>3.2</v>
      </c>
      <c r="F216" s="104">
        <v>11</v>
      </c>
      <c r="G216" s="104">
        <v>14</v>
      </c>
      <c r="H216" s="104">
        <v>18</v>
      </c>
      <c r="J216"/>
      <c r="K216"/>
      <c r="L216"/>
    </row>
    <row r="217" spans="1:12" x14ac:dyDescent="0.3">
      <c r="A217" s="96" t="s">
        <v>1000</v>
      </c>
      <c r="B217" s="96" t="s">
        <v>999</v>
      </c>
      <c r="C217" s="96" t="s">
        <v>998</v>
      </c>
      <c r="D217" s="104">
        <v>11.1</v>
      </c>
      <c r="E217" s="104">
        <v>1.8</v>
      </c>
      <c r="F217" s="104">
        <v>9</v>
      </c>
      <c r="G217" s="104">
        <v>11</v>
      </c>
      <c r="H217" s="104">
        <v>13</v>
      </c>
      <c r="J217"/>
      <c r="K217"/>
      <c r="L217"/>
    </row>
    <row r="218" spans="1:12" x14ac:dyDescent="0.3">
      <c r="A218" s="96" t="s">
        <v>1954</v>
      </c>
      <c r="B218" s="96" t="s">
        <v>1955</v>
      </c>
      <c r="C218" s="96" t="s">
        <v>1956</v>
      </c>
      <c r="D218" s="104">
        <v>11</v>
      </c>
      <c r="E218" s="104">
        <v>6</v>
      </c>
      <c r="F218" s="104">
        <v>9</v>
      </c>
      <c r="G218" s="104">
        <v>10</v>
      </c>
      <c r="H218" s="104">
        <v>13</v>
      </c>
      <c r="J218"/>
      <c r="K218"/>
      <c r="L218"/>
    </row>
    <row r="219" spans="1:12" x14ac:dyDescent="0.3">
      <c r="A219" s="96" t="s">
        <v>997</v>
      </c>
      <c r="B219" s="96" t="s">
        <v>996</v>
      </c>
      <c r="C219" s="96" t="s">
        <v>995</v>
      </c>
      <c r="D219" s="104">
        <v>10.9</v>
      </c>
      <c r="E219" s="104">
        <v>2.4</v>
      </c>
      <c r="F219" s="104">
        <v>9</v>
      </c>
      <c r="G219" s="104">
        <v>10</v>
      </c>
      <c r="H219" s="104">
        <v>13</v>
      </c>
      <c r="J219"/>
      <c r="K219"/>
      <c r="L219"/>
    </row>
    <row r="220" spans="1:12" x14ac:dyDescent="0.3">
      <c r="A220" s="96" t="s">
        <v>994</v>
      </c>
      <c r="B220" s="96" t="s">
        <v>993</v>
      </c>
      <c r="C220" s="96" t="s">
        <v>992</v>
      </c>
      <c r="D220" s="104">
        <v>5.4</v>
      </c>
      <c r="E220" s="104">
        <v>1.5</v>
      </c>
      <c r="F220" s="104">
        <v>4</v>
      </c>
      <c r="G220" s="104">
        <v>5</v>
      </c>
      <c r="H220" s="104">
        <v>7</v>
      </c>
      <c r="J220"/>
      <c r="K220"/>
      <c r="L220"/>
    </row>
    <row r="221" spans="1:12" x14ac:dyDescent="0.3">
      <c r="A221" s="96" t="s">
        <v>991</v>
      </c>
      <c r="B221" s="96" t="s">
        <v>990</v>
      </c>
      <c r="C221" s="96" t="s">
        <v>989</v>
      </c>
      <c r="D221" s="104">
        <v>18.3</v>
      </c>
      <c r="E221" s="104">
        <v>4.5999999999999996</v>
      </c>
      <c r="F221" s="104">
        <v>14</v>
      </c>
      <c r="G221" s="104">
        <v>17</v>
      </c>
      <c r="H221" s="104">
        <v>23</v>
      </c>
      <c r="J221"/>
      <c r="K221"/>
      <c r="L221"/>
    </row>
    <row r="222" spans="1:12" x14ac:dyDescent="0.3">
      <c r="A222" s="96" t="s">
        <v>988</v>
      </c>
      <c r="B222" s="96" t="s">
        <v>987</v>
      </c>
      <c r="C222" s="96" t="s">
        <v>986</v>
      </c>
      <c r="D222" s="104">
        <v>15.7</v>
      </c>
      <c r="E222" s="104">
        <v>4</v>
      </c>
      <c r="F222" s="104">
        <v>12</v>
      </c>
      <c r="G222" s="104">
        <v>15</v>
      </c>
      <c r="H222" s="104">
        <v>20</v>
      </c>
      <c r="J222"/>
      <c r="K222"/>
      <c r="L222"/>
    </row>
    <row r="223" spans="1:12" x14ac:dyDescent="0.3">
      <c r="A223" s="96" t="s">
        <v>985</v>
      </c>
      <c r="B223" s="96" t="s">
        <v>984</v>
      </c>
      <c r="C223" s="96" t="s">
        <v>1957</v>
      </c>
      <c r="D223" s="104">
        <v>14.9</v>
      </c>
      <c r="E223" s="104">
        <v>3</v>
      </c>
      <c r="F223" s="104">
        <v>12</v>
      </c>
      <c r="G223" s="104">
        <v>14</v>
      </c>
      <c r="H223" s="104">
        <v>18</v>
      </c>
      <c r="J223"/>
      <c r="K223"/>
      <c r="L223"/>
    </row>
    <row r="224" spans="1:12" x14ac:dyDescent="0.3">
      <c r="A224" s="96" t="s">
        <v>983</v>
      </c>
      <c r="B224" s="96" t="s">
        <v>982</v>
      </c>
      <c r="C224" s="96" t="s">
        <v>981</v>
      </c>
      <c r="D224" s="104">
        <v>15.5</v>
      </c>
      <c r="E224" s="104">
        <v>5</v>
      </c>
      <c r="F224" s="104">
        <v>11</v>
      </c>
      <c r="G224" s="104">
        <v>15</v>
      </c>
      <c r="H224" s="104">
        <v>21</v>
      </c>
      <c r="J224"/>
      <c r="K224"/>
      <c r="L224"/>
    </row>
    <row r="225" spans="1:12" x14ac:dyDescent="0.3">
      <c r="A225" s="96" t="s">
        <v>980</v>
      </c>
      <c r="B225" s="96" t="s">
        <v>979</v>
      </c>
      <c r="C225" s="96" t="s">
        <v>978</v>
      </c>
      <c r="D225" s="104">
        <v>13.4</v>
      </c>
      <c r="E225" s="104">
        <v>3.2</v>
      </c>
      <c r="F225" s="104">
        <v>10</v>
      </c>
      <c r="G225" s="104">
        <v>13</v>
      </c>
      <c r="H225" s="104">
        <v>17</v>
      </c>
      <c r="J225"/>
      <c r="K225"/>
      <c r="L225"/>
    </row>
    <row r="226" spans="1:12" x14ac:dyDescent="0.3">
      <c r="A226" s="96" t="s">
        <v>977</v>
      </c>
      <c r="B226" s="96" t="s">
        <v>976</v>
      </c>
      <c r="C226" s="96" t="s">
        <v>975</v>
      </c>
      <c r="D226" s="104">
        <v>10.199999999999999</v>
      </c>
      <c r="E226" s="104">
        <v>2.2000000000000002</v>
      </c>
      <c r="F226" s="104">
        <v>8</v>
      </c>
      <c r="G226" s="104">
        <v>10</v>
      </c>
      <c r="H226" s="104">
        <v>12</v>
      </c>
      <c r="J226"/>
      <c r="K226"/>
      <c r="L226"/>
    </row>
    <row r="227" spans="1:12" x14ac:dyDescent="0.3">
      <c r="A227" s="96" t="s">
        <v>974</v>
      </c>
      <c r="B227" s="96" t="s">
        <v>973</v>
      </c>
      <c r="C227" s="96" t="s">
        <v>972</v>
      </c>
      <c r="D227" s="104">
        <v>11.8</v>
      </c>
      <c r="E227" s="104">
        <v>3.1</v>
      </c>
      <c r="F227" s="104">
        <v>9</v>
      </c>
      <c r="G227" s="104">
        <v>11</v>
      </c>
      <c r="H227" s="104">
        <v>15</v>
      </c>
      <c r="J227"/>
      <c r="K227"/>
      <c r="L227"/>
    </row>
    <row r="228" spans="1:12" x14ac:dyDescent="0.3">
      <c r="A228" s="96" t="s">
        <v>971</v>
      </c>
      <c r="B228" s="96" t="s">
        <v>970</v>
      </c>
      <c r="C228" s="96" t="s">
        <v>969</v>
      </c>
      <c r="D228" s="104">
        <v>16.2</v>
      </c>
      <c r="E228" s="104">
        <v>5</v>
      </c>
      <c r="F228" s="104">
        <v>12</v>
      </c>
      <c r="G228" s="104">
        <v>15</v>
      </c>
      <c r="H228" s="104">
        <v>22</v>
      </c>
      <c r="J228"/>
      <c r="K228"/>
      <c r="L228"/>
    </row>
    <row r="229" spans="1:12" x14ac:dyDescent="0.3">
      <c r="A229" s="96" t="s">
        <v>968</v>
      </c>
      <c r="B229" s="96" t="s">
        <v>967</v>
      </c>
      <c r="C229" s="96" t="s">
        <v>966</v>
      </c>
      <c r="D229" s="104">
        <v>14.3</v>
      </c>
      <c r="E229" s="104">
        <v>3.8</v>
      </c>
      <c r="F229" s="104">
        <v>11</v>
      </c>
      <c r="G229" s="104">
        <v>14</v>
      </c>
      <c r="H229" s="104">
        <v>18</v>
      </c>
      <c r="J229"/>
      <c r="K229"/>
      <c r="L229"/>
    </row>
    <row r="230" spans="1:12" x14ac:dyDescent="0.3">
      <c r="A230" s="96" t="s">
        <v>965</v>
      </c>
      <c r="B230" s="96" t="s">
        <v>964</v>
      </c>
      <c r="C230" s="96" t="s">
        <v>963</v>
      </c>
      <c r="D230" s="104">
        <v>16</v>
      </c>
      <c r="E230" s="104">
        <v>4.4000000000000004</v>
      </c>
      <c r="F230" s="104">
        <v>12</v>
      </c>
      <c r="G230" s="104">
        <v>15</v>
      </c>
      <c r="H230" s="104">
        <v>20</v>
      </c>
      <c r="J230"/>
      <c r="K230"/>
      <c r="L230"/>
    </row>
    <row r="231" spans="1:12" x14ac:dyDescent="0.3">
      <c r="A231" s="96" t="s">
        <v>962</v>
      </c>
      <c r="B231" s="96" t="s">
        <v>961</v>
      </c>
      <c r="C231" s="96" t="s">
        <v>960</v>
      </c>
      <c r="D231" s="104">
        <v>18.5</v>
      </c>
      <c r="E231" s="104">
        <v>7.3</v>
      </c>
      <c r="F231" s="104">
        <v>13</v>
      </c>
      <c r="G231" s="104">
        <v>17</v>
      </c>
      <c r="H231" s="104">
        <v>25</v>
      </c>
      <c r="J231"/>
      <c r="K231"/>
      <c r="L231"/>
    </row>
    <row r="232" spans="1:12" x14ac:dyDescent="0.3">
      <c r="A232" s="96" t="s">
        <v>959</v>
      </c>
      <c r="B232" s="96" t="s">
        <v>958</v>
      </c>
      <c r="C232" s="96" t="s">
        <v>957</v>
      </c>
      <c r="D232" s="104">
        <v>19.7</v>
      </c>
      <c r="E232" s="104">
        <v>7.4</v>
      </c>
      <c r="F232" s="104">
        <v>13</v>
      </c>
      <c r="G232" s="104">
        <v>18</v>
      </c>
      <c r="H232" s="104">
        <v>29</v>
      </c>
      <c r="J232"/>
      <c r="K232"/>
      <c r="L232"/>
    </row>
    <row r="233" spans="1:12" x14ac:dyDescent="0.3">
      <c r="A233" s="96" t="s">
        <v>956</v>
      </c>
      <c r="B233" s="96" t="s">
        <v>955</v>
      </c>
      <c r="C233" s="96" t="s">
        <v>954</v>
      </c>
      <c r="D233" s="104">
        <v>22.7</v>
      </c>
      <c r="E233" s="104">
        <v>9</v>
      </c>
      <c r="F233" s="104">
        <v>15</v>
      </c>
      <c r="G233" s="104">
        <v>21</v>
      </c>
      <c r="H233" s="104">
        <v>32</v>
      </c>
      <c r="J233"/>
      <c r="K233"/>
      <c r="L233"/>
    </row>
    <row r="234" spans="1:12" x14ac:dyDescent="0.3">
      <c r="A234" s="96" t="s">
        <v>953</v>
      </c>
      <c r="B234" s="96" t="s">
        <v>952</v>
      </c>
      <c r="C234" s="96" t="s">
        <v>951</v>
      </c>
      <c r="D234" s="104">
        <v>19.5</v>
      </c>
      <c r="E234" s="104">
        <v>8.1</v>
      </c>
      <c r="F234" s="104">
        <v>13</v>
      </c>
      <c r="G234" s="104">
        <v>17</v>
      </c>
      <c r="H234" s="104">
        <v>28</v>
      </c>
      <c r="J234"/>
      <c r="K234"/>
      <c r="L234"/>
    </row>
    <row r="235" spans="1:12" x14ac:dyDescent="0.3">
      <c r="A235" s="96" t="s">
        <v>950</v>
      </c>
      <c r="B235" s="96" t="s">
        <v>21</v>
      </c>
      <c r="C235" s="96" t="s">
        <v>949</v>
      </c>
      <c r="D235" s="104">
        <v>20.7</v>
      </c>
      <c r="E235" s="104">
        <v>8.1999999999999993</v>
      </c>
      <c r="F235" s="104">
        <v>14</v>
      </c>
      <c r="G235" s="104">
        <v>19</v>
      </c>
      <c r="H235" s="104">
        <v>28</v>
      </c>
      <c r="J235"/>
      <c r="K235"/>
      <c r="L235"/>
    </row>
    <row r="236" spans="1:12" x14ac:dyDescent="0.3">
      <c r="A236" s="96" t="s">
        <v>948</v>
      </c>
      <c r="B236" s="96" t="s">
        <v>947</v>
      </c>
      <c r="C236" s="96" t="s">
        <v>946</v>
      </c>
      <c r="D236" s="104">
        <v>16.2</v>
      </c>
      <c r="E236" s="104">
        <v>4</v>
      </c>
      <c r="F236" s="104">
        <v>13</v>
      </c>
      <c r="G236" s="104">
        <v>15</v>
      </c>
      <c r="H236" s="104">
        <v>20</v>
      </c>
      <c r="J236"/>
      <c r="K236"/>
      <c r="L236"/>
    </row>
    <row r="237" spans="1:12" x14ac:dyDescent="0.3">
      <c r="A237" s="96" t="s">
        <v>945</v>
      </c>
      <c r="B237" s="96" t="s">
        <v>944</v>
      </c>
      <c r="C237" s="96" t="s">
        <v>943</v>
      </c>
      <c r="D237" s="104">
        <v>26.2</v>
      </c>
      <c r="E237" s="104">
        <v>17.5</v>
      </c>
      <c r="F237" s="104">
        <v>14</v>
      </c>
      <c r="G237" s="104">
        <v>22</v>
      </c>
      <c r="H237" s="104">
        <v>41</v>
      </c>
      <c r="J237"/>
      <c r="K237"/>
      <c r="L237"/>
    </row>
    <row r="238" spans="1:12" x14ac:dyDescent="0.3">
      <c r="A238" s="96" t="s">
        <v>942</v>
      </c>
      <c r="B238" s="96" t="s">
        <v>941</v>
      </c>
      <c r="C238" s="96" t="s">
        <v>940</v>
      </c>
      <c r="D238" s="104">
        <v>21.2</v>
      </c>
      <c r="E238" s="104">
        <v>11.6</v>
      </c>
      <c r="F238" s="104">
        <v>13</v>
      </c>
      <c r="G238" s="104">
        <v>18</v>
      </c>
      <c r="H238" s="104">
        <v>31</v>
      </c>
      <c r="J238"/>
      <c r="K238"/>
      <c r="L238"/>
    </row>
    <row r="239" spans="1:12" x14ac:dyDescent="0.3">
      <c r="A239" s="96" t="s">
        <v>939</v>
      </c>
      <c r="B239" s="96" t="s">
        <v>938</v>
      </c>
      <c r="C239" s="96" t="s">
        <v>937</v>
      </c>
      <c r="D239" s="104">
        <v>19.600000000000001</v>
      </c>
      <c r="E239" s="104">
        <v>6.7</v>
      </c>
      <c r="F239" s="104">
        <v>14</v>
      </c>
      <c r="G239" s="104">
        <v>18</v>
      </c>
      <c r="H239" s="104">
        <v>26</v>
      </c>
      <c r="J239"/>
      <c r="K239"/>
      <c r="L239"/>
    </row>
    <row r="240" spans="1:12" x14ac:dyDescent="0.3">
      <c r="A240" s="96" t="s">
        <v>936</v>
      </c>
      <c r="B240" s="96" t="s">
        <v>935</v>
      </c>
      <c r="C240" s="96" t="s">
        <v>934</v>
      </c>
      <c r="D240" s="104">
        <v>31.5</v>
      </c>
      <c r="E240" s="104">
        <v>13.4</v>
      </c>
      <c r="F240" s="104">
        <v>19</v>
      </c>
      <c r="G240" s="104">
        <v>28</v>
      </c>
      <c r="H240" s="104">
        <v>48</v>
      </c>
      <c r="J240"/>
      <c r="K240"/>
      <c r="L240"/>
    </row>
    <row r="241" spans="1:12" x14ac:dyDescent="0.3">
      <c r="A241" s="96" t="s">
        <v>1958</v>
      </c>
      <c r="B241" s="96" t="s">
        <v>1959</v>
      </c>
      <c r="C241" s="96" t="s">
        <v>1960</v>
      </c>
      <c r="D241" s="104">
        <v>20.8</v>
      </c>
      <c r="E241" s="104">
        <v>9</v>
      </c>
      <c r="F241" s="104">
        <v>13</v>
      </c>
      <c r="G241" s="104">
        <v>19</v>
      </c>
      <c r="H241" s="104">
        <v>30</v>
      </c>
      <c r="J241"/>
      <c r="K241"/>
      <c r="L241"/>
    </row>
    <row r="242" spans="1:12" x14ac:dyDescent="0.3">
      <c r="A242" s="96" t="s">
        <v>933</v>
      </c>
      <c r="B242" s="96" t="s">
        <v>932</v>
      </c>
      <c r="C242" s="96" t="s">
        <v>931</v>
      </c>
      <c r="D242" s="104">
        <v>22</v>
      </c>
      <c r="E242" s="104">
        <v>6.6</v>
      </c>
      <c r="F242" s="104">
        <v>15</v>
      </c>
      <c r="G242" s="104">
        <v>21</v>
      </c>
      <c r="H242" s="104">
        <v>30</v>
      </c>
      <c r="J242"/>
      <c r="K242"/>
      <c r="L242"/>
    </row>
    <row r="243" spans="1:12" x14ac:dyDescent="0.3">
      <c r="A243" s="96" t="s">
        <v>1961</v>
      </c>
      <c r="B243" s="96" t="s">
        <v>1962</v>
      </c>
      <c r="C243" s="96" t="s">
        <v>1963</v>
      </c>
      <c r="D243" s="104">
        <v>24.3</v>
      </c>
      <c r="E243" s="104">
        <v>7.7</v>
      </c>
      <c r="F243" s="104">
        <v>18</v>
      </c>
      <c r="G243" s="104">
        <v>23</v>
      </c>
      <c r="H243" s="104">
        <v>31</v>
      </c>
      <c r="J243"/>
      <c r="K243"/>
      <c r="L243"/>
    </row>
    <row r="244" spans="1:12" x14ac:dyDescent="0.3">
      <c r="A244" s="96" t="s">
        <v>930</v>
      </c>
      <c r="B244" s="96" t="s">
        <v>929</v>
      </c>
      <c r="C244" s="96" t="s">
        <v>928</v>
      </c>
      <c r="D244" s="104">
        <v>23.1</v>
      </c>
      <c r="E244" s="104">
        <v>10.199999999999999</v>
      </c>
      <c r="F244" s="104">
        <v>14</v>
      </c>
      <c r="G244" s="104">
        <v>21</v>
      </c>
      <c r="H244" s="104">
        <v>33</v>
      </c>
      <c r="J244"/>
      <c r="K244"/>
      <c r="L244"/>
    </row>
    <row r="245" spans="1:12" x14ac:dyDescent="0.3">
      <c r="A245" s="96" t="s">
        <v>1964</v>
      </c>
      <c r="B245" s="96" t="s">
        <v>1965</v>
      </c>
      <c r="C245" s="96" t="s">
        <v>1966</v>
      </c>
      <c r="D245" s="104">
        <v>16.8</v>
      </c>
      <c r="E245" s="104">
        <v>6.2</v>
      </c>
      <c r="F245" s="104">
        <v>11</v>
      </c>
      <c r="G245" s="104">
        <v>16</v>
      </c>
      <c r="H245" s="104">
        <v>23</v>
      </c>
      <c r="J245"/>
      <c r="K245"/>
      <c r="L245"/>
    </row>
    <row r="246" spans="1:12" x14ac:dyDescent="0.3">
      <c r="A246" s="96" t="s">
        <v>927</v>
      </c>
      <c r="B246" s="96" t="s">
        <v>926</v>
      </c>
      <c r="C246" s="96" t="s">
        <v>925</v>
      </c>
      <c r="D246" s="104">
        <v>24</v>
      </c>
      <c r="E246" s="104">
        <v>11.6</v>
      </c>
      <c r="F246" s="104">
        <v>14</v>
      </c>
      <c r="G246" s="104">
        <v>21</v>
      </c>
      <c r="H246" s="104">
        <v>36</v>
      </c>
      <c r="J246"/>
      <c r="K246"/>
      <c r="L246"/>
    </row>
    <row r="247" spans="1:12" x14ac:dyDescent="0.3">
      <c r="A247" s="96" t="s">
        <v>924</v>
      </c>
      <c r="B247" s="96" t="s">
        <v>923</v>
      </c>
      <c r="C247" s="96" t="s">
        <v>922</v>
      </c>
      <c r="D247" s="104">
        <v>26</v>
      </c>
      <c r="E247" s="104">
        <v>12.4</v>
      </c>
      <c r="F247" s="104">
        <v>15</v>
      </c>
      <c r="G247" s="104">
        <v>23</v>
      </c>
      <c r="H247" s="104">
        <v>39</v>
      </c>
      <c r="J247"/>
      <c r="K247"/>
      <c r="L247"/>
    </row>
    <row r="248" spans="1:12" x14ac:dyDescent="0.3">
      <c r="A248" s="96" t="s">
        <v>1967</v>
      </c>
      <c r="B248" s="96" t="s">
        <v>1968</v>
      </c>
      <c r="C248" s="96" t="s">
        <v>1969</v>
      </c>
      <c r="D248" s="104">
        <v>17.600000000000001</v>
      </c>
      <c r="E248" s="104">
        <v>7.2</v>
      </c>
      <c r="F248" s="104">
        <v>11</v>
      </c>
      <c r="G248" s="104">
        <v>16</v>
      </c>
      <c r="H248" s="104">
        <v>26</v>
      </c>
      <c r="J248"/>
      <c r="K248"/>
      <c r="L248"/>
    </row>
    <row r="249" spans="1:12" x14ac:dyDescent="0.3">
      <c r="A249" s="96" t="s">
        <v>1970</v>
      </c>
      <c r="B249" s="96" t="s">
        <v>1971</v>
      </c>
      <c r="C249" s="96" t="s">
        <v>1972</v>
      </c>
      <c r="D249" s="104">
        <v>21.8</v>
      </c>
      <c r="E249" s="104">
        <v>6.6</v>
      </c>
      <c r="F249" s="104">
        <v>16</v>
      </c>
      <c r="G249" s="104">
        <v>21</v>
      </c>
      <c r="H249" s="104">
        <v>28</v>
      </c>
      <c r="J249"/>
      <c r="K249"/>
      <c r="L249"/>
    </row>
    <row r="250" spans="1:12" x14ac:dyDescent="0.3">
      <c r="A250" s="96" t="s">
        <v>921</v>
      </c>
      <c r="B250" s="96" t="s">
        <v>920</v>
      </c>
      <c r="C250" s="96" t="s">
        <v>919</v>
      </c>
      <c r="D250" s="104">
        <v>18.8</v>
      </c>
      <c r="E250" s="104">
        <v>6.9</v>
      </c>
      <c r="F250" s="104">
        <v>13</v>
      </c>
      <c r="G250" s="104">
        <v>18</v>
      </c>
      <c r="H250" s="104">
        <v>26</v>
      </c>
      <c r="J250"/>
      <c r="K250"/>
      <c r="L250"/>
    </row>
    <row r="251" spans="1:12" x14ac:dyDescent="0.3">
      <c r="A251" s="96" t="s">
        <v>918</v>
      </c>
      <c r="B251" s="96" t="s">
        <v>917</v>
      </c>
      <c r="C251" s="96" t="s">
        <v>916</v>
      </c>
      <c r="D251" s="104">
        <v>25.2</v>
      </c>
      <c r="E251" s="104">
        <v>7.4</v>
      </c>
      <c r="F251" s="104">
        <v>17</v>
      </c>
      <c r="G251" s="104">
        <v>24</v>
      </c>
      <c r="H251" s="104">
        <v>34</v>
      </c>
      <c r="J251"/>
      <c r="K251"/>
      <c r="L251"/>
    </row>
    <row r="252" spans="1:12" x14ac:dyDescent="0.3">
      <c r="A252" s="96" t="s">
        <v>915</v>
      </c>
      <c r="B252" s="96" t="s">
        <v>914</v>
      </c>
      <c r="C252" s="96" t="s">
        <v>913</v>
      </c>
      <c r="D252" s="104">
        <v>11.6</v>
      </c>
      <c r="E252" s="104">
        <v>4.8</v>
      </c>
      <c r="F252" s="104">
        <v>8</v>
      </c>
      <c r="G252" s="104">
        <v>11</v>
      </c>
      <c r="H252" s="104">
        <v>16</v>
      </c>
      <c r="J252"/>
      <c r="K252"/>
      <c r="L252"/>
    </row>
    <row r="253" spans="1:12" x14ac:dyDescent="0.3">
      <c r="A253" s="96" t="s">
        <v>912</v>
      </c>
      <c r="B253" s="96" t="s">
        <v>911</v>
      </c>
      <c r="C253" s="96" t="s">
        <v>910</v>
      </c>
      <c r="D253" s="104">
        <v>7.5</v>
      </c>
      <c r="E253" s="104">
        <v>3.8</v>
      </c>
      <c r="F253" s="104">
        <v>4</v>
      </c>
      <c r="G253" s="104">
        <v>7</v>
      </c>
      <c r="H253" s="104">
        <v>12</v>
      </c>
      <c r="J253"/>
      <c r="K253"/>
      <c r="L253"/>
    </row>
    <row r="254" spans="1:12" x14ac:dyDescent="0.3">
      <c r="A254" s="96" t="s">
        <v>1973</v>
      </c>
      <c r="B254" s="96" t="s">
        <v>1974</v>
      </c>
      <c r="C254" s="96" t="s">
        <v>1975</v>
      </c>
      <c r="D254" s="104">
        <v>11.6</v>
      </c>
      <c r="E254" s="104">
        <v>3.5</v>
      </c>
      <c r="F254" s="104">
        <v>8</v>
      </c>
      <c r="G254" s="104">
        <v>11.5</v>
      </c>
      <c r="H254" s="104">
        <v>15</v>
      </c>
      <c r="J254"/>
      <c r="K254"/>
      <c r="L254"/>
    </row>
    <row r="255" spans="1:12" x14ac:dyDescent="0.3">
      <c r="A255" s="96" t="s">
        <v>909</v>
      </c>
      <c r="B255" s="96" t="s">
        <v>908</v>
      </c>
      <c r="C255" s="96" t="s">
        <v>907</v>
      </c>
      <c r="D255" s="104">
        <v>10.7</v>
      </c>
      <c r="E255" s="104">
        <v>3.9</v>
      </c>
      <c r="F255" s="104">
        <v>7</v>
      </c>
      <c r="G255" s="104">
        <v>10</v>
      </c>
      <c r="H255" s="104">
        <v>15</v>
      </c>
      <c r="J255"/>
      <c r="K255"/>
      <c r="L255"/>
    </row>
    <row r="256" spans="1:12" x14ac:dyDescent="0.3">
      <c r="A256" s="96" t="s">
        <v>906</v>
      </c>
      <c r="B256" s="96" t="s">
        <v>905</v>
      </c>
      <c r="C256" s="96" t="s">
        <v>904</v>
      </c>
      <c r="D256" s="104">
        <v>8.4</v>
      </c>
      <c r="E256" s="104">
        <v>3.1</v>
      </c>
      <c r="F256" s="104">
        <v>5</v>
      </c>
      <c r="G256" s="104">
        <v>8</v>
      </c>
      <c r="H256" s="104">
        <v>12</v>
      </c>
      <c r="J256"/>
      <c r="K256"/>
      <c r="L256"/>
    </row>
    <row r="257" spans="1:12" x14ac:dyDescent="0.3">
      <c r="A257" s="96" t="s">
        <v>903</v>
      </c>
      <c r="B257" s="96" t="s">
        <v>902</v>
      </c>
      <c r="C257" s="96" t="s">
        <v>901</v>
      </c>
      <c r="D257" s="104">
        <v>14.5</v>
      </c>
      <c r="E257" s="104">
        <v>4.5</v>
      </c>
      <c r="F257" s="104">
        <v>10</v>
      </c>
      <c r="G257" s="104">
        <v>14</v>
      </c>
      <c r="H257" s="104">
        <v>19</v>
      </c>
      <c r="J257"/>
      <c r="K257"/>
      <c r="L257"/>
    </row>
    <row r="258" spans="1:12" x14ac:dyDescent="0.3">
      <c r="A258" s="96" t="s">
        <v>900</v>
      </c>
      <c r="B258" s="96" t="s">
        <v>899</v>
      </c>
      <c r="C258" s="96" t="s">
        <v>898</v>
      </c>
      <c r="D258" s="104">
        <v>12.6</v>
      </c>
      <c r="E258" s="104">
        <v>6.3</v>
      </c>
      <c r="F258" s="104">
        <v>9</v>
      </c>
      <c r="G258" s="104">
        <v>11</v>
      </c>
      <c r="H258" s="104">
        <v>16</v>
      </c>
      <c r="J258"/>
      <c r="K258"/>
      <c r="L258"/>
    </row>
    <row r="259" spans="1:12" x14ac:dyDescent="0.3">
      <c r="A259" s="96" t="s">
        <v>897</v>
      </c>
      <c r="B259" s="96" t="s">
        <v>896</v>
      </c>
      <c r="C259" s="96" t="s">
        <v>895</v>
      </c>
      <c r="D259" s="104">
        <v>9.3000000000000007</v>
      </c>
      <c r="E259" s="104">
        <v>4.4000000000000004</v>
      </c>
      <c r="F259" s="104">
        <v>5</v>
      </c>
      <c r="G259" s="104">
        <v>9</v>
      </c>
      <c r="H259" s="104">
        <v>13</v>
      </c>
      <c r="J259"/>
      <c r="K259"/>
      <c r="L259"/>
    </row>
    <row r="260" spans="1:12" x14ac:dyDescent="0.3">
      <c r="A260" s="96" t="s">
        <v>894</v>
      </c>
      <c r="B260" s="96" t="s">
        <v>893</v>
      </c>
      <c r="C260" s="96" t="s">
        <v>892</v>
      </c>
      <c r="D260" s="104">
        <v>6.9</v>
      </c>
      <c r="E260" s="104">
        <v>2.6</v>
      </c>
      <c r="F260" s="104">
        <v>5</v>
      </c>
      <c r="G260" s="104">
        <v>6</v>
      </c>
      <c r="H260" s="104">
        <v>10</v>
      </c>
      <c r="J260"/>
      <c r="K260"/>
      <c r="L260"/>
    </row>
    <row r="261" spans="1:12" x14ac:dyDescent="0.3">
      <c r="A261" s="96" t="s">
        <v>891</v>
      </c>
      <c r="B261" s="96" t="s">
        <v>890</v>
      </c>
      <c r="C261" s="96" t="s">
        <v>889</v>
      </c>
      <c r="D261" s="104">
        <v>8.3000000000000007</v>
      </c>
      <c r="E261" s="104">
        <v>4.5</v>
      </c>
      <c r="F261" s="104">
        <v>5</v>
      </c>
      <c r="G261" s="104">
        <v>7</v>
      </c>
      <c r="H261" s="104">
        <v>13</v>
      </c>
      <c r="J261"/>
      <c r="K261"/>
      <c r="L261"/>
    </row>
    <row r="262" spans="1:12" x14ac:dyDescent="0.3">
      <c r="A262" s="96" t="s">
        <v>888</v>
      </c>
      <c r="B262" s="96" t="s">
        <v>887</v>
      </c>
      <c r="C262" s="96" t="s">
        <v>886</v>
      </c>
      <c r="D262" s="104">
        <v>11.9</v>
      </c>
      <c r="E262" s="104">
        <v>4.5999999999999996</v>
      </c>
      <c r="F262" s="104">
        <v>8</v>
      </c>
      <c r="G262" s="104">
        <v>11</v>
      </c>
      <c r="H262" s="104">
        <v>16</v>
      </c>
      <c r="J262"/>
      <c r="K262"/>
      <c r="L262"/>
    </row>
    <row r="263" spans="1:12" x14ac:dyDescent="0.3">
      <c r="A263" s="96" t="s">
        <v>885</v>
      </c>
      <c r="B263" s="96" t="s">
        <v>884</v>
      </c>
      <c r="C263" s="96" t="s">
        <v>1976</v>
      </c>
      <c r="D263" s="104">
        <v>9.9</v>
      </c>
      <c r="E263" s="104">
        <v>3.1</v>
      </c>
      <c r="F263" s="104">
        <v>7</v>
      </c>
      <c r="G263" s="104">
        <v>10</v>
      </c>
      <c r="H263" s="104">
        <v>14</v>
      </c>
      <c r="J263"/>
      <c r="K263"/>
      <c r="L263"/>
    </row>
    <row r="264" spans="1:12" x14ac:dyDescent="0.3">
      <c r="A264" s="96" t="s">
        <v>883</v>
      </c>
      <c r="B264" s="96" t="s">
        <v>882</v>
      </c>
      <c r="C264" s="96" t="s">
        <v>881</v>
      </c>
      <c r="D264" s="104">
        <v>12.3</v>
      </c>
      <c r="E264" s="104">
        <v>5</v>
      </c>
      <c r="F264" s="104">
        <v>7</v>
      </c>
      <c r="G264" s="104">
        <v>12</v>
      </c>
      <c r="H264" s="104">
        <v>16</v>
      </c>
      <c r="J264"/>
      <c r="K264"/>
      <c r="L264"/>
    </row>
    <row r="265" spans="1:12" x14ac:dyDescent="0.3">
      <c r="A265" s="96" t="s">
        <v>880</v>
      </c>
      <c r="B265" s="96" t="s">
        <v>879</v>
      </c>
      <c r="C265" s="96" t="s">
        <v>878</v>
      </c>
      <c r="D265" s="104">
        <v>7.5</v>
      </c>
      <c r="E265" s="104">
        <v>3.2</v>
      </c>
      <c r="F265" s="104">
        <v>5</v>
      </c>
      <c r="G265" s="104">
        <v>7</v>
      </c>
      <c r="H265" s="104">
        <v>11</v>
      </c>
      <c r="J265"/>
      <c r="K265"/>
      <c r="L265"/>
    </row>
    <row r="266" spans="1:12" x14ac:dyDescent="0.3">
      <c r="A266" s="96" t="s">
        <v>877</v>
      </c>
      <c r="B266" s="96" t="s">
        <v>876</v>
      </c>
      <c r="C266" s="96" t="s">
        <v>875</v>
      </c>
      <c r="D266" s="104">
        <v>9.1</v>
      </c>
      <c r="E266" s="104">
        <v>6.1</v>
      </c>
      <c r="F266" s="104">
        <v>4</v>
      </c>
      <c r="G266" s="104">
        <v>9</v>
      </c>
      <c r="H266" s="104">
        <v>13</v>
      </c>
      <c r="J266"/>
      <c r="K266"/>
      <c r="L266"/>
    </row>
    <row r="267" spans="1:12" x14ac:dyDescent="0.3">
      <c r="A267" s="96" t="s">
        <v>874</v>
      </c>
      <c r="B267" s="96" t="s">
        <v>873</v>
      </c>
      <c r="C267" s="96" t="s">
        <v>872</v>
      </c>
      <c r="D267" s="104">
        <v>11.2</v>
      </c>
      <c r="E267" s="104">
        <v>4.0999999999999996</v>
      </c>
      <c r="F267" s="104">
        <v>8</v>
      </c>
      <c r="G267" s="104">
        <v>10</v>
      </c>
      <c r="H267" s="104">
        <v>15</v>
      </c>
      <c r="J267"/>
      <c r="K267"/>
      <c r="L267"/>
    </row>
    <row r="268" spans="1:12" x14ac:dyDescent="0.3">
      <c r="A268" s="96" t="s">
        <v>871</v>
      </c>
      <c r="B268" s="96" t="s">
        <v>15</v>
      </c>
      <c r="C268" s="96" t="s">
        <v>870</v>
      </c>
      <c r="D268" s="104">
        <v>18.3</v>
      </c>
      <c r="E268" s="104">
        <v>6.9</v>
      </c>
      <c r="F268" s="104">
        <v>11</v>
      </c>
      <c r="G268" s="104">
        <v>18</v>
      </c>
      <c r="H268" s="104">
        <v>25</v>
      </c>
      <c r="J268"/>
      <c r="K268"/>
      <c r="L268"/>
    </row>
    <row r="269" spans="1:12" x14ac:dyDescent="0.3">
      <c r="A269" s="96" t="s">
        <v>869</v>
      </c>
      <c r="B269" s="96" t="s">
        <v>868</v>
      </c>
      <c r="C269" s="96" t="s">
        <v>867</v>
      </c>
      <c r="D269" s="104">
        <v>10.6</v>
      </c>
      <c r="E269" s="104">
        <v>4.8</v>
      </c>
      <c r="F269" s="104">
        <v>8</v>
      </c>
      <c r="G269" s="104">
        <v>10</v>
      </c>
      <c r="H269" s="104">
        <v>14</v>
      </c>
      <c r="J269"/>
      <c r="K269"/>
      <c r="L269"/>
    </row>
    <row r="270" spans="1:12" x14ac:dyDescent="0.3">
      <c r="A270" s="96" t="s">
        <v>866</v>
      </c>
      <c r="B270" s="96" t="s">
        <v>865</v>
      </c>
      <c r="C270" s="96" t="s">
        <v>864</v>
      </c>
      <c r="D270" s="104">
        <v>11</v>
      </c>
      <c r="E270" s="104">
        <v>3.4</v>
      </c>
      <c r="F270" s="104">
        <v>8</v>
      </c>
      <c r="G270" s="104">
        <v>11</v>
      </c>
      <c r="H270" s="104">
        <v>14</v>
      </c>
      <c r="J270"/>
      <c r="K270"/>
      <c r="L270"/>
    </row>
    <row r="271" spans="1:12" x14ac:dyDescent="0.3">
      <c r="A271" s="96" t="s">
        <v>863</v>
      </c>
      <c r="B271" s="96" t="s">
        <v>862</v>
      </c>
      <c r="C271" s="96" t="s">
        <v>861</v>
      </c>
      <c r="D271" s="104">
        <v>10</v>
      </c>
      <c r="E271" s="104">
        <v>5.8</v>
      </c>
      <c r="F271" s="104">
        <v>5</v>
      </c>
      <c r="G271" s="104">
        <v>9</v>
      </c>
      <c r="H271" s="104">
        <v>15</v>
      </c>
      <c r="J271"/>
      <c r="K271"/>
      <c r="L271"/>
    </row>
    <row r="272" spans="1:12" x14ac:dyDescent="0.3">
      <c r="A272" s="96" t="s">
        <v>860</v>
      </c>
      <c r="B272" s="96" t="s">
        <v>859</v>
      </c>
      <c r="C272" s="96" t="s">
        <v>858</v>
      </c>
      <c r="D272" s="104">
        <v>10.9</v>
      </c>
      <c r="E272" s="104">
        <v>4.9000000000000004</v>
      </c>
      <c r="F272" s="104">
        <v>6</v>
      </c>
      <c r="G272" s="104">
        <v>10</v>
      </c>
      <c r="H272" s="104">
        <v>16</v>
      </c>
      <c r="J272"/>
      <c r="K272"/>
      <c r="L272"/>
    </row>
    <row r="273" spans="1:12" x14ac:dyDescent="0.3">
      <c r="A273" s="96" t="s">
        <v>857</v>
      </c>
      <c r="B273" s="96" t="s">
        <v>856</v>
      </c>
      <c r="C273" s="96" t="s">
        <v>855</v>
      </c>
      <c r="D273" s="104">
        <v>10.1</v>
      </c>
      <c r="E273" s="104">
        <v>4.3</v>
      </c>
      <c r="F273" s="104">
        <v>6</v>
      </c>
      <c r="G273" s="104">
        <v>10</v>
      </c>
      <c r="H273" s="104">
        <v>14</v>
      </c>
      <c r="J273"/>
      <c r="K273"/>
      <c r="L273"/>
    </row>
    <row r="274" spans="1:12" x14ac:dyDescent="0.3">
      <c r="A274" s="96" t="s">
        <v>854</v>
      </c>
      <c r="B274" s="96" t="s">
        <v>14</v>
      </c>
      <c r="C274" s="96" t="s">
        <v>853</v>
      </c>
      <c r="D274" s="104">
        <v>18.8</v>
      </c>
      <c r="E274" s="104">
        <v>6.4</v>
      </c>
      <c r="F274" s="104">
        <v>13</v>
      </c>
      <c r="G274" s="104">
        <v>18</v>
      </c>
      <c r="H274" s="104">
        <v>25</v>
      </c>
      <c r="J274"/>
      <c r="K274"/>
      <c r="L274"/>
    </row>
    <row r="275" spans="1:12" x14ac:dyDescent="0.3">
      <c r="A275" s="96" t="s">
        <v>852</v>
      </c>
      <c r="B275" s="96" t="s">
        <v>851</v>
      </c>
      <c r="C275" s="96" t="s">
        <v>850</v>
      </c>
      <c r="D275" s="104">
        <v>13.9</v>
      </c>
      <c r="E275" s="104">
        <v>5.5</v>
      </c>
      <c r="F275" s="104">
        <v>9</v>
      </c>
      <c r="G275" s="104">
        <v>13</v>
      </c>
      <c r="H275" s="104">
        <v>19</v>
      </c>
      <c r="J275"/>
      <c r="K275"/>
      <c r="L275"/>
    </row>
    <row r="276" spans="1:12" x14ac:dyDescent="0.3">
      <c r="A276" s="96" t="s">
        <v>849</v>
      </c>
      <c r="B276" s="96" t="s">
        <v>848</v>
      </c>
      <c r="C276" s="96" t="s">
        <v>847</v>
      </c>
      <c r="D276" s="104">
        <v>11.9</v>
      </c>
      <c r="E276" s="104">
        <v>6.3</v>
      </c>
      <c r="F276" s="104">
        <v>8</v>
      </c>
      <c r="G276" s="104">
        <v>11</v>
      </c>
      <c r="H276" s="104">
        <v>15</v>
      </c>
      <c r="J276"/>
      <c r="K276"/>
      <c r="L276"/>
    </row>
    <row r="277" spans="1:12" x14ac:dyDescent="0.3">
      <c r="A277" s="96" t="s">
        <v>846</v>
      </c>
      <c r="B277" s="96" t="s">
        <v>845</v>
      </c>
      <c r="C277" s="96" t="s">
        <v>844</v>
      </c>
      <c r="D277" s="104">
        <v>11</v>
      </c>
      <c r="E277" s="104">
        <v>3.1</v>
      </c>
      <c r="F277" s="104">
        <v>9</v>
      </c>
      <c r="G277" s="104">
        <v>10</v>
      </c>
      <c r="H277" s="104">
        <v>14</v>
      </c>
      <c r="J277"/>
      <c r="K277"/>
      <c r="L277"/>
    </row>
    <row r="278" spans="1:12" x14ac:dyDescent="0.3">
      <c r="A278" s="96" t="s">
        <v>843</v>
      </c>
      <c r="B278" s="96" t="s">
        <v>842</v>
      </c>
      <c r="C278" s="96" t="s">
        <v>841</v>
      </c>
      <c r="D278" s="104">
        <v>13.7</v>
      </c>
      <c r="E278" s="104">
        <v>5</v>
      </c>
      <c r="F278" s="104">
        <v>9</v>
      </c>
      <c r="G278" s="104">
        <v>13</v>
      </c>
      <c r="H278" s="104">
        <v>19</v>
      </c>
      <c r="J278"/>
      <c r="K278"/>
      <c r="L278"/>
    </row>
    <row r="279" spans="1:12" x14ac:dyDescent="0.3">
      <c r="A279" s="96" t="s">
        <v>840</v>
      </c>
      <c r="B279" s="96" t="s">
        <v>839</v>
      </c>
      <c r="C279" s="96" t="s">
        <v>838</v>
      </c>
      <c r="D279" s="104">
        <v>11</v>
      </c>
      <c r="E279" s="104">
        <v>3.1</v>
      </c>
      <c r="F279" s="104">
        <v>9</v>
      </c>
      <c r="G279" s="104">
        <v>11</v>
      </c>
      <c r="H279" s="104">
        <v>14</v>
      </c>
      <c r="J279"/>
      <c r="K279"/>
      <c r="L279"/>
    </row>
    <row r="280" spans="1:12" x14ac:dyDescent="0.3">
      <c r="A280" s="96" t="s">
        <v>837</v>
      </c>
      <c r="B280" s="96" t="s">
        <v>836</v>
      </c>
      <c r="C280" s="96" t="s">
        <v>835</v>
      </c>
      <c r="D280" s="104">
        <v>8.6999999999999993</v>
      </c>
      <c r="E280" s="104">
        <v>9</v>
      </c>
      <c r="F280" s="104">
        <v>4</v>
      </c>
      <c r="G280" s="104">
        <v>8</v>
      </c>
      <c r="H280" s="104">
        <v>13</v>
      </c>
      <c r="J280"/>
      <c r="K280"/>
      <c r="L280"/>
    </row>
    <row r="281" spans="1:12" x14ac:dyDescent="0.3">
      <c r="A281" s="96" t="s">
        <v>834</v>
      </c>
      <c r="B281" s="96" t="s">
        <v>833</v>
      </c>
      <c r="C281" s="96" t="s">
        <v>832</v>
      </c>
      <c r="D281" s="104">
        <v>10.5</v>
      </c>
      <c r="E281" s="104">
        <v>5</v>
      </c>
      <c r="F281" s="104">
        <v>6</v>
      </c>
      <c r="G281" s="104">
        <v>10</v>
      </c>
      <c r="H281" s="104">
        <v>14</v>
      </c>
      <c r="J281"/>
      <c r="K281"/>
      <c r="L281"/>
    </row>
    <row r="282" spans="1:12" x14ac:dyDescent="0.3">
      <c r="A282" s="96" t="s">
        <v>831</v>
      </c>
      <c r="B282" s="96" t="s">
        <v>830</v>
      </c>
      <c r="C282" s="96" t="s">
        <v>829</v>
      </c>
      <c r="D282" s="104">
        <v>13</v>
      </c>
      <c r="E282" s="104">
        <v>5.7</v>
      </c>
      <c r="F282" s="104">
        <v>9</v>
      </c>
      <c r="G282" s="104">
        <v>12</v>
      </c>
      <c r="H282" s="104">
        <v>17</v>
      </c>
      <c r="J282"/>
      <c r="K282"/>
      <c r="L282"/>
    </row>
    <row r="283" spans="1:12" x14ac:dyDescent="0.3">
      <c r="A283" s="96" t="s">
        <v>828</v>
      </c>
      <c r="B283" s="96" t="s">
        <v>827</v>
      </c>
      <c r="C283" s="96" t="s">
        <v>826</v>
      </c>
      <c r="D283" s="104">
        <v>9</v>
      </c>
      <c r="E283" s="104">
        <v>3.6</v>
      </c>
      <c r="F283" s="104">
        <v>5</v>
      </c>
      <c r="G283" s="104">
        <v>9</v>
      </c>
      <c r="H283" s="104">
        <v>13</v>
      </c>
      <c r="J283"/>
      <c r="K283"/>
      <c r="L283"/>
    </row>
    <row r="284" spans="1:12" x14ac:dyDescent="0.3">
      <c r="A284" s="96" t="s">
        <v>825</v>
      </c>
      <c r="B284" s="96" t="s">
        <v>824</v>
      </c>
      <c r="C284" s="96" t="s">
        <v>823</v>
      </c>
      <c r="D284" s="104">
        <v>7.7</v>
      </c>
      <c r="E284" s="104">
        <v>4.2</v>
      </c>
      <c r="F284" s="104">
        <v>5</v>
      </c>
      <c r="G284" s="104">
        <v>7</v>
      </c>
      <c r="H284" s="104">
        <v>11</v>
      </c>
      <c r="J284"/>
      <c r="K284"/>
      <c r="L284"/>
    </row>
    <row r="285" spans="1:12" x14ac:dyDescent="0.3">
      <c r="A285" s="96" t="s">
        <v>822</v>
      </c>
      <c r="B285" s="96" t="s">
        <v>821</v>
      </c>
      <c r="C285" s="96" t="s">
        <v>820</v>
      </c>
      <c r="D285" s="104">
        <v>11.3</v>
      </c>
      <c r="E285" s="104">
        <v>3.7</v>
      </c>
      <c r="F285" s="104">
        <v>8</v>
      </c>
      <c r="G285" s="104">
        <v>11</v>
      </c>
      <c r="H285" s="104">
        <v>15</v>
      </c>
      <c r="J285"/>
      <c r="K285"/>
      <c r="L285"/>
    </row>
    <row r="286" spans="1:12" x14ac:dyDescent="0.3">
      <c r="A286" s="96" t="s">
        <v>819</v>
      </c>
      <c r="B286" s="96" t="s">
        <v>818</v>
      </c>
      <c r="C286" s="96" t="s">
        <v>817</v>
      </c>
      <c r="D286" s="104">
        <v>8.3000000000000007</v>
      </c>
      <c r="E286" s="104">
        <v>4.3</v>
      </c>
      <c r="F286" s="104">
        <v>5</v>
      </c>
      <c r="G286" s="104">
        <v>7</v>
      </c>
      <c r="H286" s="104">
        <v>12</v>
      </c>
      <c r="J286"/>
      <c r="K286"/>
      <c r="L286"/>
    </row>
    <row r="287" spans="1:12" x14ac:dyDescent="0.3">
      <c r="A287" s="96" t="s">
        <v>816</v>
      </c>
      <c r="B287" s="96" t="s">
        <v>815</v>
      </c>
      <c r="C287" s="96" t="s">
        <v>814</v>
      </c>
      <c r="D287" s="104">
        <v>9.4</v>
      </c>
      <c r="E287" s="104">
        <v>6.2</v>
      </c>
      <c r="F287" s="104">
        <v>5</v>
      </c>
      <c r="G287" s="104">
        <v>8</v>
      </c>
      <c r="H287" s="104">
        <v>14</v>
      </c>
      <c r="J287"/>
      <c r="K287"/>
      <c r="L287"/>
    </row>
    <row r="288" spans="1:12" x14ac:dyDescent="0.3">
      <c r="A288" s="96" t="s">
        <v>813</v>
      </c>
      <c r="B288" s="96" t="s">
        <v>812</v>
      </c>
      <c r="C288" s="96" t="s">
        <v>811</v>
      </c>
      <c r="D288" s="104">
        <v>12.6</v>
      </c>
      <c r="E288" s="104">
        <v>5.2</v>
      </c>
      <c r="F288" s="104">
        <v>8</v>
      </c>
      <c r="G288" s="104">
        <v>12</v>
      </c>
      <c r="H288" s="104">
        <v>17</v>
      </c>
      <c r="J288"/>
      <c r="K288"/>
      <c r="L288"/>
    </row>
    <row r="289" spans="1:12" x14ac:dyDescent="0.3">
      <c r="A289" s="96" t="s">
        <v>810</v>
      </c>
      <c r="B289" s="96" t="s">
        <v>809</v>
      </c>
      <c r="C289" s="96" t="s">
        <v>808</v>
      </c>
      <c r="D289" s="104">
        <v>11.3</v>
      </c>
      <c r="E289" s="104">
        <v>3.4</v>
      </c>
      <c r="F289" s="104">
        <v>9</v>
      </c>
      <c r="G289" s="104">
        <v>11</v>
      </c>
      <c r="H289" s="104">
        <v>14</v>
      </c>
      <c r="J289"/>
      <c r="K289"/>
      <c r="L289"/>
    </row>
    <row r="290" spans="1:12" x14ac:dyDescent="0.3">
      <c r="A290" s="96" t="s">
        <v>807</v>
      </c>
      <c r="B290" s="96" t="s">
        <v>806</v>
      </c>
      <c r="C290" s="96" t="s">
        <v>805</v>
      </c>
      <c r="D290" s="104">
        <v>7.1</v>
      </c>
      <c r="E290" s="104">
        <v>3.6</v>
      </c>
      <c r="F290" s="104">
        <v>5</v>
      </c>
      <c r="G290" s="104">
        <v>6</v>
      </c>
      <c r="H290" s="104">
        <v>10</v>
      </c>
      <c r="J290"/>
      <c r="K290"/>
      <c r="L290"/>
    </row>
    <row r="291" spans="1:12" x14ac:dyDescent="0.3">
      <c r="A291" s="96" t="s">
        <v>804</v>
      </c>
      <c r="B291" s="96" t="s">
        <v>803</v>
      </c>
      <c r="C291" s="96" t="s">
        <v>802</v>
      </c>
      <c r="D291" s="104">
        <v>7.3</v>
      </c>
      <c r="E291" s="104">
        <v>3.9</v>
      </c>
      <c r="F291" s="104">
        <v>5</v>
      </c>
      <c r="G291" s="104">
        <v>7</v>
      </c>
      <c r="H291" s="104">
        <v>10</v>
      </c>
      <c r="J291"/>
      <c r="K291"/>
      <c r="L291"/>
    </row>
    <row r="292" spans="1:12" x14ac:dyDescent="0.3">
      <c r="A292" s="96" t="s">
        <v>1977</v>
      </c>
      <c r="B292" s="96" t="s">
        <v>1978</v>
      </c>
      <c r="C292" s="96" t="s">
        <v>1979</v>
      </c>
      <c r="D292" s="104">
        <v>7.2</v>
      </c>
      <c r="E292" s="104">
        <v>2.8</v>
      </c>
      <c r="F292" s="104">
        <v>5</v>
      </c>
      <c r="G292" s="104">
        <v>6</v>
      </c>
      <c r="H292" s="104">
        <v>11</v>
      </c>
      <c r="J292"/>
      <c r="K292"/>
      <c r="L292"/>
    </row>
    <row r="293" spans="1:12" x14ac:dyDescent="0.3">
      <c r="A293" s="96" t="s">
        <v>801</v>
      </c>
      <c r="B293" s="96" t="s">
        <v>800</v>
      </c>
      <c r="C293" s="96" t="s">
        <v>799</v>
      </c>
      <c r="D293" s="104">
        <v>7.9</v>
      </c>
      <c r="E293" s="104">
        <v>2.9</v>
      </c>
      <c r="F293" s="104">
        <v>5</v>
      </c>
      <c r="G293" s="104">
        <v>7</v>
      </c>
      <c r="H293" s="104">
        <v>12</v>
      </c>
      <c r="J293"/>
      <c r="K293"/>
      <c r="L293"/>
    </row>
    <row r="294" spans="1:12" x14ac:dyDescent="0.3">
      <c r="A294" s="96" t="s">
        <v>798</v>
      </c>
      <c r="B294" s="96" t="s">
        <v>797</v>
      </c>
      <c r="C294" s="96" t="s">
        <v>796</v>
      </c>
      <c r="D294" s="104">
        <v>11.1</v>
      </c>
      <c r="E294" s="104">
        <v>4.0999999999999996</v>
      </c>
      <c r="F294" s="104">
        <v>8</v>
      </c>
      <c r="G294" s="104">
        <v>10</v>
      </c>
      <c r="H294" s="104">
        <v>14</v>
      </c>
      <c r="J294"/>
      <c r="K294"/>
      <c r="L294"/>
    </row>
    <row r="295" spans="1:12" x14ac:dyDescent="0.3">
      <c r="A295" s="96" t="s">
        <v>795</v>
      </c>
      <c r="B295" s="96" t="s">
        <v>794</v>
      </c>
      <c r="C295" s="96" t="s">
        <v>793</v>
      </c>
      <c r="D295" s="104">
        <v>8.6999999999999993</v>
      </c>
      <c r="E295" s="104">
        <v>2.6</v>
      </c>
      <c r="F295" s="104">
        <v>5</v>
      </c>
      <c r="G295" s="104">
        <v>9</v>
      </c>
      <c r="H295" s="104">
        <v>12</v>
      </c>
      <c r="J295"/>
      <c r="K295"/>
      <c r="L295"/>
    </row>
    <row r="296" spans="1:12" x14ac:dyDescent="0.3">
      <c r="A296" s="96" t="s">
        <v>792</v>
      </c>
      <c r="B296" s="96" t="s">
        <v>791</v>
      </c>
      <c r="C296" s="96" t="s">
        <v>790</v>
      </c>
      <c r="D296" s="104">
        <v>10.5</v>
      </c>
      <c r="E296" s="104">
        <v>3.5</v>
      </c>
      <c r="F296" s="104">
        <v>6</v>
      </c>
      <c r="G296" s="104">
        <v>10</v>
      </c>
      <c r="H296" s="104">
        <v>14</v>
      </c>
      <c r="J296"/>
      <c r="K296"/>
      <c r="L296"/>
    </row>
    <row r="297" spans="1:12" x14ac:dyDescent="0.3">
      <c r="A297" s="96" t="s">
        <v>789</v>
      </c>
      <c r="B297" s="96" t="s">
        <v>788</v>
      </c>
      <c r="C297" s="96" t="s">
        <v>787</v>
      </c>
      <c r="D297" s="104">
        <v>10.1</v>
      </c>
      <c r="E297" s="104">
        <v>3.2</v>
      </c>
      <c r="F297" s="104">
        <v>7</v>
      </c>
      <c r="G297" s="104">
        <v>10</v>
      </c>
      <c r="H297" s="104">
        <v>14</v>
      </c>
      <c r="J297"/>
      <c r="K297"/>
      <c r="L297"/>
    </row>
    <row r="298" spans="1:12" x14ac:dyDescent="0.3">
      <c r="A298" s="96" t="s">
        <v>1980</v>
      </c>
      <c r="B298" s="96" t="s">
        <v>1981</v>
      </c>
      <c r="C298" s="96" t="s">
        <v>1982</v>
      </c>
      <c r="D298" s="104">
        <v>7.2</v>
      </c>
      <c r="E298" s="104">
        <v>3.6</v>
      </c>
      <c r="F298" s="104">
        <v>4</v>
      </c>
      <c r="G298" s="104">
        <v>6</v>
      </c>
      <c r="H298" s="104">
        <v>12</v>
      </c>
      <c r="J298"/>
      <c r="K298"/>
      <c r="L298"/>
    </row>
    <row r="299" spans="1:12" x14ac:dyDescent="0.3">
      <c r="A299" s="96" t="s">
        <v>786</v>
      </c>
      <c r="B299" s="96" t="s">
        <v>785</v>
      </c>
      <c r="C299" s="96" t="s">
        <v>784</v>
      </c>
      <c r="D299" s="104">
        <v>8.6999999999999993</v>
      </c>
      <c r="E299" s="104">
        <v>3.1</v>
      </c>
      <c r="F299" s="104">
        <v>5</v>
      </c>
      <c r="G299" s="104">
        <v>8</v>
      </c>
      <c r="H299" s="104">
        <v>13</v>
      </c>
      <c r="J299"/>
      <c r="K299"/>
      <c r="L299"/>
    </row>
    <row r="300" spans="1:12" x14ac:dyDescent="0.3">
      <c r="A300" s="96" t="s">
        <v>783</v>
      </c>
      <c r="B300" s="96" t="s">
        <v>782</v>
      </c>
      <c r="C300" s="96" t="s">
        <v>781</v>
      </c>
      <c r="D300" s="104">
        <v>7.4</v>
      </c>
      <c r="E300" s="104">
        <v>2.9</v>
      </c>
      <c r="F300" s="104">
        <v>4</v>
      </c>
      <c r="G300" s="104">
        <v>7</v>
      </c>
      <c r="H300" s="104">
        <v>11</v>
      </c>
      <c r="J300"/>
      <c r="K300"/>
      <c r="L300"/>
    </row>
    <row r="301" spans="1:12" x14ac:dyDescent="0.3">
      <c r="A301" s="96" t="s">
        <v>780</v>
      </c>
      <c r="B301" s="96" t="s">
        <v>779</v>
      </c>
      <c r="C301" s="96" t="s">
        <v>778</v>
      </c>
      <c r="D301" s="104">
        <v>6.3</v>
      </c>
      <c r="E301" s="104">
        <v>3.3</v>
      </c>
      <c r="F301" s="104">
        <v>4</v>
      </c>
      <c r="G301" s="104">
        <v>6</v>
      </c>
      <c r="H301" s="104">
        <v>8</v>
      </c>
      <c r="J301"/>
      <c r="K301"/>
      <c r="L301"/>
    </row>
    <row r="302" spans="1:12" x14ac:dyDescent="0.3">
      <c r="A302" s="96" t="s">
        <v>777</v>
      </c>
      <c r="B302" s="96" t="s">
        <v>776</v>
      </c>
      <c r="C302" s="96" t="s">
        <v>1983</v>
      </c>
      <c r="D302" s="104">
        <v>10.3</v>
      </c>
      <c r="E302" s="104">
        <v>2.9</v>
      </c>
      <c r="F302" s="104">
        <v>8</v>
      </c>
      <c r="G302" s="104">
        <v>10</v>
      </c>
      <c r="H302" s="104">
        <v>14</v>
      </c>
      <c r="J302"/>
      <c r="K302"/>
      <c r="L302"/>
    </row>
    <row r="303" spans="1:12" x14ac:dyDescent="0.3">
      <c r="A303" s="96" t="s">
        <v>775</v>
      </c>
      <c r="B303" s="96" t="s">
        <v>774</v>
      </c>
      <c r="C303" s="96" t="s">
        <v>773</v>
      </c>
      <c r="D303" s="104">
        <v>6.9</v>
      </c>
      <c r="E303" s="104">
        <v>2.5</v>
      </c>
      <c r="F303" s="104">
        <v>5</v>
      </c>
      <c r="G303" s="104">
        <v>6</v>
      </c>
      <c r="H303" s="104">
        <v>10</v>
      </c>
      <c r="J303"/>
      <c r="K303"/>
      <c r="L303"/>
    </row>
    <row r="304" spans="1:12" x14ac:dyDescent="0.3">
      <c r="A304" s="96" t="s">
        <v>772</v>
      </c>
      <c r="B304" s="96" t="s">
        <v>771</v>
      </c>
      <c r="C304" s="96" t="s">
        <v>770</v>
      </c>
      <c r="D304" s="104">
        <v>7.2</v>
      </c>
      <c r="E304" s="104">
        <v>3.3</v>
      </c>
      <c r="F304" s="104">
        <v>4</v>
      </c>
      <c r="G304" s="104">
        <v>6</v>
      </c>
      <c r="H304" s="104">
        <v>11</v>
      </c>
      <c r="J304"/>
      <c r="K304"/>
      <c r="L304"/>
    </row>
    <row r="305" spans="1:12" x14ac:dyDescent="0.3">
      <c r="A305" s="96" t="s">
        <v>769</v>
      </c>
      <c r="B305" s="96" t="s">
        <v>768</v>
      </c>
      <c r="C305" s="96" t="s">
        <v>767</v>
      </c>
      <c r="D305" s="104">
        <v>11.5</v>
      </c>
      <c r="E305" s="104">
        <v>5.3</v>
      </c>
      <c r="F305" s="104">
        <v>8</v>
      </c>
      <c r="G305" s="104">
        <v>11</v>
      </c>
      <c r="H305" s="104">
        <v>15</v>
      </c>
      <c r="J305"/>
      <c r="K305"/>
      <c r="L305"/>
    </row>
    <row r="306" spans="1:12" x14ac:dyDescent="0.3">
      <c r="A306" s="96" t="s">
        <v>766</v>
      </c>
      <c r="B306" s="96" t="s">
        <v>765</v>
      </c>
      <c r="C306" s="96" t="s">
        <v>764</v>
      </c>
      <c r="D306" s="104">
        <v>7.9</v>
      </c>
      <c r="E306" s="104">
        <v>3.8</v>
      </c>
      <c r="F306" s="104">
        <v>5</v>
      </c>
      <c r="G306" s="104">
        <v>7</v>
      </c>
      <c r="H306" s="104">
        <v>12</v>
      </c>
      <c r="J306"/>
      <c r="K306"/>
      <c r="L306"/>
    </row>
    <row r="307" spans="1:12" x14ac:dyDescent="0.3">
      <c r="A307" s="96" t="s">
        <v>763</v>
      </c>
      <c r="B307" s="96" t="s">
        <v>11</v>
      </c>
      <c r="C307" s="96" t="s">
        <v>762</v>
      </c>
      <c r="D307" s="104">
        <v>10.9</v>
      </c>
      <c r="E307" s="104">
        <v>4.5</v>
      </c>
      <c r="F307" s="104">
        <v>7</v>
      </c>
      <c r="G307" s="104">
        <v>10</v>
      </c>
      <c r="H307" s="104">
        <v>15</v>
      </c>
      <c r="J307"/>
      <c r="K307"/>
      <c r="L307"/>
    </row>
    <row r="308" spans="1:12" x14ac:dyDescent="0.3">
      <c r="A308" s="96" t="s">
        <v>761</v>
      </c>
      <c r="B308" s="96" t="s">
        <v>760</v>
      </c>
      <c r="C308" s="96" t="s">
        <v>759</v>
      </c>
      <c r="D308" s="104">
        <v>12.9</v>
      </c>
      <c r="E308" s="104">
        <v>5</v>
      </c>
      <c r="F308" s="104">
        <v>9</v>
      </c>
      <c r="G308" s="104">
        <v>12</v>
      </c>
      <c r="H308" s="104">
        <v>17</v>
      </c>
      <c r="J308"/>
      <c r="K308"/>
      <c r="L308"/>
    </row>
    <row r="309" spans="1:12" x14ac:dyDescent="0.3">
      <c r="A309" s="96" t="s">
        <v>758</v>
      </c>
      <c r="B309" s="96" t="s">
        <v>757</v>
      </c>
      <c r="C309" s="96" t="s">
        <v>756</v>
      </c>
      <c r="D309" s="104">
        <v>7.9</v>
      </c>
      <c r="E309" s="104">
        <v>2.9</v>
      </c>
      <c r="F309" s="104">
        <v>5</v>
      </c>
      <c r="G309" s="104">
        <v>7</v>
      </c>
      <c r="H309" s="104">
        <v>11</v>
      </c>
      <c r="J309"/>
      <c r="K309"/>
      <c r="L309"/>
    </row>
    <row r="310" spans="1:12" x14ac:dyDescent="0.3">
      <c r="A310" s="96" t="s">
        <v>755</v>
      </c>
      <c r="B310" s="96" t="s">
        <v>754</v>
      </c>
      <c r="C310" s="96" t="s">
        <v>753</v>
      </c>
      <c r="D310" s="104">
        <v>11.1</v>
      </c>
      <c r="E310" s="104">
        <v>6.5</v>
      </c>
      <c r="F310" s="104">
        <v>8</v>
      </c>
      <c r="G310" s="104">
        <v>10</v>
      </c>
      <c r="H310" s="104">
        <v>13</v>
      </c>
      <c r="J310"/>
      <c r="K310"/>
      <c r="L310"/>
    </row>
    <row r="311" spans="1:12" x14ac:dyDescent="0.3">
      <c r="A311" s="96" t="s">
        <v>752</v>
      </c>
      <c r="B311" s="96" t="s">
        <v>751</v>
      </c>
      <c r="C311" s="96" t="s">
        <v>750</v>
      </c>
      <c r="D311" s="104">
        <v>6.9</v>
      </c>
      <c r="E311" s="104">
        <v>3.4</v>
      </c>
      <c r="F311" s="104">
        <v>4</v>
      </c>
      <c r="G311" s="104">
        <v>6</v>
      </c>
      <c r="H311" s="104">
        <v>10</v>
      </c>
      <c r="J311"/>
      <c r="K311"/>
      <c r="L311"/>
    </row>
    <row r="312" spans="1:12" x14ac:dyDescent="0.3">
      <c r="A312" s="96" t="s">
        <v>749</v>
      </c>
      <c r="B312" s="96" t="s">
        <v>748</v>
      </c>
      <c r="C312" s="96" t="s">
        <v>747</v>
      </c>
      <c r="D312" s="104">
        <v>11.8</v>
      </c>
      <c r="E312" s="104">
        <v>3.6</v>
      </c>
      <c r="F312" s="104">
        <v>9</v>
      </c>
      <c r="G312" s="104">
        <v>11</v>
      </c>
      <c r="H312" s="104">
        <v>16</v>
      </c>
      <c r="J312"/>
      <c r="K312"/>
      <c r="L312"/>
    </row>
    <row r="313" spans="1:12" x14ac:dyDescent="0.3">
      <c r="A313" s="96" t="s">
        <v>746</v>
      </c>
      <c r="B313" s="96" t="s">
        <v>745</v>
      </c>
      <c r="C313" s="96" t="s">
        <v>1984</v>
      </c>
      <c r="D313" s="104">
        <v>11.6</v>
      </c>
      <c r="E313" s="104">
        <v>4</v>
      </c>
      <c r="F313" s="104">
        <v>6</v>
      </c>
      <c r="G313" s="104">
        <v>12</v>
      </c>
      <c r="H313" s="104">
        <v>16</v>
      </c>
      <c r="J313"/>
      <c r="K313"/>
      <c r="L313"/>
    </row>
    <row r="314" spans="1:12" x14ac:dyDescent="0.3">
      <c r="A314" s="96" t="s">
        <v>744</v>
      </c>
      <c r="B314" s="96" t="s">
        <v>743</v>
      </c>
      <c r="C314" s="96" t="s">
        <v>742</v>
      </c>
      <c r="D314" s="104">
        <v>8.9</v>
      </c>
      <c r="E314" s="104">
        <v>3.2</v>
      </c>
      <c r="F314" s="104">
        <v>5</v>
      </c>
      <c r="G314" s="104">
        <v>8</v>
      </c>
      <c r="H314" s="104">
        <v>13</v>
      </c>
      <c r="J314"/>
      <c r="K314"/>
      <c r="L314"/>
    </row>
    <row r="315" spans="1:12" x14ac:dyDescent="0.3">
      <c r="A315" s="96" t="s">
        <v>741</v>
      </c>
      <c r="B315" s="96" t="s">
        <v>740</v>
      </c>
      <c r="C315" s="96" t="s">
        <v>739</v>
      </c>
      <c r="D315" s="104">
        <v>15.8</v>
      </c>
      <c r="E315" s="104">
        <v>5.2</v>
      </c>
      <c r="F315" s="104">
        <v>11</v>
      </c>
      <c r="G315" s="104">
        <v>15</v>
      </c>
      <c r="H315" s="104">
        <v>22</v>
      </c>
      <c r="J315"/>
      <c r="K315"/>
      <c r="L315"/>
    </row>
    <row r="316" spans="1:12" x14ac:dyDescent="0.3">
      <c r="A316" s="96" t="s">
        <v>738</v>
      </c>
      <c r="B316" s="96" t="s">
        <v>737</v>
      </c>
      <c r="C316" s="96" t="s">
        <v>736</v>
      </c>
      <c r="D316" s="104">
        <v>12.1</v>
      </c>
      <c r="E316" s="104">
        <v>5.0999999999999996</v>
      </c>
      <c r="F316" s="104">
        <v>8</v>
      </c>
      <c r="G316" s="104">
        <v>11</v>
      </c>
      <c r="H316" s="104">
        <v>17</v>
      </c>
      <c r="J316"/>
      <c r="K316"/>
      <c r="L316"/>
    </row>
    <row r="317" spans="1:12" x14ac:dyDescent="0.3">
      <c r="A317" s="96" t="s">
        <v>735</v>
      </c>
      <c r="B317" s="96" t="s">
        <v>734</v>
      </c>
      <c r="C317" s="96" t="s">
        <v>733</v>
      </c>
      <c r="D317" s="104">
        <v>10.8</v>
      </c>
      <c r="E317" s="104">
        <v>6</v>
      </c>
      <c r="F317" s="104">
        <v>8</v>
      </c>
      <c r="G317" s="104">
        <v>10</v>
      </c>
      <c r="H317" s="104">
        <v>14</v>
      </c>
      <c r="J317"/>
      <c r="K317"/>
      <c r="L317"/>
    </row>
    <row r="318" spans="1:12" x14ac:dyDescent="0.3">
      <c r="A318" s="96" t="s">
        <v>732</v>
      </c>
      <c r="B318" s="96" t="s">
        <v>731</v>
      </c>
      <c r="C318" s="96" t="s">
        <v>730</v>
      </c>
      <c r="D318" s="104">
        <v>10.6</v>
      </c>
      <c r="E318" s="104">
        <v>2.7</v>
      </c>
      <c r="F318" s="104">
        <v>8</v>
      </c>
      <c r="G318" s="104">
        <v>10</v>
      </c>
      <c r="H318" s="104">
        <v>14</v>
      </c>
      <c r="J318"/>
      <c r="K318"/>
      <c r="L318"/>
    </row>
    <row r="319" spans="1:12" x14ac:dyDescent="0.3">
      <c r="A319" s="96" t="s">
        <v>729</v>
      </c>
      <c r="B319" s="96" t="s">
        <v>728</v>
      </c>
      <c r="C319" s="96" t="s">
        <v>727</v>
      </c>
      <c r="D319" s="104">
        <v>6</v>
      </c>
      <c r="E319" s="104">
        <v>1.7</v>
      </c>
      <c r="F319" s="104">
        <v>4</v>
      </c>
      <c r="G319" s="104">
        <v>6</v>
      </c>
      <c r="H319" s="104">
        <v>8</v>
      </c>
      <c r="J319"/>
      <c r="K319"/>
      <c r="L319"/>
    </row>
    <row r="320" spans="1:12" x14ac:dyDescent="0.3">
      <c r="A320" s="96" t="s">
        <v>726</v>
      </c>
      <c r="B320" s="96" t="s">
        <v>725</v>
      </c>
      <c r="C320" s="96" t="s">
        <v>724</v>
      </c>
      <c r="D320" s="104">
        <v>6.5</v>
      </c>
      <c r="E320" s="104">
        <v>2.6</v>
      </c>
      <c r="F320" s="104">
        <v>4</v>
      </c>
      <c r="G320" s="104">
        <v>6</v>
      </c>
      <c r="H320" s="104">
        <v>10</v>
      </c>
      <c r="J320"/>
      <c r="K320"/>
      <c r="L320"/>
    </row>
    <row r="321" spans="1:12" x14ac:dyDescent="0.3">
      <c r="A321" s="96" t="s">
        <v>723</v>
      </c>
      <c r="B321" s="96" t="s">
        <v>722</v>
      </c>
      <c r="C321" s="96" t="s">
        <v>721</v>
      </c>
      <c r="D321" s="104">
        <v>11.5</v>
      </c>
      <c r="E321" s="104">
        <v>3.4</v>
      </c>
      <c r="F321" s="104">
        <v>8</v>
      </c>
      <c r="G321" s="104">
        <v>11</v>
      </c>
      <c r="H321" s="104">
        <v>15</v>
      </c>
      <c r="J321"/>
      <c r="K321"/>
      <c r="L321"/>
    </row>
    <row r="322" spans="1:12" x14ac:dyDescent="0.3">
      <c r="A322" s="96" t="s">
        <v>720</v>
      </c>
      <c r="B322" s="96" t="s">
        <v>719</v>
      </c>
      <c r="C322" s="96" t="s">
        <v>718</v>
      </c>
      <c r="D322" s="104">
        <v>14.1</v>
      </c>
      <c r="E322" s="104">
        <v>8.6</v>
      </c>
      <c r="F322" s="104">
        <v>9</v>
      </c>
      <c r="G322" s="104">
        <v>12</v>
      </c>
      <c r="H322" s="104">
        <v>20</v>
      </c>
      <c r="J322"/>
      <c r="K322"/>
      <c r="L322"/>
    </row>
    <row r="323" spans="1:12" x14ac:dyDescent="0.3">
      <c r="A323" s="96" t="s">
        <v>717</v>
      </c>
      <c r="B323" s="96" t="s">
        <v>716</v>
      </c>
      <c r="C323" s="96" t="s">
        <v>715</v>
      </c>
      <c r="D323" s="104">
        <v>9.6999999999999993</v>
      </c>
      <c r="E323" s="104">
        <v>4</v>
      </c>
      <c r="F323" s="104">
        <v>6</v>
      </c>
      <c r="G323" s="104">
        <v>9</v>
      </c>
      <c r="H323" s="104">
        <v>14</v>
      </c>
      <c r="J323"/>
      <c r="K323"/>
      <c r="L323"/>
    </row>
    <row r="324" spans="1:12" x14ac:dyDescent="0.3">
      <c r="A324" s="96" t="s">
        <v>714</v>
      </c>
      <c r="B324" s="96" t="s">
        <v>713</v>
      </c>
      <c r="C324" s="96" t="s">
        <v>712</v>
      </c>
      <c r="D324" s="104">
        <v>11.3</v>
      </c>
      <c r="E324" s="104">
        <v>4.5999999999999996</v>
      </c>
      <c r="F324" s="104">
        <v>8</v>
      </c>
      <c r="G324" s="104">
        <v>10</v>
      </c>
      <c r="H324" s="104">
        <v>15</v>
      </c>
      <c r="J324"/>
      <c r="K324"/>
      <c r="L324"/>
    </row>
    <row r="325" spans="1:12" x14ac:dyDescent="0.3">
      <c r="A325" s="96" t="s">
        <v>711</v>
      </c>
      <c r="B325" s="96" t="s">
        <v>710</v>
      </c>
      <c r="C325" s="96" t="s">
        <v>709</v>
      </c>
      <c r="D325" s="104">
        <v>9.6</v>
      </c>
      <c r="E325" s="104">
        <v>4.7</v>
      </c>
      <c r="F325" s="104">
        <v>6</v>
      </c>
      <c r="G325" s="104">
        <v>9</v>
      </c>
      <c r="H325" s="104">
        <v>14</v>
      </c>
      <c r="J325"/>
      <c r="K325"/>
      <c r="L325"/>
    </row>
    <row r="326" spans="1:12" x14ac:dyDescent="0.3">
      <c r="A326" s="96" t="s">
        <v>708</v>
      </c>
      <c r="B326" s="96" t="s">
        <v>707</v>
      </c>
      <c r="C326" s="96" t="s">
        <v>706</v>
      </c>
      <c r="D326" s="104">
        <v>7</v>
      </c>
      <c r="E326" s="104">
        <v>3.4</v>
      </c>
      <c r="F326" s="104">
        <v>4</v>
      </c>
      <c r="G326" s="104">
        <v>6</v>
      </c>
      <c r="H326" s="104">
        <v>10.5</v>
      </c>
      <c r="J326"/>
      <c r="K326"/>
      <c r="L326"/>
    </row>
    <row r="327" spans="1:12" x14ac:dyDescent="0.3">
      <c r="A327" s="96" t="s">
        <v>705</v>
      </c>
      <c r="B327" s="96" t="s">
        <v>704</v>
      </c>
      <c r="C327" s="96" t="s">
        <v>703</v>
      </c>
      <c r="D327" s="104">
        <v>14.3</v>
      </c>
      <c r="E327" s="104">
        <v>5.6</v>
      </c>
      <c r="F327" s="104">
        <v>9</v>
      </c>
      <c r="G327" s="104">
        <v>13</v>
      </c>
      <c r="H327" s="104">
        <v>20</v>
      </c>
      <c r="J327"/>
      <c r="K327"/>
      <c r="L327"/>
    </row>
    <row r="328" spans="1:12" x14ac:dyDescent="0.3">
      <c r="A328" s="96" t="s">
        <v>702</v>
      </c>
      <c r="B328" s="96" t="s">
        <v>701</v>
      </c>
      <c r="C328" s="96" t="s">
        <v>700</v>
      </c>
      <c r="D328" s="104">
        <v>7</v>
      </c>
      <c r="E328" s="104">
        <v>2.2999999999999998</v>
      </c>
      <c r="F328" s="104">
        <v>5</v>
      </c>
      <c r="G328" s="104">
        <v>7</v>
      </c>
      <c r="H328" s="104">
        <v>10</v>
      </c>
      <c r="J328"/>
      <c r="K328"/>
      <c r="L328"/>
    </row>
    <row r="329" spans="1:12" x14ac:dyDescent="0.3">
      <c r="A329" s="96" t="s">
        <v>699</v>
      </c>
      <c r="B329" s="96" t="s">
        <v>698</v>
      </c>
      <c r="C329" s="96" t="s">
        <v>697</v>
      </c>
      <c r="D329" s="104">
        <v>7.4</v>
      </c>
      <c r="E329" s="104">
        <v>2.2999999999999998</v>
      </c>
      <c r="F329" s="104">
        <v>5</v>
      </c>
      <c r="G329" s="104">
        <v>7</v>
      </c>
      <c r="H329" s="104">
        <v>10</v>
      </c>
      <c r="J329"/>
      <c r="K329"/>
      <c r="L329"/>
    </row>
    <row r="330" spans="1:12" x14ac:dyDescent="0.3">
      <c r="A330" s="96" t="s">
        <v>696</v>
      </c>
      <c r="B330" s="96" t="s">
        <v>695</v>
      </c>
      <c r="C330" s="96" t="s">
        <v>694</v>
      </c>
      <c r="D330" s="104">
        <v>7.4</v>
      </c>
      <c r="E330" s="104">
        <v>3.2</v>
      </c>
      <c r="F330" s="104">
        <v>4</v>
      </c>
      <c r="G330" s="104">
        <v>7</v>
      </c>
      <c r="H330" s="104">
        <v>11</v>
      </c>
      <c r="J330"/>
      <c r="K330"/>
      <c r="L330"/>
    </row>
    <row r="331" spans="1:12" x14ac:dyDescent="0.3">
      <c r="A331" s="96" t="s">
        <v>693</v>
      </c>
      <c r="B331" s="96" t="s">
        <v>692</v>
      </c>
      <c r="C331" s="96" t="s">
        <v>691</v>
      </c>
      <c r="D331" s="104">
        <v>8.8000000000000007</v>
      </c>
      <c r="E331" s="104">
        <v>4.0999999999999996</v>
      </c>
      <c r="F331" s="104">
        <v>5</v>
      </c>
      <c r="G331" s="104">
        <v>8</v>
      </c>
      <c r="H331" s="104">
        <v>13</v>
      </c>
      <c r="J331"/>
      <c r="K331"/>
      <c r="L331"/>
    </row>
    <row r="332" spans="1:12" x14ac:dyDescent="0.3">
      <c r="A332" s="96" t="s">
        <v>690</v>
      </c>
      <c r="B332" s="96" t="s">
        <v>689</v>
      </c>
      <c r="C332" s="96" t="s">
        <v>1985</v>
      </c>
      <c r="D332" s="104">
        <v>7.4</v>
      </c>
      <c r="E332" s="104">
        <v>2.7</v>
      </c>
      <c r="F332" s="104">
        <v>5</v>
      </c>
      <c r="G332" s="104">
        <v>7</v>
      </c>
      <c r="H332" s="104">
        <v>10</v>
      </c>
      <c r="J332"/>
      <c r="K332"/>
      <c r="L332"/>
    </row>
    <row r="333" spans="1:12" x14ac:dyDescent="0.3">
      <c r="A333" s="96" t="s">
        <v>688</v>
      </c>
      <c r="B333" s="96" t="s">
        <v>687</v>
      </c>
      <c r="C333" s="96" t="s">
        <v>1986</v>
      </c>
      <c r="D333" s="104">
        <v>11.2</v>
      </c>
      <c r="E333" s="104">
        <v>3.8</v>
      </c>
      <c r="F333" s="104">
        <v>8</v>
      </c>
      <c r="G333" s="104">
        <v>10</v>
      </c>
      <c r="H333" s="104">
        <v>16</v>
      </c>
      <c r="J333"/>
      <c r="K333"/>
      <c r="L333"/>
    </row>
    <row r="334" spans="1:12" x14ac:dyDescent="0.3">
      <c r="A334" s="96" t="s">
        <v>686</v>
      </c>
      <c r="B334" s="96" t="s">
        <v>685</v>
      </c>
      <c r="C334" s="96" t="s">
        <v>684</v>
      </c>
      <c r="D334" s="104">
        <v>8</v>
      </c>
      <c r="E334" s="104">
        <v>4.3</v>
      </c>
      <c r="F334" s="104">
        <v>4</v>
      </c>
      <c r="G334" s="104">
        <v>7</v>
      </c>
      <c r="H334" s="104">
        <v>12</v>
      </c>
      <c r="J334"/>
      <c r="K334"/>
      <c r="L334"/>
    </row>
    <row r="335" spans="1:12" x14ac:dyDescent="0.3">
      <c r="A335" s="96" t="s">
        <v>683</v>
      </c>
      <c r="B335" s="96" t="s">
        <v>682</v>
      </c>
      <c r="C335" s="96" t="s">
        <v>681</v>
      </c>
      <c r="D335" s="104">
        <v>12.1</v>
      </c>
      <c r="E335" s="104">
        <v>4.7</v>
      </c>
      <c r="F335" s="104">
        <v>8</v>
      </c>
      <c r="G335" s="104">
        <v>11</v>
      </c>
      <c r="H335" s="104">
        <v>17</v>
      </c>
      <c r="J335"/>
      <c r="K335"/>
      <c r="L335"/>
    </row>
    <row r="336" spans="1:12" x14ac:dyDescent="0.3">
      <c r="A336" s="96" t="s">
        <v>680</v>
      </c>
      <c r="B336" s="96" t="s">
        <v>679</v>
      </c>
      <c r="C336" s="96" t="s">
        <v>678</v>
      </c>
      <c r="D336" s="104">
        <v>7.3</v>
      </c>
      <c r="E336" s="104">
        <v>2.7</v>
      </c>
      <c r="F336" s="104">
        <v>5</v>
      </c>
      <c r="G336" s="104">
        <v>7</v>
      </c>
      <c r="H336" s="104">
        <v>11</v>
      </c>
      <c r="J336"/>
      <c r="K336"/>
      <c r="L336"/>
    </row>
    <row r="337" spans="1:12" x14ac:dyDescent="0.3">
      <c r="A337" s="96" t="s">
        <v>677</v>
      </c>
      <c r="B337" s="96" t="s">
        <v>676</v>
      </c>
      <c r="C337" s="96" t="s">
        <v>675</v>
      </c>
      <c r="D337" s="104">
        <v>11.6</v>
      </c>
      <c r="E337" s="104">
        <v>3.5</v>
      </c>
      <c r="F337" s="104">
        <v>9</v>
      </c>
      <c r="G337" s="104">
        <v>11</v>
      </c>
      <c r="H337" s="104">
        <v>15</v>
      </c>
      <c r="J337"/>
      <c r="K337"/>
      <c r="L337"/>
    </row>
    <row r="338" spans="1:12" x14ac:dyDescent="0.3">
      <c r="A338" s="96" t="s">
        <v>674</v>
      </c>
      <c r="B338" s="96" t="s">
        <v>673</v>
      </c>
      <c r="C338" s="96" t="s">
        <v>672</v>
      </c>
      <c r="D338" s="104">
        <v>10.4</v>
      </c>
      <c r="E338" s="104">
        <v>3.1</v>
      </c>
      <c r="F338" s="104">
        <v>7</v>
      </c>
      <c r="G338" s="104">
        <v>10</v>
      </c>
      <c r="H338" s="104">
        <v>14</v>
      </c>
      <c r="J338"/>
      <c r="K338"/>
      <c r="L338"/>
    </row>
    <row r="339" spans="1:12" x14ac:dyDescent="0.3">
      <c r="A339" s="96" t="s">
        <v>671</v>
      </c>
      <c r="B339" s="96" t="s">
        <v>670</v>
      </c>
      <c r="C339" s="96" t="s">
        <v>669</v>
      </c>
      <c r="D339" s="104">
        <v>6.8</v>
      </c>
      <c r="E339" s="104">
        <v>2.5</v>
      </c>
      <c r="F339" s="104">
        <v>4</v>
      </c>
      <c r="G339" s="104">
        <v>7</v>
      </c>
      <c r="H339" s="104">
        <v>10</v>
      </c>
      <c r="J339"/>
      <c r="K339"/>
      <c r="L339"/>
    </row>
    <row r="340" spans="1:12" x14ac:dyDescent="0.3">
      <c r="A340" s="96" t="s">
        <v>668</v>
      </c>
      <c r="B340" s="96" t="s">
        <v>667</v>
      </c>
      <c r="C340" s="96" t="s">
        <v>666</v>
      </c>
      <c r="D340" s="104">
        <v>7.5</v>
      </c>
      <c r="E340" s="104">
        <v>3.1</v>
      </c>
      <c r="F340" s="104">
        <v>5</v>
      </c>
      <c r="G340" s="104">
        <v>7</v>
      </c>
      <c r="H340" s="104">
        <v>11</v>
      </c>
      <c r="J340"/>
      <c r="K340"/>
      <c r="L340"/>
    </row>
    <row r="341" spans="1:12" x14ac:dyDescent="0.3">
      <c r="A341" s="96" t="s">
        <v>665</v>
      </c>
      <c r="B341" s="96" t="s">
        <v>664</v>
      </c>
      <c r="C341" s="96" t="s">
        <v>663</v>
      </c>
      <c r="D341" s="104">
        <v>10.8</v>
      </c>
      <c r="E341" s="104">
        <v>3.7</v>
      </c>
      <c r="F341" s="104">
        <v>8</v>
      </c>
      <c r="G341" s="104">
        <v>10</v>
      </c>
      <c r="H341" s="104">
        <v>14</v>
      </c>
      <c r="J341"/>
      <c r="K341"/>
      <c r="L341"/>
    </row>
    <row r="342" spans="1:12" x14ac:dyDescent="0.3">
      <c r="A342" s="96" t="s">
        <v>662</v>
      </c>
      <c r="B342" s="96" t="s">
        <v>661</v>
      </c>
      <c r="C342" s="96" t="s">
        <v>660</v>
      </c>
      <c r="D342" s="104">
        <v>7.1</v>
      </c>
      <c r="E342" s="104">
        <v>2.4</v>
      </c>
      <c r="F342" s="104">
        <v>5</v>
      </c>
      <c r="G342" s="104">
        <v>7</v>
      </c>
      <c r="H342" s="104">
        <v>10</v>
      </c>
      <c r="J342"/>
      <c r="K342"/>
      <c r="L342"/>
    </row>
    <row r="343" spans="1:12" x14ac:dyDescent="0.3">
      <c r="A343" s="96" t="s">
        <v>659</v>
      </c>
      <c r="B343" s="96" t="s">
        <v>658</v>
      </c>
      <c r="C343" s="96" t="s">
        <v>657</v>
      </c>
      <c r="D343" s="104">
        <v>9.5</v>
      </c>
      <c r="E343" s="104">
        <v>2.8</v>
      </c>
      <c r="F343" s="104">
        <v>7</v>
      </c>
      <c r="G343" s="104">
        <v>9</v>
      </c>
      <c r="H343" s="104">
        <v>12</v>
      </c>
      <c r="J343"/>
      <c r="K343"/>
      <c r="L343"/>
    </row>
    <row r="344" spans="1:12" x14ac:dyDescent="0.3">
      <c r="A344" s="96" t="s">
        <v>656</v>
      </c>
      <c r="B344" s="96" t="s">
        <v>655</v>
      </c>
      <c r="C344" s="96" t="s">
        <v>654</v>
      </c>
      <c r="D344" s="104">
        <v>7.1</v>
      </c>
      <c r="E344" s="104">
        <v>2.4</v>
      </c>
      <c r="F344" s="104">
        <v>4</v>
      </c>
      <c r="G344" s="104">
        <v>7</v>
      </c>
      <c r="H344" s="104">
        <v>10</v>
      </c>
      <c r="J344"/>
      <c r="K344"/>
      <c r="L344"/>
    </row>
    <row r="345" spans="1:12" x14ac:dyDescent="0.3">
      <c r="A345" s="96" t="s">
        <v>653</v>
      </c>
      <c r="B345" s="96" t="s">
        <v>652</v>
      </c>
      <c r="C345" s="96" t="s">
        <v>651</v>
      </c>
      <c r="D345" s="104">
        <v>6.9</v>
      </c>
      <c r="E345" s="104">
        <v>2.4</v>
      </c>
      <c r="F345" s="104">
        <v>4</v>
      </c>
      <c r="G345" s="104">
        <v>6</v>
      </c>
      <c r="H345" s="104">
        <v>10</v>
      </c>
      <c r="J345"/>
      <c r="K345"/>
      <c r="L345"/>
    </row>
    <row r="346" spans="1:12" x14ac:dyDescent="0.3">
      <c r="A346" s="96" t="s">
        <v>650</v>
      </c>
      <c r="B346" s="96" t="s">
        <v>649</v>
      </c>
      <c r="C346" s="96" t="s">
        <v>1987</v>
      </c>
      <c r="D346" s="104">
        <v>11.3</v>
      </c>
      <c r="E346" s="104">
        <v>4.2</v>
      </c>
      <c r="F346" s="104">
        <v>8</v>
      </c>
      <c r="G346" s="104">
        <v>11</v>
      </c>
      <c r="H346" s="104">
        <v>14</v>
      </c>
      <c r="J346"/>
      <c r="K346"/>
      <c r="L346"/>
    </row>
    <row r="347" spans="1:12" x14ac:dyDescent="0.3">
      <c r="A347" s="96" t="s">
        <v>648</v>
      </c>
      <c r="B347" s="96" t="s">
        <v>647</v>
      </c>
      <c r="C347" s="96" t="s">
        <v>646</v>
      </c>
      <c r="D347" s="104">
        <v>11.6</v>
      </c>
      <c r="E347" s="104">
        <v>3.7</v>
      </c>
      <c r="F347" s="104">
        <v>8</v>
      </c>
      <c r="G347" s="104">
        <v>11</v>
      </c>
      <c r="H347" s="104">
        <v>16</v>
      </c>
      <c r="J347"/>
      <c r="K347"/>
      <c r="L347"/>
    </row>
    <row r="348" spans="1:12" x14ac:dyDescent="0.3">
      <c r="A348" s="96" t="s">
        <v>645</v>
      </c>
      <c r="B348" s="96" t="s">
        <v>644</v>
      </c>
      <c r="C348" s="96" t="s">
        <v>643</v>
      </c>
      <c r="D348" s="104">
        <v>13.4</v>
      </c>
      <c r="E348" s="104">
        <v>3.9</v>
      </c>
      <c r="F348" s="104">
        <v>10</v>
      </c>
      <c r="G348" s="104">
        <v>13</v>
      </c>
      <c r="H348" s="104">
        <v>17</v>
      </c>
      <c r="J348"/>
      <c r="K348"/>
      <c r="L348"/>
    </row>
    <row r="349" spans="1:12" x14ac:dyDescent="0.3">
      <c r="A349" s="96" t="s">
        <v>642</v>
      </c>
      <c r="B349" s="96" t="s">
        <v>641</v>
      </c>
      <c r="C349" s="96" t="s">
        <v>640</v>
      </c>
      <c r="D349" s="104">
        <v>10.8</v>
      </c>
      <c r="E349" s="104">
        <v>4</v>
      </c>
      <c r="F349" s="104">
        <v>8</v>
      </c>
      <c r="G349" s="104">
        <v>10</v>
      </c>
      <c r="H349" s="104">
        <v>14</v>
      </c>
      <c r="J349"/>
      <c r="K349"/>
      <c r="L349"/>
    </row>
    <row r="350" spans="1:12" x14ac:dyDescent="0.3">
      <c r="A350" s="96" t="s">
        <v>639</v>
      </c>
      <c r="B350" s="96" t="s">
        <v>638</v>
      </c>
      <c r="C350" s="96" t="s">
        <v>637</v>
      </c>
      <c r="D350" s="104">
        <v>10.5</v>
      </c>
      <c r="E350" s="104">
        <v>3.2</v>
      </c>
      <c r="F350" s="104">
        <v>8</v>
      </c>
      <c r="G350" s="104">
        <v>10</v>
      </c>
      <c r="H350" s="104">
        <v>13</v>
      </c>
      <c r="J350"/>
      <c r="K350"/>
      <c r="L350"/>
    </row>
    <row r="351" spans="1:12" x14ac:dyDescent="0.3">
      <c r="A351" s="96" t="s">
        <v>636</v>
      </c>
      <c r="B351" s="96" t="s">
        <v>635</v>
      </c>
      <c r="C351" s="96" t="s">
        <v>1988</v>
      </c>
      <c r="D351" s="104">
        <v>8.1999999999999993</v>
      </c>
      <c r="E351" s="104">
        <v>4.3</v>
      </c>
      <c r="F351" s="104">
        <v>4</v>
      </c>
      <c r="G351" s="104">
        <v>7</v>
      </c>
      <c r="H351" s="104">
        <v>12</v>
      </c>
      <c r="J351"/>
      <c r="K351"/>
      <c r="L351"/>
    </row>
    <row r="352" spans="1:12" x14ac:dyDescent="0.3">
      <c r="A352" s="96" t="s">
        <v>634</v>
      </c>
      <c r="B352" s="96" t="s">
        <v>633</v>
      </c>
      <c r="C352" s="96" t="s">
        <v>632</v>
      </c>
      <c r="D352" s="104">
        <v>8.1</v>
      </c>
      <c r="E352" s="104">
        <v>5.9</v>
      </c>
      <c r="F352" s="104">
        <v>5</v>
      </c>
      <c r="G352" s="104">
        <v>7</v>
      </c>
      <c r="H352" s="104">
        <v>10</v>
      </c>
      <c r="J352"/>
      <c r="K352"/>
      <c r="L352"/>
    </row>
    <row r="353" spans="1:12" x14ac:dyDescent="0.3">
      <c r="A353" s="96" t="s">
        <v>631</v>
      </c>
      <c r="B353" s="96" t="s">
        <v>630</v>
      </c>
      <c r="C353" s="96" t="s">
        <v>629</v>
      </c>
      <c r="D353" s="104">
        <v>10.8</v>
      </c>
      <c r="E353" s="104">
        <v>3.2</v>
      </c>
      <c r="F353" s="104">
        <v>8</v>
      </c>
      <c r="G353" s="104">
        <v>10</v>
      </c>
      <c r="H353" s="104">
        <v>14</v>
      </c>
      <c r="J353"/>
      <c r="K353"/>
      <c r="L353"/>
    </row>
    <row r="354" spans="1:12" x14ac:dyDescent="0.3">
      <c r="A354" s="96" t="s">
        <v>628</v>
      </c>
      <c r="B354" s="96" t="s">
        <v>627</v>
      </c>
      <c r="C354" s="96" t="s">
        <v>626</v>
      </c>
      <c r="D354" s="104">
        <v>12.3</v>
      </c>
      <c r="E354" s="104">
        <v>5.0999999999999996</v>
      </c>
      <c r="F354" s="104">
        <v>8</v>
      </c>
      <c r="G354" s="104">
        <v>11</v>
      </c>
      <c r="H354" s="104">
        <v>18</v>
      </c>
      <c r="J354"/>
      <c r="K354"/>
      <c r="L354"/>
    </row>
    <row r="355" spans="1:12" x14ac:dyDescent="0.3">
      <c r="A355" s="96" t="s">
        <v>625</v>
      </c>
      <c r="B355" s="96" t="s">
        <v>624</v>
      </c>
      <c r="C355" s="96" t="s">
        <v>623</v>
      </c>
      <c r="D355" s="104">
        <v>11.4</v>
      </c>
      <c r="E355" s="104">
        <v>4.0999999999999996</v>
      </c>
      <c r="F355" s="104">
        <v>8</v>
      </c>
      <c r="G355" s="104">
        <v>11</v>
      </c>
      <c r="H355" s="104">
        <v>15</v>
      </c>
      <c r="J355"/>
      <c r="K355"/>
      <c r="L355"/>
    </row>
    <row r="356" spans="1:12" x14ac:dyDescent="0.3">
      <c r="A356" s="96" t="s">
        <v>622</v>
      </c>
      <c r="B356" s="96" t="s">
        <v>621</v>
      </c>
      <c r="C356" s="96" t="s">
        <v>620</v>
      </c>
      <c r="D356" s="104">
        <v>9.6</v>
      </c>
      <c r="E356" s="104">
        <v>4.5999999999999996</v>
      </c>
      <c r="F356" s="104">
        <v>7</v>
      </c>
      <c r="G356" s="104">
        <v>9</v>
      </c>
      <c r="H356" s="104">
        <v>12</v>
      </c>
      <c r="J356"/>
      <c r="K356"/>
      <c r="L356"/>
    </row>
    <row r="357" spans="1:12" x14ac:dyDescent="0.3">
      <c r="A357" s="96" t="s">
        <v>619</v>
      </c>
      <c r="B357" s="96" t="s">
        <v>618</v>
      </c>
      <c r="C357" s="96" t="s">
        <v>617</v>
      </c>
      <c r="D357" s="104">
        <v>8</v>
      </c>
      <c r="E357" s="104">
        <v>4.4000000000000004</v>
      </c>
      <c r="F357" s="104">
        <v>5</v>
      </c>
      <c r="G357" s="104">
        <v>7</v>
      </c>
      <c r="H357" s="104">
        <v>12</v>
      </c>
      <c r="J357"/>
      <c r="K357"/>
      <c r="L357"/>
    </row>
    <row r="358" spans="1:12" x14ac:dyDescent="0.3">
      <c r="A358" s="96" t="s">
        <v>616</v>
      </c>
      <c r="B358" s="96" t="s">
        <v>615</v>
      </c>
      <c r="C358" s="96" t="s">
        <v>614</v>
      </c>
      <c r="D358" s="104">
        <v>10.5</v>
      </c>
      <c r="E358" s="104">
        <v>4.0999999999999996</v>
      </c>
      <c r="F358" s="104">
        <v>7</v>
      </c>
      <c r="G358" s="104">
        <v>10</v>
      </c>
      <c r="H358" s="104">
        <v>14</v>
      </c>
      <c r="J358"/>
      <c r="K358"/>
      <c r="L358"/>
    </row>
    <row r="359" spans="1:12" x14ac:dyDescent="0.3">
      <c r="A359" s="96" t="s">
        <v>613</v>
      </c>
      <c r="B359" s="96" t="s">
        <v>612</v>
      </c>
      <c r="C359" s="96" t="s">
        <v>611</v>
      </c>
      <c r="D359" s="104">
        <v>10.4</v>
      </c>
      <c r="E359" s="104">
        <v>3</v>
      </c>
      <c r="F359" s="104">
        <v>8</v>
      </c>
      <c r="G359" s="104">
        <v>10</v>
      </c>
      <c r="H359" s="104">
        <v>13</v>
      </c>
      <c r="J359"/>
      <c r="K359"/>
      <c r="L359"/>
    </row>
    <row r="360" spans="1:12" x14ac:dyDescent="0.3">
      <c r="A360" s="96" t="s">
        <v>610</v>
      </c>
      <c r="B360" s="96" t="s">
        <v>609</v>
      </c>
      <c r="C360" s="96" t="s">
        <v>608</v>
      </c>
      <c r="D360" s="104">
        <v>9.8000000000000007</v>
      </c>
      <c r="E360" s="104">
        <v>4.5</v>
      </c>
      <c r="F360" s="104">
        <v>6</v>
      </c>
      <c r="G360" s="104">
        <v>9</v>
      </c>
      <c r="H360" s="104">
        <v>14</v>
      </c>
      <c r="J360"/>
      <c r="K360"/>
      <c r="L360"/>
    </row>
    <row r="361" spans="1:12" x14ac:dyDescent="0.3">
      <c r="A361" s="96" t="s">
        <v>607</v>
      </c>
      <c r="B361" s="96" t="s">
        <v>606</v>
      </c>
      <c r="C361" s="96" t="s">
        <v>605</v>
      </c>
      <c r="D361" s="104">
        <v>8</v>
      </c>
      <c r="E361" s="104">
        <v>3.3</v>
      </c>
      <c r="F361" s="104">
        <v>5</v>
      </c>
      <c r="G361" s="104">
        <v>7</v>
      </c>
      <c r="H361" s="104">
        <v>12</v>
      </c>
      <c r="J361"/>
      <c r="K361"/>
      <c r="L361"/>
    </row>
    <row r="362" spans="1:12" x14ac:dyDescent="0.3">
      <c r="A362" s="96" t="s">
        <v>604</v>
      </c>
      <c r="B362" s="96" t="s">
        <v>603</v>
      </c>
      <c r="C362" s="96" t="s">
        <v>602</v>
      </c>
      <c r="D362" s="104">
        <v>7.4</v>
      </c>
      <c r="E362" s="104">
        <v>3.3</v>
      </c>
      <c r="F362" s="104">
        <v>5</v>
      </c>
      <c r="G362" s="104">
        <v>6</v>
      </c>
      <c r="H362" s="104">
        <v>11</v>
      </c>
      <c r="J362"/>
      <c r="K362"/>
      <c r="L362"/>
    </row>
    <row r="363" spans="1:12" x14ac:dyDescent="0.3">
      <c r="A363" s="96" t="s">
        <v>601</v>
      </c>
      <c r="B363" s="96" t="s">
        <v>600</v>
      </c>
      <c r="C363" s="96" t="s">
        <v>599</v>
      </c>
      <c r="D363" s="104">
        <v>13.1</v>
      </c>
      <c r="E363" s="104">
        <v>4.9000000000000004</v>
      </c>
      <c r="F363" s="104">
        <v>9</v>
      </c>
      <c r="G363" s="104">
        <v>12</v>
      </c>
      <c r="H363" s="104">
        <v>18</v>
      </c>
      <c r="J363"/>
      <c r="K363"/>
      <c r="L363"/>
    </row>
    <row r="364" spans="1:12" x14ac:dyDescent="0.3">
      <c r="A364" s="96" t="s">
        <v>598</v>
      </c>
      <c r="B364" s="96" t="s">
        <v>597</v>
      </c>
      <c r="C364" s="96" t="s">
        <v>596</v>
      </c>
      <c r="D364" s="104">
        <v>12.1</v>
      </c>
      <c r="E364" s="104">
        <v>3.9</v>
      </c>
      <c r="F364" s="104">
        <v>8</v>
      </c>
      <c r="G364" s="104">
        <v>11</v>
      </c>
      <c r="H364" s="104">
        <v>17</v>
      </c>
      <c r="J364"/>
      <c r="K364"/>
      <c r="L364"/>
    </row>
    <row r="365" spans="1:12" x14ac:dyDescent="0.3">
      <c r="A365" s="96" t="s">
        <v>595</v>
      </c>
      <c r="B365" s="96" t="s">
        <v>594</v>
      </c>
      <c r="C365" s="96" t="s">
        <v>593</v>
      </c>
      <c r="D365" s="104">
        <v>10.9</v>
      </c>
      <c r="E365" s="104">
        <v>4.3</v>
      </c>
      <c r="F365" s="104">
        <v>6</v>
      </c>
      <c r="G365" s="104">
        <v>10</v>
      </c>
      <c r="H365" s="104">
        <v>15</v>
      </c>
      <c r="J365"/>
      <c r="K365"/>
      <c r="L365"/>
    </row>
    <row r="366" spans="1:12" x14ac:dyDescent="0.3">
      <c r="A366" s="96" t="s">
        <v>592</v>
      </c>
      <c r="B366" s="96" t="s">
        <v>591</v>
      </c>
      <c r="C366" s="96" t="s">
        <v>590</v>
      </c>
      <c r="D366" s="104">
        <v>7.1</v>
      </c>
      <c r="E366" s="104">
        <v>3.2</v>
      </c>
      <c r="F366" s="104">
        <v>4</v>
      </c>
      <c r="G366" s="104">
        <v>6</v>
      </c>
      <c r="H366" s="104">
        <v>11</v>
      </c>
      <c r="J366"/>
      <c r="K366"/>
      <c r="L366"/>
    </row>
    <row r="367" spans="1:12" x14ac:dyDescent="0.3">
      <c r="A367" s="96" t="s">
        <v>589</v>
      </c>
      <c r="B367" s="96" t="s">
        <v>588</v>
      </c>
      <c r="C367" s="96" t="s">
        <v>587</v>
      </c>
      <c r="D367" s="104">
        <v>7.6</v>
      </c>
      <c r="E367" s="104">
        <v>3.4</v>
      </c>
      <c r="F367" s="104">
        <v>4</v>
      </c>
      <c r="G367" s="104">
        <v>7</v>
      </c>
      <c r="H367" s="104">
        <v>11</v>
      </c>
      <c r="J367"/>
      <c r="K367"/>
      <c r="L367"/>
    </row>
    <row r="368" spans="1:12" x14ac:dyDescent="0.3">
      <c r="A368" s="96" t="s">
        <v>586</v>
      </c>
      <c r="B368" s="96" t="s">
        <v>585</v>
      </c>
      <c r="C368" s="96" t="s">
        <v>584</v>
      </c>
      <c r="D368" s="104">
        <v>10.5</v>
      </c>
      <c r="E368" s="104">
        <v>4.3</v>
      </c>
      <c r="F368" s="104">
        <v>8</v>
      </c>
      <c r="G368" s="104">
        <v>10</v>
      </c>
      <c r="H368" s="104">
        <v>13</v>
      </c>
      <c r="J368"/>
      <c r="K368"/>
      <c r="L368"/>
    </row>
    <row r="369" spans="1:12" x14ac:dyDescent="0.3">
      <c r="A369" s="96" t="s">
        <v>583</v>
      </c>
      <c r="B369" s="96" t="s">
        <v>582</v>
      </c>
      <c r="C369" s="96" t="s">
        <v>581</v>
      </c>
      <c r="D369" s="104">
        <v>11.5</v>
      </c>
      <c r="E369" s="104">
        <v>4.0999999999999996</v>
      </c>
      <c r="F369" s="104">
        <v>8</v>
      </c>
      <c r="G369" s="104">
        <v>11</v>
      </c>
      <c r="H369" s="104">
        <v>15</v>
      </c>
      <c r="J369"/>
      <c r="K369"/>
      <c r="L369"/>
    </row>
    <row r="370" spans="1:12" x14ac:dyDescent="0.3">
      <c r="A370" s="96" t="s">
        <v>580</v>
      </c>
      <c r="B370" s="96" t="s">
        <v>579</v>
      </c>
      <c r="C370" s="96" t="s">
        <v>578</v>
      </c>
      <c r="D370" s="104">
        <v>9.1</v>
      </c>
      <c r="E370" s="104">
        <v>4.9000000000000004</v>
      </c>
      <c r="F370" s="104">
        <v>5</v>
      </c>
      <c r="G370" s="104">
        <v>8</v>
      </c>
      <c r="H370" s="104">
        <v>14</v>
      </c>
      <c r="J370"/>
      <c r="K370"/>
      <c r="L370"/>
    </row>
    <row r="371" spans="1:12" x14ac:dyDescent="0.3">
      <c r="A371" s="96" t="s">
        <v>577</v>
      </c>
      <c r="B371" s="96" t="s">
        <v>576</v>
      </c>
      <c r="C371" s="96" t="s">
        <v>575</v>
      </c>
      <c r="D371" s="104">
        <v>15.2</v>
      </c>
      <c r="E371" s="104">
        <v>6</v>
      </c>
      <c r="F371" s="104">
        <v>10</v>
      </c>
      <c r="G371" s="104">
        <v>14</v>
      </c>
      <c r="H371" s="104">
        <v>21</v>
      </c>
      <c r="J371"/>
      <c r="K371"/>
      <c r="L371"/>
    </row>
    <row r="372" spans="1:12" x14ac:dyDescent="0.3">
      <c r="A372" s="96" t="s">
        <v>574</v>
      </c>
      <c r="B372" s="96" t="s">
        <v>573</v>
      </c>
      <c r="C372" s="96" t="s">
        <v>572</v>
      </c>
      <c r="D372" s="104">
        <v>11.7</v>
      </c>
      <c r="E372" s="104">
        <v>4.3</v>
      </c>
      <c r="F372" s="104">
        <v>8</v>
      </c>
      <c r="G372" s="104">
        <v>11</v>
      </c>
      <c r="H372" s="104">
        <v>16</v>
      </c>
      <c r="J372"/>
      <c r="K372"/>
      <c r="L372"/>
    </row>
    <row r="373" spans="1:12" x14ac:dyDescent="0.3">
      <c r="A373" s="96" t="s">
        <v>571</v>
      </c>
      <c r="B373" s="96" t="s">
        <v>570</v>
      </c>
      <c r="C373" s="96" t="s">
        <v>569</v>
      </c>
      <c r="D373" s="104">
        <v>10.199999999999999</v>
      </c>
      <c r="E373" s="104">
        <v>4</v>
      </c>
      <c r="F373" s="104">
        <v>7</v>
      </c>
      <c r="G373" s="104">
        <v>10</v>
      </c>
      <c r="H373" s="104">
        <v>14</v>
      </c>
      <c r="J373"/>
      <c r="K373"/>
      <c r="L373"/>
    </row>
    <row r="374" spans="1:12" x14ac:dyDescent="0.3">
      <c r="A374" s="96" t="s">
        <v>568</v>
      </c>
      <c r="B374" s="96" t="s">
        <v>567</v>
      </c>
      <c r="C374" s="96" t="s">
        <v>566</v>
      </c>
      <c r="D374" s="104">
        <v>11.3</v>
      </c>
      <c r="E374" s="104">
        <v>3.7</v>
      </c>
      <c r="F374" s="104">
        <v>8</v>
      </c>
      <c r="G374" s="104">
        <v>11</v>
      </c>
      <c r="H374" s="104">
        <v>15</v>
      </c>
      <c r="J374"/>
      <c r="K374"/>
      <c r="L374"/>
    </row>
    <row r="375" spans="1:12" x14ac:dyDescent="0.3">
      <c r="A375" s="96" t="s">
        <v>565</v>
      </c>
      <c r="B375" s="96" t="s">
        <v>564</v>
      </c>
      <c r="C375" s="96" t="s">
        <v>563</v>
      </c>
      <c r="D375" s="104">
        <v>12.5</v>
      </c>
      <c r="E375" s="104">
        <v>4.8</v>
      </c>
      <c r="F375" s="104">
        <v>7</v>
      </c>
      <c r="G375" s="104">
        <v>12</v>
      </c>
      <c r="H375" s="104">
        <v>18</v>
      </c>
      <c r="J375"/>
      <c r="K375"/>
      <c r="L375"/>
    </row>
    <row r="376" spans="1:12" x14ac:dyDescent="0.3">
      <c r="A376" s="96" t="s">
        <v>1989</v>
      </c>
      <c r="B376" s="96" t="s">
        <v>1990</v>
      </c>
      <c r="C376" s="96" t="s">
        <v>1991</v>
      </c>
      <c r="D376" s="104">
        <v>8</v>
      </c>
      <c r="E376" s="104">
        <v>2.7</v>
      </c>
      <c r="F376" s="104">
        <v>5</v>
      </c>
      <c r="G376" s="104">
        <v>8</v>
      </c>
      <c r="H376" s="104">
        <v>11</v>
      </c>
      <c r="J376"/>
      <c r="K376"/>
      <c r="L376"/>
    </row>
    <row r="377" spans="1:12" x14ac:dyDescent="0.3">
      <c r="A377" s="96" t="s">
        <v>562</v>
      </c>
      <c r="B377" s="96" t="s">
        <v>561</v>
      </c>
      <c r="C377" s="96" t="s">
        <v>560</v>
      </c>
      <c r="D377" s="104">
        <v>8.6</v>
      </c>
      <c r="E377" s="104">
        <v>3.3</v>
      </c>
      <c r="F377" s="104">
        <v>5</v>
      </c>
      <c r="G377" s="104">
        <v>8</v>
      </c>
      <c r="H377" s="104">
        <v>12</v>
      </c>
      <c r="J377"/>
      <c r="K377"/>
      <c r="L377"/>
    </row>
    <row r="378" spans="1:12" x14ac:dyDescent="0.3">
      <c r="A378" s="96" t="s">
        <v>559</v>
      </c>
      <c r="B378" s="96" t="s">
        <v>558</v>
      </c>
      <c r="C378" s="96" t="s">
        <v>557</v>
      </c>
      <c r="D378" s="104">
        <v>13.1</v>
      </c>
      <c r="E378" s="104">
        <v>4.4000000000000004</v>
      </c>
      <c r="F378" s="104">
        <v>9</v>
      </c>
      <c r="G378" s="104">
        <v>12</v>
      </c>
      <c r="H378" s="104">
        <v>18</v>
      </c>
      <c r="J378"/>
      <c r="K378"/>
      <c r="L378"/>
    </row>
    <row r="379" spans="1:12" x14ac:dyDescent="0.3">
      <c r="A379" s="96" t="s">
        <v>556</v>
      </c>
      <c r="B379" s="96" t="s">
        <v>555</v>
      </c>
      <c r="C379" s="96" t="s">
        <v>554</v>
      </c>
      <c r="D379" s="104">
        <v>11</v>
      </c>
      <c r="E379" s="104">
        <v>3.6</v>
      </c>
      <c r="F379" s="104">
        <v>8</v>
      </c>
      <c r="G379" s="104">
        <v>10</v>
      </c>
      <c r="H379" s="104">
        <v>15</v>
      </c>
      <c r="J379"/>
      <c r="K379"/>
      <c r="L379"/>
    </row>
    <row r="380" spans="1:12" x14ac:dyDescent="0.3">
      <c r="A380" s="96" t="s">
        <v>1992</v>
      </c>
      <c r="B380" s="96" t="s">
        <v>1993</v>
      </c>
      <c r="C380" s="96" t="s">
        <v>1994</v>
      </c>
      <c r="D380" s="104">
        <v>7.8</v>
      </c>
      <c r="E380" s="104">
        <v>3.3</v>
      </c>
      <c r="F380" s="104">
        <v>5</v>
      </c>
      <c r="G380" s="104">
        <v>7</v>
      </c>
      <c r="H380" s="104">
        <v>11</v>
      </c>
      <c r="J380"/>
      <c r="K380"/>
      <c r="L380"/>
    </row>
    <row r="381" spans="1:12" x14ac:dyDescent="0.3">
      <c r="A381" s="96" t="s">
        <v>553</v>
      </c>
      <c r="B381" s="96" t="s">
        <v>552</v>
      </c>
      <c r="C381" s="96" t="s">
        <v>551</v>
      </c>
      <c r="D381" s="104">
        <v>9.1999999999999993</v>
      </c>
      <c r="E381" s="104">
        <v>3.2</v>
      </c>
      <c r="F381" s="104">
        <v>5</v>
      </c>
      <c r="G381" s="104">
        <v>9</v>
      </c>
      <c r="H381" s="104">
        <v>13</v>
      </c>
      <c r="J381"/>
      <c r="K381"/>
      <c r="L381"/>
    </row>
    <row r="382" spans="1:12" x14ac:dyDescent="0.3">
      <c r="A382" s="96" t="s">
        <v>550</v>
      </c>
      <c r="B382" s="96" t="s">
        <v>549</v>
      </c>
      <c r="C382" s="96" t="s">
        <v>1995</v>
      </c>
      <c r="D382" s="104">
        <v>8.1</v>
      </c>
      <c r="E382" s="104">
        <v>2.9</v>
      </c>
      <c r="F382" s="104">
        <v>5</v>
      </c>
      <c r="G382" s="104">
        <v>8</v>
      </c>
      <c r="H382" s="104">
        <v>12</v>
      </c>
      <c r="J382"/>
      <c r="K382"/>
      <c r="L382"/>
    </row>
    <row r="383" spans="1:12" x14ac:dyDescent="0.3">
      <c r="A383" s="96" t="s">
        <v>548</v>
      </c>
      <c r="B383" s="96" t="s">
        <v>547</v>
      </c>
      <c r="C383" s="96" t="s">
        <v>546</v>
      </c>
      <c r="D383" s="104">
        <v>11</v>
      </c>
      <c r="E383" s="104">
        <v>4.5999999999999996</v>
      </c>
      <c r="F383" s="104">
        <v>6</v>
      </c>
      <c r="G383" s="104">
        <v>11</v>
      </c>
      <c r="H383" s="104">
        <v>16</v>
      </c>
      <c r="J383"/>
      <c r="K383"/>
      <c r="L383"/>
    </row>
    <row r="384" spans="1:12" x14ac:dyDescent="0.3">
      <c r="A384" s="96" t="s">
        <v>545</v>
      </c>
      <c r="B384" s="96" t="s">
        <v>544</v>
      </c>
      <c r="C384" s="96" t="s">
        <v>543</v>
      </c>
      <c r="D384" s="104">
        <v>7.6</v>
      </c>
      <c r="E384" s="104">
        <v>5.3</v>
      </c>
      <c r="F384" s="104">
        <v>4</v>
      </c>
      <c r="G384" s="104">
        <v>7</v>
      </c>
      <c r="H384" s="104">
        <v>11</v>
      </c>
      <c r="J384"/>
      <c r="K384"/>
      <c r="L384"/>
    </row>
    <row r="385" spans="1:12" x14ac:dyDescent="0.3">
      <c r="A385" s="96" t="s">
        <v>542</v>
      </c>
      <c r="B385" s="96" t="s">
        <v>541</v>
      </c>
      <c r="C385" s="96" t="s">
        <v>540</v>
      </c>
      <c r="D385" s="104">
        <v>12.8</v>
      </c>
      <c r="E385" s="104">
        <v>4.5</v>
      </c>
      <c r="F385" s="104">
        <v>9</v>
      </c>
      <c r="G385" s="104">
        <v>12</v>
      </c>
      <c r="H385" s="104">
        <v>17</v>
      </c>
      <c r="J385"/>
      <c r="K385"/>
      <c r="L385"/>
    </row>
    <row r="386" spans="1:12" x14ac:dyDescent="0.3">
      <c r="A386" s="96" t="s">
        <v>539</v>
      </c>
      <c r="B386" s="96" t="s">
        <v>538</v>
      </c>
      <c r="C386" s="96" t="s">
        <v>537</v>
      </c>
      <c r="D386" s="104">
        <v>12</v>
      </c>
      <c r="E386" s="104">
        <v>3.8</v>
      </c>
      <c r="F386" s="104">
        <v>9</v>
      </c>
      <c r="G386" s="104">
        <v>11</v>
      </c>
      <c r="H386" s="104">
        <v>16</v>
      </c>
      <c r="J386"/>
      <c r="K386"/>
      <c r="L386"/>
    </row>
    <row r="387" spans="1:12" x14ac:dyDescent="0.3">
      <c r="A387" s="96" t="s">
        <v>536</v>
      </c>
      <c r="B387" s="96" t="s">
        <v>535</v>
      </c>
      <c r="C387" s="96" t="s">
        <v>534</v>
      </c>
      <c r="D387" s="104">
        <v>18.8</v>
      </c>
      <c r="E387" s="104">
        <v>8.6</v>
      </c>
      <c r="F387" s="104">
        <v>11</v>
      </c>
      <c r="G387" s="104">
        <v>17</v>
      </c>
      <c r="H387" s="104">
        <v>29</v>
      </c>
      <c r="J387"/>
      <c r="K387"/>
      <c r="L387"/>
    </row>
    <row r="388" spans="1:12" x14ac:dyDescent="0.3">
      <c r="A388" s="96" t="s">
        <v>533</v>
      </c>
      <c r="B388" s="96" t="s">
        <v>532</v>
      </c>
      <c r="C388" s="96" t="s">
        <v>531</v>
      </c>
      <c r="D388" s="104">
        <v>13.3</v>
      </c>
      <c r="E388" s="104">
        <v>4.8</v>
      </c>
      <c r="F388" s="104">
        <v>9</v>
      </c>
      <c r="G388" s="104">
        <v>12</v>
      </c>
      <c r="H388" s="104">
        <v>19</v>
      </c>
      <c r="J388"/>
      <c r="K388"/>
      <c r="L388"/>
    </row>
    <row r="389" spans="1:12" x14ac:dyDescent="0.3">
      <c r="A389" s="96" t="s">
        <v>530</v>
      </c>
      <c r="B389" s="96" t="s">
        <v>529</v>
      </c>
      <c r="C389" s="96" t="s">
        <v>528</v>
      </c>
      <c r="D389" s="104">
        <v>12</v>
      </c>
      <c r="E389" s="104">
        <v>4.3</v>
      </c>
      <c r="F389" s="104">
        <v>8</v>
      </c>
      <c r="G389" s="104">
        <v>11</v>
      </c>
      <c r="H389" s="104">
        <v>17</v>
      </c>
      <c r="J389"/>
      <c r="K389"/>
      <c r="L389"/>
    </row>
    <row r="390" spans="1:12" x14ac:dyDescent="0.3">
      <c r="A390" s="96" t="s">
        <v>527</v>
      </c>
      <c r="B390" s="96" t="s">
        <v>526</v>
      </c>
      <c r="C390" s="96" t="s">
        <v>525</v>
      </c>
      <c r="D390" s="104">
        <v>12.8</v>
      </c>
      <c r="E390" s="104">
        <v>6.5</v>
      </c>
      <c r="F390" s="104">
        <v>8</v>
      </c>
      <c r="G390" s="104">
        <v>11</v>
      </c>
      <c r="H390" s="104">
        <v>19</v>
      </c>
      <c r="J390"/>
      <c r="K390"/>
      <c r="L390"/>
    </row>
    <row r="391" spans="1:12" x14ac:dyDescent="0.3">
      <c r="A391" s="96" t="s">
        <v>524</v>
      </c>
      <c r="B391" s="96" t="s">
        <v>523</v>
      </c>
      <c r="C391" s="96" t="s">
        <v>522</v>
      </c>
      <c r="D391" s="104">
        <v>8.6</v>
      </c>
      <c r="E391" s="104">
        <v>4.4000000000000004</v>
      </c>
      <c r="F391" s="104">
        <v>5</v>
      </c>
      <c r="G391" s="104">
        <v>8</v>
      </c>
      <c r="H391" s="104">
        <v>13</v>
      </c>
      <c r="J391"/>
      <c r="K391"/>
      <c r="L391"/>
    </row>
    <row r="392" spans="1:12" x14ac:dyDescent="0.3">
      <c r="A392" s="96" t="s">
        <v>521</v>
      </c>
      <c r="B392" s="96" t="s">
        <v>520</v>
      </c>
      <c r="C392" s="96" t="s">
        <v>519</v>
      </c>
      <c r="D392" s="104">
        <v>10.5</v>
      </c>
      <c r="E392" s="104">
        <v>4.7</v>
      </c>
      <c r="F392" s="104">
        <v>8</v>
      </c>
      <c r="G392" s="104">
        <v>10</v>
      </c>
      <c r="H392" s="104">
        <v>14</v>
      </c>
      <c r="J392"/>
      <c r="K392"/>
      <c r="L392"/>
    </row>
    <row r="393" spans="1:12" x14ac:dyDescent="0.3">
      <c r="A393" s="96" t="s">
        <v>518</v>
      </c>
      <c r="B393" s="96" t="s">
        <v>517</v>
      </c>
      <c r="C393" s="96" t="s">
        <v>516</v>
      </c>
      <c r="D393" s="104">
        <v>7.1</v>
      </c>
      <c r="E393" s="104">
        <v>3.2</v>
      </c>
      <c r="F393" s="104">
        <v>4</v>
      </c>
      <c r="G393" s="104">
        <v>7</v>
      </c>
      <c r="H393" s="104">
        <v>11</v>
      </c>
      <c r="J393"/>
      <c r="K393"/>
      <c r="L393"/>
    </row>
    <row r="394" spans="1:12" x14ac:dyDescent="0.3">
      <c r="A394" s="96" t="s">
        <v>515</v>
      </c>
      <c r="B394" s="96" t="s">
        <v>514</v>
      </c>
      <c r="C394" s="96" t="s">
        <v>513</v>
      </c>
      <c r="D394" s="104">
        <v>11.3</v>
      </c>
      <c r="E394" s="104">
        <v>4.5</v>
      </c>
      <c r="F394" s="104">
        <v>7</v>
      </c>
      <c r="G394" s="104">
        <v>11</v>
      </c>
      <c r="H394" s="104">
        <v>15</v>
      </c>
      <c r="J394"/>
      <c r="K394"/>
      <c r="L394"/>
    </row>
    <row r="395" spans="1:12" x14ac:dyDescent="0.3">
      <c r="A395" s="96" t="s">
        <v>512</v>
      </c>
      <c r="B395" s="96" t="s">
        <v>511</v>
      </c>
      <c r="C395" s="96" t="s">
        <v>510</v>
      </c>
      <c r="D395" s="104">
        <v>7.1</v>
      </c>
      <c r="E395" s="104">
        <v>3</v>
      </c>
      <c r="F395" s="104">
        <v>4</v>
      </c>
      <c r="G395" s="104">
        <v>6</v>
      </c>
      <c r="H395" s="104">
        <v>11</v>
      </c>
      <c r="J395"/>
      <c r="K395"/>
      <c r="L395"/>
    </row>
    <row r="396" spans="1:12" x14ac:dyDescent="0.3">
      <c r="A396" s="96" t="s">
        <v>509</v>
      </c>
      <c r="B396" s="96" t="s">
        <v>508</v>
      </c>
      <c r="C396" s="96" t="s">
        <v>507</v>
      </c>
      <c r="D396" s="104">
        <v>16.7</v>
      </c>
      <c r="E396" s="104">
        <v>5.7</v>
      </c>
      <c r="F396" s="104">
        <v>12</v>
      </c>
      <c r="G396" s="104">
        <v>15</v>
      </c>
      <c r="H396" s="104">
        <v>23</v>
      </c>
      <c r="J396"/>
      <c r="K396"/>
      <c r="L396"/>
    </row>
    <row r="397" spans="1:12" x14ac:dyDescent="0.3">
      <c r="A397" s="96" t="s">
        <v>506</v>
      </c>
      <c r="B397" s="96" t="s">
        <v>505</v>
      </c>
      <c r="C397" s="96" t="s">
        <v>504</v>
      </c>
      <c r="D397" s="104">
        <v>8.5</v>
      </c>
      <c r="E397" s="104">
        <v>4.0999999999999996</v>
      </c>
      <c r="F397" s="104">
        <v>5</v>
      </c>
      <c r="G397" s="104">
        <v>8</v>
      </c>
      <c r="H397" s="104">
        <v>13</v>
      </c>
      <c r="J397"/>
      <c r="K397"/>
      <c r="L397"/>
    </row>
    <row r="398" spans="1:12" x14ac:dyDescent="0.3">
      <c r="A398" s="96" t="s">
        <v>503</v>
      </c>
      <c r="B398" s="96" t="s">
        <v>502</v>
      </c>
      <c r="C398" s="96" t="s">
        <v>501</v>
      </c>
      <c r="D398" s="104">
        <v>5</v>
      </c>
      <c r="E398" s="104">
        <v>2.1</v>
      </c>
      <c r="F398" s="104">
        <v>3</v>
      </c>
      <c r="G398" s="104">
        <v>4</v>
      </c>
      <c r="H398" s="104">
        <v>8</v>
      </c>
      <c r="J398"/>
      <c r="K398"/>
      <c r="L398"/>
    </row>
    <row r="399" spans="1:12" x14ac:dyDescent="0.3">
      <c r="A399" s="96" t="s">
        <v>500</v>
      </c>
      <c r="B399" s="96" t="s">
        <v>499</v>
      </c>
      <c r="C399" s="96" t="s">
        <v>498</v>
      </c>
      <c r="D399" s="104">
        <v>5.6</v>
      </c>
      <c r="E399" s="104">
        <v>2.8</v>
      </c>
      <c r="F399" s="104">
        <v>4</v>
      </c>
      <c r="G399" s="104">
        <v>5</v>
      </c>
      <c r="H399" s="104">
        <v>8</v>
      </c>
      <c r="J399"/>
      <c r="K399"/>
      <c r="L399"/>
    </row>
    <row r="400" spans="1:12" x14ac:dyDescent="0.3">
      <c r="A400" s="96" t="s">
        <v>497</v>
      </c>
      <c r="B400" s="96" t="s">
        <v>496</v>
      </c>
      <c r="C400" s="96" t="s">
        <v>495</v>
      </c>
      <c r="D400" s="104">
        <v>6.8</v>
      </c>
      <c r="E400" s="104">
        <v>3</v>
      </c>
      <c r="F400" s="104">
        <v>4</v>
      </c>
      <c r="G400" s="104">
        <v>6</v>
      </c>
      <c r="H400" s="104">
        <v>11</v>
      </c>
      <c r="J400"/>
      <c r="K400"/>
      <c r="L400"/>
    </row>
    <row r="401" spans="1:12" x14ac:dyDescent="0.3">
      <c r="A401" s="96" t="s">
        <v>494</v>
      </c>
      <c r="B401" s="96" t="s">
        <v>493</v>
      </c>
      <c r="C401" s="96" t="s">
        <v>492</v>
      </c>
      <c r="D401" s="104">
        <v>5.7</v>
      </c>
      <c r="E401" s="104">
        <v>2.2999999999999998</v>
      </c>
      <c r="F401" s="104">
        <v>4</v>
      </c>
      <c r="G401" s="104">
        <v>5</v>
      </c>
      <c r="H401" s="104">
        <v>8</v>
      </c>
      <c r="J401"/>
      <c r="K401"/>
      <c r="L401"/>
    </row>
    <row r="402" spans="1:12" x14ac:dyDescent="0.3">
      <c r="A402" s="96" t="s">
        <v>491</v>
      </c>
      <c r="B402" s="96" t="s">
        <v>490</v>
      </c>
      <c r="C402" s="96" t="s">
        <v>489</v>
      </c>
      <c r="D402" s="104">
        <v>10.3</v>
      </c>
      <c r="E402" s="104">
        <v>4.2</v>
      </c>
      <c r="F402" s="104">
        <v>5</v>
      </c>
      <c r="G402" s="104">
        <v>10</v>
      </c>
      <c r="H402" s="104">
        <v>15</v>
      </c>
      <c r="J402"/>
      <c r="K402"/>
      <c r="L402"/>
    </row>
    <row r="403" spans="1:12" x14ac:dyDescent="0.3">
      <c r="A403" s="96" t="s">
        <v>488</v>
      </c>
      <c r="B403" s="96" t="s">
        <v>487</v>
      </c>
      <c r="C403" s="96" t="s">
        <v>486</v>
      </c>
      <c r="D403" s="104">
        <v>11.2</v>
      </c>
      <c r="E403" s="104">
        <v>3.9</v>
      </c>
      <c r="F403" s="104">
        <v>8</v>
      </c>
      <c r="G403" s="104">
        <v>11</v>
      </c>
      <c r="H403" s="104">
        <v>14</v>
      </c>
      <c r="J403"/>
      <c r="K403"/>
      <c r="L403"/>
    </row>
    <row r="404" spans="1:12" x14ac:dyDescent="0.3">
      <c r="A404" s="96" t="s">
        <v>485</v>
      </c>
      <c r="B404" s="96" t="s">
        <v>484</v>
      </c>
      <c r="C404" s="96" t="s">
        <v>483</v>
      </c>
      <c r="D404" s="104">
        <v>6.4</v>
      </c>
      <c r="E404" s="104">
        <v>3.3</v>
      </c>
      <c r="F404" s="104">
        <v>3</v>
      </c>
      <c r="G404" s="104">
        <v>6</v>
      </c>
      <c r="H404" s="104">
        <v>10</v>
      </c>
      <c r="J404"/>
      <c r="K404"/>
      <c r="L404"/>
    </row>
    <row r="405" spans="1:12" x14ac:dyDescent="0.3">
      <c r="A405" s="96" t="s">
        <v>482</v>
      </c>
      <c r="B405" s="96" t="s">
        <v>481</v>
      </c>
      <c r="C405" s="96" t="s">
        <v>480</v>
      </c>
      <c r="D405" s="104">
        <v>9.8000000000000007</v>
      </c>
      <c r="E405" s="104">
        <v>2.8</v>
      </c>
      <c r="F405" s="104">
        <v>7</v>
      </c>
      <c r="G405" s="104">
        <v>10</v>
      </c>
      <c r="H405" s="104">
        <v>13</v>
      </c>
      <c r="J405"/>
      <c r="K405"/>
      <c r="L405"/>
    </row>
    <row r="406" spans="1:12" x14ac:dyDescent="0.3">
      <c r="A406" s="96" t="s">
        <v>479</v>
      </c>
      <c r="B406" s="96" t="s">
        <v>478</v>
      </c>
      <c r="C406" s="96" t="s">
        <v>477</v>
      </c>
      <c r="D406" s="104">
        <v>11</v>
      </c>
      <c r="E406" s="104">
        <v>3.2</v>
      </c>
      <c r="F406" s="104">
        <v>8</v>
      </c>
      <c r="G406" s="104">
        <v>10</v>
      </c>
      <c r="H406" s="104">
        <v>15</v>
      </c>
      <c r="J406"/>
      <c r="K406"/>
      <c r="L406"/>
    </row>
    <row r="407" spans="1:12" x14ac:dyDescent="0.3">
      <c r="A407" s="96" t="s">
        <v>476</v>
      </c>
      <c r="B407" s="96" t="s">
        <v>475</v>
      </c>
      <c r="C407" s="96" t="s">
        <v>474</v>
      </c>
      <c r="D407" s="104">
        <v>12</v>
      </c>
      <c r="E407" s="104">
        <v>4</v>
      </c>
      <c r="F407" s="104">
        <v>8</v>
      </c>
      <c r="G407" s="104">
        <v>11</v>
      </c>
      <c r="H407" s="104">
        <v>17</v>
      </c>
      <c r="J407"/>
      <c r="K407"/>
      <c r="L407"/>
    </row>
    <row r="408" spans="1:12" x14ac:dyDescent="0.3">
      <c r="A408" s="96" t="s">
        <v>473</v>
      </c>
      <c r="B408" s="96" t="s">
        <v>472</v>
      </c>
      <c r="C408" s="96" t="s">
        <v>471</v>
      </c>
      <c r="D408" s="104">
        <v>5.6</v>
      </c>
      <c r="E408" s="104">
        <v>2.2999999999999998</v>
      </c>
      <c r="F408" s="104">
        <v>4</v>
      </c>
      <c r="G408" s="104">
        <v>5</v>
      </c>
      <c r="H408" s="104">
        <v>8</v>
      </c>
      <c r="J408"/>
      <c r="K408"/>
      <c r="L408"/>
    </row>
    <row r="409" spans="1:12" x14ac:dyDescent="0.3">
      <c r="A409" s="96" t="s">
        <v>470</v>
      </c>
      <c r="B409" s="96" t="s">
        <v>469</v>
      </c>
      <c r="C409" s="96" t="s">
        <v>468</v>
      </c>
      <c r="D409" s="104">
        <v>15</v>
      </c>
      <c r="E409" s="104">
        <v>4.7</v>
      </c>
      <c r="F409" s="104">
        <v>10</v>
      </c>
      <c r="G409" s="104">
        <v>14</v>
      </c>
      <c r="H409" s="104">
        <v>20</v>
      </c>
      <c r="J409"/>
      <c r="K409"/>
      <c r="L409"/>
    </row>
    <row r="410" spans="1:12" x14ac:dyDescent="0.3">
      <c r="A410" s="96" t="s">
        <v>467</v>
      </c>
      <c r="B410" s="96" t="s">
        <v>466</v>
      </c>
      <c r="C410" s="96" t="s">
        <v>465</v>
      </c>
      <c r="D410" s="104">
        <v>6</v>
      </c>
      <c r="E410" s="104">
        <v>4.8</v>
      </c>
      <c r="F410" s="104">
        <v>3</v>
      </c>
      <c r="G410" s="104">
        <v>5</v>
      </c>
      <c r="H410" s="104">
        <v>9</v>
      </c>
      <c r="J410"/>
      <c r="K410"/>
      <c r="L410"/>
    </row>
    <row r="411" spans="1:12" x14ac:dyDescent="0.3">
      <c r="A411" s="96" t="s">
        <v>464</v>
      </c>
      <c r="B411" s="96" t="s">
        <v>463</v>
      </c>
      <c r="C411" s="96" t="s">
        <v>462</v>
      </c>
      <c r="D411" s="104">
        <v>11.1</v>
      </c>
      <c r="E411" s="104">
        <v>3.9</v>
      </c>
      <c r="F411" s="104">
        <v>8</v>
      </c>
      <c r="G411" s="104">
        <v>10</v>
      </c>
      <c r="H411" s="104">
        <v>15</v>
      </c>
      <c r="J411"/>
      <c r="K411"/>
      <c r="L411"/>
    </row>
    <row r="412" spans="1:12" x14ac:dyDescent="0.3">
      <c r="A412" s="96" t="s">
        <v>461</v>
      </c>
      <c r="B412" s="96" t="s">
        <v>460</v>
      </c>
      <c r="C412" s="96" t="s">
        <v>459</v>
      </c>
      <c r="D412" s="104">
        <v>8.6999999999999993</v>
      </c>
      <c r="E412" s="104">
        <v>2.6</v>
      </c>
      <c r="F412" s="104">
        <v>6</v>
      </c>
      <c r="G412" s="104">
        <v>9</v>
      </c>
      <c r="H412" s="104">
        <v>12</v>
      </c>
      <c r="J412"/>
      <c r="K412"/>
      <c r="L412"/>
    </row>
    <row r="413" spans="1:12" x14ac:dyDescent="0.3">
      <c r="A413" s="96" t="s">
        <v>458</v>
      </c>
      <c r="B413" s="96" t="s">
        <v>457</v>
      </c>
      <c r="C413" s="96" t="s">
        <v>456</v>
      </c>
      <c r="D413" s="104">
        <v>11.8</v>
      </c>
      <c r="E413" s="104">
        <v>5.0999999999999996</v>
      </c>
      <c r="F413" s="104">
        <v>8</v>
      </c>
      <c r="G413" s="104">
        <v>11</v>
      </c>
      <c r="H413" s="104">
        <v>17</v>
      </c>
      <c r="J413"/>
      <c r="K413"/>
      <c r="L413"/>
    </row>
    <row r="414" spans="1:12" x14ac:dyDescent="0.3">
      <c r="A414" s="96" t="s">
        <v>455</v>
      </c>
      <c r="B414" s="96" t="s">
        <v>454</v>
      </c>
      <c r="C414" s="96" t="s">
        <v>453</v>
      </c>
      <c r="D414" s="104">
        <v>9.9</v>
      </c>
      <c r="E414" s="104">
        <v>4</v>
      </c>
      <c r="F414" s="104">
        <v>5</v>
      </c>
      <c r="G414" s="104">
        <v>10</v>
      </c>
      <c r="H414" s="104">
        <v>14</v>
      </c>
      <c r="J414"/>
      <c r="K414"/>
      <c r="L414"/>
    </row>
    <row r="415" spans="1:12" x14ac:dyDescent="0.3">
      <c r="A415" s="96" t="s">
        <v>452</v>
      </c>
      <c r="B415" s="96" t="s">
        <v>451</v>
      </c>
      <c r="C415" s="96" t="s">
        <v>450</v>
      </c>
      <c r="D415" s="104">
        <v>8.6</v>
      </c>
      <c r="E415" s="104">
        <v>4.7</v>
      </c>
      <c r="F415" s="104">
        <v>4</v>
      </c>
      <c r="G415" s="104">
        <v>8</v>
      </c>
      <c r="H415" s="104">
        <v>14.5</v>
      </c>
      <c r="J415"/>
      <c r="K415"/>
      <c r="L415"/>
    </row>
    <row r="416" spans="1:12" x14ac:dyDescent="0.3">
      <c r="A416" s="96" t="s">
        <v>449</v>
      </c>
      <c r="B416" s="96" t="s">
        <v>448</v>
      </c>
      <c r="C416" s="96" t="s">
        <v>447</v>
      </c>
      <c r="D416" s="104">
        <v>11.2</v>
      </c>
      <c r="E416" s="104">
        <v>4.8</v>
      </c>
      <c r="F416" s="104">
        <v>8</v>
      </c>
      <c r="G416" s="104">
        <v>10</v>
      </c>
      <c r="H416" s="104">
        <v>15</v>
      </c>
      <c r="J416"/>
      <c r="K416"/>
      <c r="L416"/>
    </row>
    <row r="417" spans="1:12" x14ac:dyDescent="0.3">
      <c r="A417" s="96" t="s">
        <v>446</v>
      </c>
      <c r="B417" s="96" t="s">
        <v>445</v>
      </c>
      <c r="C417" s="96" t="s">
        <v>444</v>
      </c>
      <c r="D417" s="104">
        <v>11.6</v>
      </c>
      <c r="E417" s="104">
        <v>5.5</v>
      </c>
      <c r="F417" s="104">
        <v>8</v>
      </c>
      <c r="G417" s="104">
        <v>11</v>
      </c>
      <c r="H417" s="104">
        <v>15</v>
      </c>
      <c r="J417"/>
      <c r="K417"/>
      <c r="L417"/>
    </row>
    <row r="418" spans="1:12" x14ac:dyDescent="0.3">
      <c r="A418" s="96" t="s">
        <v>443</v>
      </c>
      <c r="B418" s="96" t="s">
        <v>442</v>
      </c>
      <c r="C418" s="96" t="s">
        <v>441</v>
      </c>
      <c r="D418" s="104">
        <v>11.1</v>
      </c>
      <c r="E418" s="104">
        <v>4.4000000000000004</v>
      </c>
      <c r="F418" s="104">
        <v>8</v>
      </c>
      <c r="G418" s="104">
        <v>11</v>
      </c>
      <c r="H418" s="104">
        <v>14</v>
      </c>
      <c r="J418"/>
      <c r="K418"/>
      <c r="L418"/>
    </row>
    <row r="419" spans="1:12" x14ac:dyDescent="0.3">
      <c r="A419" s="96" t="s">
        <v>440</v>
      </c>
      <c r="B419" s="96" t="s">
        <v>439</v>
      </c>
      <c r="C419" s="96" t="s">
        <v>438</v>
      </c>
      <c r="D419" s="104">
        <v>9.6</v>
      </c>
      <c r="E419" s="104">
        <v>3.1</v>
      </c>
      <c r="F419" s="104">
        <v>6</v>
      </c>
      <c r="G419" s="104">
        <v>10</v>
      </c>
      <c r="H419" s="104">
        <v>14</v>
      </c>
      <c r="J419"/>
      <c r="K419"/>
      <c r="L419"/>
    </row>
    <row r="420" spans="1:12" x14ac:dyDescent="0.3">
      <c r="A420" s="96" t="s">
        <v>437</v>
      </c>
      <c r="B420" s="96" t="s">
        <v>436</v>
      </c>
      <c r="C420" s="96" t="s">
        <v>435</v>
      </c>
      <c r="D420" s="104">
        <v>13</v>
      </c>
      <c r="E420" s="104">
        <v>4.7</v>
      </c>
      <c r="F420" s="104">
        <v>9</v>
      </c>
      <c r="G420" s="104">
        <v>12</v>
      </c>
      <c r="H420" s="104">
        <v>18</v>
      </c>
      <c r="J420"/>
      <c r="K420"/>
      <c r="L420"/>
    </row>
    <row r="421" spans="1:12" x14ac:dyDescent="0.3">
      <c r="A421" s="96" t="s">
        <v>434</v>
      </c>
      <c r="B421" s="96" t="s">
        <v>433</v>
      </c>
      <c r="C421" s="96" t="s">
        <v>432</v>
      </c>
      <c r="D421" s="104">
        <v>6.6</v>
      </c>
      <c r="E421" s="104">
        <v>2.8</v>
      </c>
      <c r="F421" s="104">
        <v>4</v>
      </c>
      <c r="G421" s="104">
        <v>6</v>
      </c>
      <c r="H421" s="104">
        <v>11</v>
      </c>
      <c r="J421"/>
      <c r="K421"/>
      <c r="L421"/>
    </row>
    <row r="422" spans="1:12" x14ac:dyDescent="0.3">
      <c r="A422" s="96" t="s">
        <v>431</v>
      </c>
      <c r="B422" s="96" t="s">
        <v>430</v>
      </c>
      <c r="C422" s="96" t="s">
        <v>429</v>
      </c>
      <c r="D422" s="104">
        <v>11.3</v>
      </c>
      <c r="E422" s="104">
        <v>4.5999999999999996</v>
      </c>
      <c r="F422" s="104">
        <v>8</v>
      </c>
      <c r="G422" s="104">
        <v>11</v>
      </c>
      <c r="H422" s="104">
        <v>15</v>
      </c>
      <c r="J422"/>
      <c r="K422"/>
      <c r="L422"/>
    </row>
    <row r="423" spans="1:12" x14ac:dyDescent="0.3">
      <c r="A423" s="96" t="s">
        <v>428</v>
      </c>
      <c r="B423" s="96" t="s">
        <v>427</v>
      </c>
      <c r="C423" s="96" t="s">
        <v>426</v>
      </c>
      <c r="D423" s="104">
        <v>10.3</v>
      </c>
      <c r="E423" s="104">
        <v>11.9</v>
      </c>
      <c r="F423" s="104">
        <v>4</v>
      </c>
      <c r="G423" s="104">
        <v>9</v>
      </c>
      <c r="H423" s="104">
        <v>13</v>
      </c>
      <c r="J423"/>
      <c r="K423"/>
      <c r="L423"/>
    </row>
    <row r="424" spans="1:12" x14ac:dyDescent="0.3">
      <c r="A424" s="96" t="s">
        <v>425</v>
      </c>
      <c r="B424" s="96" t="s">
        <v>424</v>
      </c>
      <c r="C424" s="96" t="s">
        <v>423</v>
      </c>
      <c r="D424" s="104">
        <v>10.3</v>
      </c>
      <c r="E424" s="104">
        <v>4.7</v>
      </c>
      <c r="F424" s="104">
        <v>7</v>
      </c>
      <c r="G424" s="104">
        <v>10</v>
      </c>
      <c r="H424" s="104">
        <v>14</v>
      </c>
      <c r="J424"/>
      <c r="K424"/>
      <c r="L424"/>
    </row>
    <row r="425" spans="1:12" x14ac:dyDescent="0.3">
      <c r="A425" s="96" t="s">
        <v>422</v>
      </c>
      <c r="B425" s="96" t="s">
        <v>421</v>
      </c>
      <c r="C425" s="96" t="s">
        <v>420</v>
      </c>
      <c r="D425" s="104">
        <v>11.7</v>
      </c>
      <c r="E425" s="104">
        <v>4.5</v>
      </c>
      <c r="F425" s="104">
        <v>7</v>
      </c>
      <c r="G425" s="104">
        <v>11</v>
      </c>
      <c r="H425" s="104">
        <v>17</v>
      </c>
      <c r="J425"/>
      <c r="K425"/>
      <c r="L425"/>
    </row>
    <row r="426" spans="1:12" x14ac:dyDescent="0.3">
      <c r="A426" s="96" t="s">
        <v>419</v>
      </c>
      <c r="B426" s="96" t="s">
        <v>418</v>
      </c>
      <c r="C426" s="96" t="s">
        <v>417</v>
      </c>
      <c r="D426" s="104">
        <v>13.1</v>
      </c>
      <c r="E426" s="104">
        <v>5.0999999999999996</v>
      </c>
      <c r="F426" s="104">
        <v>8</v>
      </c>
      <c r="G426" s="104">
        <v>12</v>
      </c>
      <c r="H426" s="104">
        <v>19</v>
      </c>
      <c r="J426"/>
      <c r="K426"/>
      <c r="L426"/>
    </row>
    <row r="427" spans="1:12" x14ac:dyDescent="0.3">
      <c r="A427" s="96" t="s">
        <v>416</v>
      </c>
      <c r="B427" s="96" t="s">
        <v>415</v>
      </c>
      <c r="C427" s="96" t="s">
        <v>414</v>
      </c>
      <c r="D427" s="104">
        <v>14</v>
      </c>
      <c r="E427" s="104">
        <v>4.4000000000000004</v>
      </c>
      <c r="F427" s="104">
        <v>9</v>
      </c>
      <c r="G427" s="104">
        <v>13</v>
      </c>
      <c r="H427" s="104">
        <v>19</v>
      </c>
      <c r="J427"/>
      <c r="K427"/>
      <c r="L427"/>
    </row>
    <row r="428" spans="1:12" x14ac:dyDescent="0.3">
      <c r="A428" s="96" t="s">
        <v>413</v>
      </c>
      <c r="B428" s="96" t="s">
        <v>412</v>
      </c>
      <c r="C428" s="96" t="s">
        <v>411</v>
      </c>
      <c r="D428" s="104">
        <v>14.2</v>
      </c>
      <c r="E428" s="104">
        <v>4.7</v>
      </c>
      <c r="F428" s="104">
        <v>9</v>
      </c>
      <c r="G428" s="104">
        <v>13</v>
      </c>
      <c r="H428" s="104">
        <v>20</v>
      </c>
      <c r="J428"/>
      <c r="K428"/>
      <c r="L428"/>
    </row>
    <row r="429" spans="1:12" x14ac:dyDescent="0.3">
      <c r="A429" s="96" t="s">
        <v>410</v>
      </c>
      <c r="B429" s="96" t="s">
        <v>409</v>
      </c>
      <c r="C429" s="96" t="s">
        <v>408</v>
      </c>
      <c r="D429" s="104">
        <v>20.2</v>
      </c>
      <c r="E429" s="104">
        <v>7.6</v>
      </c>
      <c r="F429" s="104">
        <v>13</v>
      </c>
      <c r="G429" s="104">
        <v>19</v>
      </c>
      <c r="H429" s="104">
        <v>29</v>
      </c>
      <c r="J429"/>
      <c r="K429"/>
      <c r="L429"/>
    </row>
    <row r="430" spans="1:12" x14ac:dyDescent="0.3">
      <c r="A430" s="96" t="s">
        <v>407</v>
      </c>
      <c r="B430" s="96" t="s">
        <v>406</v>
      </c>
      <c r="C430" s="96" t="s">
        <v>405</v>
      </c>
      <c r="D430" s="104">
        <v>13</v>
      </c>
      <c r="E430" s="104">
        <v>3.9</v>
      </c>
      <c r="F430" s="104">
        <v>10</v>
      </c>
      <c r="G430" s="104">
        <v>12</v>
      </c>
      <c r="H430" s="104">
        <v>17</v>
      </c>
      <c r="J430"/>
      <c r="K430"/>
      <c r="L430"/>
    </row>
    <row r="431" spans="1:12" x14ac:dyDescent="0.3">
      <c r="A431" s="96" t="s">
        <v>404</v>
      </c>
      <c r="B431" s="96" t="s">
        <v>403</v>
      </c>
      <c r="C431" s="96" t="s">
        <v>402</v>
      </c>
      <c r="D431" s="104">
        <v>10.5</v>
      </c>
      <c r="E431" s="104">
        <v>1.8</v>
      </c>
      <c r="F431" s="104">
        <v>9</v>
      </c>
      <c r="G431" s="104">
        <v>10</v>
      </c>
      <c r="H431" s="104">
        <v>13</v>
      </c>
      <c r="J431"/>
      <c r="K431"/>
      <c r="L431"/>
    </row>
    <row r="432" spans="1:12" x14ac:dyDescent="0.3">
      <c r="A432" s="96" t="s">
        <v>401</v>
      </c>
      <c r="B432" s="96" t="s">
        <v>400</v>
      </c>
      <c r="C432" s="96" t="s">
        <v>399</v>
      </c>
      <c r="D432" s="104">
        <v>17.899999999999999</v>
      </c>
      <c r="E432" s="104">
        <v>6.3</v>
      </c>
      <c r="F432" s="104">
        <v>12</v>
      </c>
      <c r="G432" s="104">
        <v>17</v>
      </c>
      <c r="H432" s="104">
        <v>25</v>
      </c>
      <c r="J432"/>
      <c r="K432"/>
      <c r="L432"/>
    </row>
    <row r="433" spans="1:12" x14ac:dyDescent="0.3">
      <c r="A433" s="96" t="s">
        <v>398</v>
      </c>
      <c r="B433" s="96" t="s">
        <v>397</v>
      </c>
      <c r="C433" s="96" t="s">
        <v>396</v>
      </c>
      <c r="D433" s="104">
        <v>7</v>
      </c>
      <c r="E433" s="104">
        <v>3.1</v>
      </c>
      <c r="F433" s="104">
        <v>4</v>
      </c>
      <c r="G433" s="104">
        <v>6</v>
      </c>
      <c r="H433" s="104">
        <v>11</v>
      </c>
      <c r="J433"/>
      <c r="K433"/>
      <c r="L433"/>
    </row>
    <row r="434" spans="1:12" x14ac:dyDescent="0.3">
      <c r="A434" s="96" t="s">
        <v>395</v>
      </c>
      <c r="B434" s="96" t="s">
        <v>394</v>
      </c>
      <c r="C434" s="96" t="s">
        <v>393</v>
      </c>
      <c r="D434" s="104">
        <v>10.5</v>
      </c>
      <c r="E434" s="104">
        <v>3</v>
      </c>
      <c r="F434" s="104">
        <v>8</v>
      </c>
      <c r="G434" s="104">
        <v>10</v>
      </c>
      <c r="H434" s="104">
        <v>15</v>
      </c>
      <c r="J434"/>
      <c r="K434"/>
      <c r="L434"/>
    </row>
    <row r="435" spans="1:12" x14ac:dyDescent="0.3">
      <c r="A435" s="96" t="s">
        <v>1996</v>
      </c>
      <c r="B435" s="96" t="s">
        <v>1997</v>
      </c>
      <c r="C435" s="96" t="s">
        <v>1998</v>
      </c>
      <c r="D435" s="104">
        <v>6.3</v>
      </c>
      <c r="E435" s="104">
        <v>2.4</v>
      </c>
      <c r="F435" s="104">
        <v>4</v>
      </c>
      <c r="G435" s="104">
        <v>6</v>
      </c>
      <c r="H435" s="104">
        <v>9</v>
      </c>
      <c r="J435"/>
      <c r="K435"/>
      <c r="L435"/>
    </row>
    <row r="436" spans="1:12" x14ac:dyDescent="0.3">
      <c r="A436" s="96" t="s">
        <v>392</v>
      </c>
      <c r="B436" s="96" t="s">
        <v>391</v>
      </c>
      <c r="C436" s="96" t="s">
        <v>390</v>
      </c>
      <c r="D436" s="104">
        <v>12.3</v>
      </c>
      <c r="E436" s="104">
        <v>4.2</v>
      </c>
      <c r="F436" s="104">
        <v>9</v>
      </c>
      <c r="G436" s="104">
        <v>11</v>
      </c>
      <c r="H436" s="104">
        <v>17</v>
      </c>
      <c r="J436"/>
      <c r="K436"/>
      <c r="L436"/>
    </row>
    <row r="437" spans="1:12" x14ac:dyDescent="0.3">
      <c r="A437" s="96" t="s">
        <v>389</v>
      </c>
      <c r="B437" s="96" t="s">
        <v>388</v>
      </c>
      <c r="C437" s="96" t="s">
        <v>387</v>
      </c>
      <c r="D437" s="104">
        <v>14.3</v>
      </c>
      <c r="E437" s="104">
        <v>4.0999999999999996</v>
      </c>
      <c r="F437" s="104">
        <v>11</v>
      </c>
      <c r="G437" s="104">
        <v>14</v>
      </c>
      <c r="H437" s="104">
        <v>19</v>
      </c>
      <c r="J437"/>
      <c r="K437"/>
      <c r="L437"/>
    </row>
    <row r="438" spans="1:12" x14ac:dyDescent="0.3">
      <c r="A438" s="96" t="s">
        <v>1999</v>
      </c>
      <c r="B438" s="96" t="s">
        <v>2000</v>
      </c>
      <c r="C438" s="96" t="s">
        <v>2001</v>
      </c>
      <c r="D438" s="104">
        <v>11.8</v>
      </c>
      <c r="E438" s="104">
        <v>3.3</v>
      </c>
      <c r="F438" s="104">
        <v>9</v>
      </c>
      <c r="G438" s="104">
        <v>11</v>
      </c>
      <c r="H438" s="104">
        <v>15</v>
      </c>
      <c r="J438"/>
      <c r="K438"/>
      <c r="L438"/>
    </row>
    <row r="439" spans="1:12" x14ac:dyDescent="0.3">
      <c r="A439" s="96" t="s">
        <v>386</v>
      </c>
      <c r="B439" s="96" t="s">
        <v>385</v>
      </c>
      <c r="C439" s="96" t="s">
        <v>384</v>
      </c>
      <c r="D439" s="104">
        <v>12</v>
      </c>
      <c r="E439" s="104">
        <v>3.2</v>
      </c>
      <c r="F439" s="104">
        <v>9</v>
      </c>
      <c r="G439" s="104">
        <v>11</v>
      </c>
      <c r="H439" s="104">
        <v>16</v>
      </c>
      <c r="J439"/>
      <c r="K439"/>
      <c r="L439"/>
    </row>
    <row r="440" spans="1:12" x14ac:dyDescent="0.3">
      <c r="A440" s="96" t="s">
        <v>383</v>
      </c>
      <c r="B440" s="96" t="s">
        <v>382</v>
      </c>
      <c r="C440" s="96" t="s">
        <v>381</v>
      </c>
      <c r="D440" s="104">
        <v>12.1</v>
      </c>
      <c r="E440" s="104">
        <v>4.3</v>
      </c>
      <c r="F440" s="104">
        <v>9</v>
      </c>
      <c r="G440" s="104">
        <v>11</v>
      </c>
      <c r="H440" s="104">
        <v>15</v>
      </c>
      <c r="J440"/>
      <c r="K440"/>
      <c r="L440"/>
    </row>
    <row r="441" spans="1:12" x14ac:dyDescent="0.3">
      <c r="A441" s="96" t="s">
        <v>380</v>
      </c>
      <c r="B441" s="96" t="s">
        <v>379</v>
      </c>
      <c r="C441" s="96" t="s">
        <v>2002</v>
      </c>
      <c r="D441" s="104">
        <v>14</v>
      </c>
      <c r="E441" s="104">
        <v>5.2</v>
      </c>
      <c r="F441" s="104">
        <v>9</v>
      </c>
      <c r="G441" s="104">
        <v>13</v>
      </c>
      <c r="H441" s="104">
        <v>20</v>
      </c>
      <c r="J441"/>
      <c r="K441"/>
      <c r="L441"/>
    </row>
    <row r="442" spans="1:12" x14ac:dyDescent="0.3">
      <c r="A442" s="96" t="s">
        <v>378</v>
      </c>
      <c r="B442" s="96" t="s">
        <v>377</v>
      </c>
      <c r="C442" s="96" t="s">
        <v>376</v>
      </c>
      <c r="D442" s="104">
        <v>13.9</v>
      </c>
      <c r="E442" s="104">
        <v>4.0999999999999996</v>
      </c>
      <c r="F442" s="104">
        <v>10</v>
      </c>
      <c r="G442" s="104">
        <v>13</v>
      </c>
      <c r="H442" s="104">
        <v>18</v>
      </c>
      <c r="J442"/>
      <c r="K442"/>
      <c r="L442"/>
    </row>
    <row r="443" spans="1:12" x14ac:dyDescent="0.3">
      <c r="A443" s="96" t="s">
        <v>375</v>
      </c>
      <c r="B443" s="96" t="s">
        <v>374</v>
      </c>
      <c r="C443" s="96" t="s">
        <v>373</v>
      </c>
      <c r="D443" s="104">
        <v>13.1</v>
      </c>
      <c r="E443" s="104">
        <v>3.3</v>
      </c>
      <c r="F443" s="104">
        <v>9</v>
      </c>
      <c r="G443" s="104">
        <v>13</v>
      </c>
      <c r="H443" s="104">
        <v>17</v>
      </c>
      <c r="J443"/>
      <c r="K443"/>
      <c r="L443"/>
    </row>
    <row r="444" spans="1:12" x14ac:dyDescent="0.3">
      <c r="A444" s="96" t="s">
        <v>372</v>
      </c>
      <c r="B444" s="96" t="s">
        <v>371</v>
      </c>
      <c r="C444" s="96" t="s">
        <v>370</v>
      </c>
      <c r="D444" s="104">
        <v>13.3</v>
      </c>
      <c r="E444" s="104">
        <v>4.2</v>
      </c>
      <c r="F444" s="104">
        <v>9</v>
      </c>
      <c r="G444" s="104">
        <v>12</v>
      </c>
      <c r="H444" s="104">
        <v>18</v>
      </c>
      <c r="J444"/>
      <c r="K444"/>
      <c r="L444"/>
    </row>
    <row r="445" spans="1:12" x14ac:dyDescent="0.3">
      <c r="A445" s="96" t="s">
        <v>369</v>
      </c>
      <c r="B445" s="96" t="s">
        <v>368</v>
      </c>
      <c r="C445" s="96" t="s">
        <v>367</v>
      </c>
      <c r="D445" s="104">
        <v>12.8</v>
      </c>
      <c r="E445" s="104">
        <v>2.7</v>
      </c>
      <c r="F445" s="104">
        <v>10</v>
      </c>
      <c r="G445" s="104">
        <v>13</v>
      </c>
      <c r="H445" s="104">
        <v>16</v>
      </c>
      <c r="J445"/>
      <c r="K445"/>
      <c r="L445"/>
    </row>
    <row r="446" spans="1:12" x14ac:dyDescent="0.3">
      <c r="A446" s="96" t="s">
        <v>366</v>
      </c>
      <c r="B446" s="96" t="s">
        <v>365</v>
      </c>
      <c r="C446" s="96" t="s">
        <v>364</v>
      </c>
      <c r="D446" s="104">
        <v>12.3</v>
      </c>
      <c r="E446" s="104">
        <v>3.3</v>
      </c>
      <c r="F446" s="104">
        <v>10</v>
      </c>
      <c r="G446" s="104">
        <v>12</v>
      </c>
      <c r="H446" s="104">
        <v>15</v>
      </c>
      <c r="J446"/>
      <c r="K446"/>
      <c r="L446"/>
    </row>
    <row r="447" spans="1:12" x14ac:dyDescent="0.3">
      <c r="A447" s="96" t="s">
        <v>363</v>
      </c>
      <c r="B447" s="96" t="s">
        <v>362</v>
      </c>
      <c r="C447" s="96" t="s">
        <v>361</v>
      </c>
      <c r="D447" s="104">
        <v>18.600000000000001</v>
      </c>
      <c r="E447" s="104">
        <v>6</v>
      </c>
      <c r="F447" s="104">
        <v>13</v>
      </c>
      <c r="G447" s="104">
        <v>17</v>
      </c>
      <c r="H447" s="104">
        <v>26</v>
      </c>
      <c r="J447"/>
      <c r="K447"/>
      <c r="L447"/>
    </row>
    <row r="448" spans="1:12" x14ac:dyDescent="0.3">
      <c r="A448" s="96" t="s">
        <v>360</v>
      </c>
      <c r="B448" s="96" t="s">
        <v>359</v>
      </c>
      <c r="C448" s="96" t="s">
        <v>358</v>
      </c>
      <c r="D448" s="104">
        <v>12.5</v>
      </c>
      <c r="E448" s="104">
        <v>2.8</v>
      </c>
      <c r="F448" s="104">
        <v>10</v>
      </c>
      <c r="G448" s="104">
        <v>12</v>
      </c>
      <c r="H448" s="104">
        <v>16</v>
      </c>
      <c r="J448"/>
      <c r="K448"/>
      <c r="L448"/>
    </row>
    <row r="449" spans="1:12" x14ac:dyDescent="0.3">
      <c r="A449" s="96" t="s">
        <v>357</v>
      </c>
      <c r="B449" s="96" t="s">
        <v>356</v>
      </c>
      <c r="C449" s="96" t="s">
        <v>355</v>
      </c>
      <c r="D449" s="104">
        <v>14.1</v>
      </c>
      <c r="E449" s="104">
        <v>4.8</v>
      </c>
      <c r="F449" s="104">
        <v>10</v>
      </c>
      <c r="G449" s="104">
        <v>13</v>
      </c>
      <c r="H449" s="104">
        <v>19</v>
      </c>
      <c r="J449"/>
      <c r="K449"/>
      <c r="L449"/>
    </row>
    <row r="450" spans="1:12" x14ac:dyDescent="0.3">
      <c r="A450" s="96" t="s">
        <v>354</v>
      </c>
      <c r="B450" s="96" t="s">
        <v>353</v>
      </c>
      <c r="C450" s="96" t="s">
        <v>352</v>
      </c>
      <c r="D450" s="104">
        <v>13.6</v>
      </c>
      <c r="E450" s="104">
        <v>4.7</v>
      </c>
      <c r="F450" s="104">
        <v>10</v>
      </c>
      <c r="G450" s="104">
        <v>12</v>
      </c>
      <c r="H450" s="104">
        <v>20</v>
      </c>
      <c r="J450"/>
      <c r="K450"/>
      <c r="L450"/>
    </row>
    <row r="451" spans="1:12" x14ac:dyDescent="0.3">
      <c r="A451" s="96" t="s">
        <v>351</v>
      </c>
      <c r="B451" s="96" t="s">
        <v>350</v>
      </c>
      <c r="C451" s="96" t="s">
        <v>349</v>
      </c>
      <c r="D451" s="104">
        <v>11.9</v>
      </c>
      <c r="E451" s="104">
        <v>3.2</v>
      </c>
      <c r="F451" s="104">
        <v>9</v>
      </c>
      <c r="G451" s="104">
        <v>11</v>
      </c>
      <c r="H451" s="104">
        <v>16</v>
      </c>
      <c r="J451"/>
      <c r="K451"/>
      <c r="L451"/>
    </row>
    <row r="452" spans="1:12" x14ac:dyDescent="0.3">
      <c r="A452" s="96" t="s">
        <v>348</v>
      </c>
      <c r="B452" s="96" t="s">
        <v>347</v>
      </c>
      <c r="C452" s="96" t="s">
        <v>347</v>
      </c>
      <c r="D452" s="104">
        <v>13.2</v>
      </c>
      <c r="E452" s="104">
        <v>4.5</v>
      </c>
      <c r="F452" s="104">
        <v>9</v>
      </c>
      <c r="G452" s="104">
        <v>12</v>
      </c>
      <c r="H452" s="104">
        <v>19</v>
      </c>
      <c r="J452"/>
      <c r="K452"/>
      <c r="L452"/>
    </row>
    <row r="453" spans="1:12" x14ac:dyDescent="0.3">
      <c r="A453" s="96" t="s">
        <v>346</v>
      </c>
      <c r="B453" s="96" t="s">
        <v>345</v>
      </c>
      <c r="C453" s="96" t="s">
        <v>344</v>
      </c>
      <c r="D453" s="104">
        <v>12.6</v>
      </c>
      <c r="E453" s="104">
        <v>4.2</v>
      </c>
      <c r="F453" s="104">
        <v>9</v>
      </c>
      <c r="G453" s="104">
        <v>12</v>
      </c>
      <c r="H453" s="104">
        <v>19</v>
      </c>
      <c r="J453"/>
      <c r="K453"/>
      <c r="L453"/>
    </row>
    <row r="454" spans="1:12" x14ac:dyDescent="0.3">
      <c r="A454" s="96" t="s">
        <v>343</v>
      </c>
      <c r="B454" s="96" t="s">
        <v>342</v>
      </c>
      <c r="C454" s="96" t="s">
        <v>341</v>
      </c>
      <c r="D454" s="104">
        <v>12.8</v>
      </c>
      <c r="E454" s="104">
        <v>4.4000000000000004</v>
      </c>
      <c r="F454" s="104">
        <v>8</v>
      </c>
      <c r="G454" s="104">
        <v>13</v>
      </c>
      <c r="H454" s="104">
        <v>18</v>
      </c>
      <c r="J454"/>
      <c r="K454"/>
      <c r="L454"/>
    </row>
    <row r="455" spans="1:12" x14ac:dyDescent="0.3">
      <c r="A455" s="96" t="s">
        <v>340</v>
      </c>
      <c r="B455" s="96" t="s">
        <v>339</v>
      </c>
      <c r="C455" s="96" t="s">
        <v>2003</v>
      </c>
      <c r="D455" s="104">
        <v>6.6</v>
      </c>
      <c r="E455" s="104">
        <v>2.6</v>
      </c>
      <c r="F455" s="104">
        <v>4</v>
      </c>
      <c r="G455" s="104">
        <v>6</v>
      </c>
      <c r="H455" s="104">
        <v>10</v>
      </c>
      <c r="J455"/>
      <c r="K455"/>
      <c r="L455"/>
    </row>
    <row r="456" spans="1:12" x14ac:dyDescent="0.3">
      <c r="A456" s="96" t="s">
        <v>338</v>
      </c>
      <c r="B456" s="96" t="s">
        <v>337</v>
      </c>
      <c r="C456" s="96" t="s">
        <v>336</v>
      </c>
      <c r="D456" s="104">
        <v>9.9</v>
      </c>
      <c r="E456" s="104">
        <v>1.8</v>
      </c>
      <c r="F456" s="104">
        <v>8</v>
      </c>
      <c r="G456" s="104">
        <v>10</v>
      </c>
      <c r="H456" s="104">
        <v>12</v>
      </c>
      <c r="J456"/>
      <c r="K456"/>
      <c r="L456"/>
    </row>
    <row r="457" spans="1:12" x14ac:dyDescent="0.3">
      <c r="A457" s="96" t="s">
        <v>335</v>
      </c>
      <c r="B457" s="96" t="s">
        <v>334</v>
      </c>
      <c r="C457" s="96" t="s">
        <v>333</v>
      </c>
      <c r="D457" s="104">
        <v>11</v>
      </c>
      <c r="E457" s="104">
        <v>4.5</v>
      </c>
      <c r="F457" s="104">
        <v>9</v>
      </c>
      <c r="G457" s="104">
        <v>10</v>
      </c>
      <c r="H457" s="104">
        <v>14</v>
      </c>
      <c r="J457"/>
      <c r="K457"/>
      <c r="L457"/>
    </row>
    <row r="458" spans="1:12" x14ac:dyDescent="0.3">
      <c r="A458" s="96" t="s">
        <v>332</v>
      </c>
      <c r="B458" s="96" t="s">
        <v>331</v>
      </c>
      <c r="C458" s="96" t="s">
        <v>330</v>
      </c>
      <c r="D458" s="104">
        <v>13.1</v>
      </c>
      <c r="E458" s="104">
        <v>4.5999999999999996</v>
      </c>
      <c r="F458" s="104">
        <v>10</v>
      </c>
      <c r="G458" s="104">
        <v>12</v>
      </c>
      <c r="H458" s="104">
        <v>17</v>
      </c>
      <c r="J458"/>
      <c r="K458"/>
      <c r="L458"/>
    </row>
    <row r="459" spans="1:12" x14ac:dyDescent="0.3">
      <c r="A459" s="96" t="s">
        <v>329</v>
      </c>
      <c r="B459" s="96" t="s">
        <v>328</v>
      </c>
      <c r="C459" s="96" t="s">
        <v>327</v>
      </c>
      <c r="D459" s="104">
        <v>11.2</v>
      </c>
      <c r="E459" s="104">
        <v>2.4</v>
      </c>
      <c r="F459" s="104">
        <v>9</v>
      </c>
      <c r="G459" s="104">
        <v>11</v>
      </c>
      <c r="H459" s="104">
        <v>14</v>
      </c>
      <c r="J459"/>
      <c r="K459"/>
      <c r="L459"/>
    </row>
    <row r="460" spans="1:12" x14ac:dyDescent="0.3">
      <c r="A460" s="96" t="s">
        <v>326</v>
      </c>
      <c r="B460" s="96" t="s">
        <v>325</v>
      </c>
      <c r="C460" s="96" t="s">
        <v>2004</v>
      </c>
      <c r="D460" s="104">
        <v>10.8</v>
      </c>
      <c r="E460" s="104">
        <v>3.9</v>
      </c>
      <c r="F460" s="104">
        <v>7</v>
      </c>
      <c r="G460" s="104">
        <v>10</v>
      </c>
      <c r="H460" s="104">
        <v>16</v>
      </c>
      <c r="J460"/>
      <c r="K460"/>
      <c r="L460"/>
    </row>
    <row r="461" spans="1:12" x14ac:dyDescent="0.3">
      <c r="A461" s="96" t="s">
        <v>324</v>
      </c>
      <c r="B461" s="96" t="s">
        <v>323</v>
      </c>
      <c r="C461" s="96" t="s">
        <v>322</v>
      </c>
      <c r="D461" s="104">
        <v>14</v>
      </c>
      <c r="E461" s="104">
        <v>4.8</v>
      </c>
      <c r="F461" s="104">
        <v>10</v>
      </c>
      <c r="G461" s="104">
        <v>13</v>
      </c>
      <c r="H461" s="104">
        <v>19</v>
      </c>
      <c r="J461"/>
      <c r="K461"/>
      <c r="L461"/>
    </row>
    <row r="462" spans="1:12" x14ac:dyDescent="0.3">
      <c r="A462" s="96" t="s">
        <v>321</v>
      </c>
      <c r="B462" s="96" t="s">
        <v>320</v>
      </c>
      <c r="C462" s="96" t="s">
        <v>319</v>
      </c>
      <c r="D462" s="104">
        <v>12.3</v>
      </c>
      <c r="E462" s="104">
        <v>3.6</v>
      </c>
      <c r="F462" s="104">
        <v>10</v>
      </c>
      <c r="G462" s="104">
        <v>12</v>
      </c>
      <c r="H462" s="104">
        <v>16</v>
      </c>
      <c r="J462"/>
      <c r="K462"/>
      <c r="L462"/>
    </row>
    <row r="463" spans="1:12" x14ac:dyDescent="0.3">
      <c r="A463" s="96" t="s">
        <v>318</v>
      </c>
      <c r="B463" s="96" t="s">
        <v>317</v>
      </c>
      <c r="C463" s="96" t="s">
        <v>316</v>
      </c>
      <c r="D463" s="104">
        <v>7.6</v>
      </c>
      <c r="E463" s="104">
        <v>5.9</v>
      </c>
      <c r="F463" s="104">
        <v>4</v>
      </c>
      <c r="G463" s="104">
        <v>6</v>
      </c>
      <c r="H463" s="104">
        <v>13</v>
      </c>
      <c r="J463"/>
      <c r="K463"/>
      <c r="L463"/>
    </row>
    <row r="464" spans="1:12" x14ac:dyDescent="0.3">
      <c r="A464" s="96" t="s">
        <v>315</v>
      </c>
      <c r="B464" s="96" t="s">
        <v>314</v>
      </c>
      <c r="C464" s="96" t="s">
        <v>313</v>
      </c>
      <c r="D464" s="104">
        <v>8.8000000000000007</v>
      </c>
      <c r="E464" s="104">
        <v>5</v>
      </c>
      <c r="F464" s="104">
        <v>5</v>
      </c>
      <c r="G464" s="104">
        <v>7</v>
      </c>
      <c r="H464" s="104">
        <v>16</v>
      </c>
      <c r="J464"/>
      <c r="K464"/>
      <c r="L464"/>
    </row>
    <row r="465" spans="1:12" x14ac:dyDescent="0.3">
      <c r="A465" s="96" t="s">
        <v>312</v>
      </c>
      <c r="B465" s="96" t="s">
        <v>311</v>
      </c>
      <c r="C465" s="96" t="s">
        <v>310</v>
      </c>
      <c r="D465" s="104">
        <v>13.1</v>
      </c>
      <c r="E465" s="104">
        <v>7.1</v>
      </c>
      <c r="F465" s="104">
        <v>8</v>
      </c>
      <c r="G465" s="104">
        <v>11</v>
      </c>
      <c r="H465" s="104">
        <v>20</v>
      </c>
      <c r="J465"/>
      <c r="K465"/>
      <c r="L465"/>
    </row>
    <row r="466" spans="1:12" x14ac:dyDescent="0.3">
      <c r="A466" s="96" t="s">
        <v>309</v>
      </c>
      <c r="B466" s="96" t="s">
        <v>308</v>
      </c>
      <c r="C466" s="96" t="s">
        <v>307</v>
      </c>
      <c r="D466" s="104">
        <v>13.3</v>
      </c>
      <c r="E466" s="104">
        <v>5.7</v>
      </c>
      <c r="F466" s="104">
        <v>10</v>
      </c>
      <c r="G466" s="104">
        <v>12</v>
      </c>
      <c r="H466" s="104">
        <v>18</v>
      </c>
      <c r="J466"/>
      <c r="K466"/>
      <c r="L466"/>
    </row>
    <row r="467" spans="1:12" x14ac:dyDescent="0.3">
      <c r="A467" s="96" t="s">
        <v>306</v>
      </c>
      <c r="B467" s="96" t="s">
        <v>305</v>
      </c>
      <c r="C467" s="96" t="s">
        <v>106</v>
      </c>
      <c r="D467" s="104">
        <v>10.9</v>
      </c>
      <c r="E467" s="104">
        <v>1.6</v>
      </c>
      <c r="F467" s="104">
        <v>9</v>
      </c>
      <c r="G467" s="104">
        <v>11</v>
      </c>
      <c r="H467" s="104">
        <v>13</v>
      </c>
      <c r="J467"/>
      <c r="K467"/>
      <c r="L467"/>
    </row>
    <row r="468" spans="1:12" x14ac:dyDescent="0.3">
      <c r="A468" s="96" t="s">
        <v>304</v>
      </c>
      <c r="B468" s="96" t="s">
        <v>303</v>
      </c>
      <c r="C468" s="96" t="s">
        <v>2005</v>
      </c>
      <c r="D468" s="104">
        <v>11.6</v>
      </c>
      <c r="E468" s="104">
        <v>2.7</v>
      </c>
      <c r="F468" s="104">
        <v>9</v>
      </c>
      <c r="G468" s="104">
        <v>11</v>
      </c>
      <c r="H468" s="104">
        <v>15</v>
      </c>
      <c r="J468"/>
      <c r="K468"/>
      <c r="L468"/>
    </row>
    <row r="469" spans="1:12" x14ac:dyDescent="0.3">
      <c r="A469" s="96" t="s">
        <v>302</v>
      </c>
      <c r="B469" s="96" t="s">
        <v>301</v>
      </c>
      <c r="C469" s="96" t="s">
        <v>300</v>
      </c>
      <c r="D469" s="104">
        <v>12.7</v>
      </c>
      <c r="E469" s="104">
        <v>3.6</v>
      </c>
      <c r="F469" s="104">
        <v>9</v>
      </c>
      <c r="G469" s="104">
        <v>12</v>
      </c>
      <c r="H469" s="104">
        <v>17</v>
      </c>
      <c r="J469"/>
      <c r="K469"/>
      <c r="L469"/>
    </row>
    <row r="470" spans="1:12" x14ac:dyDescent="0.3">
      <c r="A470" s="96" t="s">
        <v>299</v>
      </c>
      <c r="B470" s="96" t="s">
        <v>298</v>
      </c>
      <c r="C470" s="96" t="s">
        <v>297</v>
      </c>
      <c r="D470" s="104">
        <v>10.4</v>
      </c>
      <c r="E470" s="104">
        <v>3.6</v>
      </c>
      <c r="F470" s="104">
        <v>8</v>
      </c>
      <c r="G470" s="104">
        <v>10</v>
      </c>
      <c r="H470" s="104">
        <v>13</v>
      </c>
      <c r="J470"/>
      <c r="K470"/>
      <c r="L470"/>
    </row>
    <row r="471" spans="1:12" x14ac:dyDescent="0.3">
      <c r="A471" s="96" t="s">
        <v>296</v>
      </c>
      <c r="B471" s="96" t="s">
        <v>295</v>
      </c>
      <c r="C471" s="96" t="s">
        <v>294</v>
      </c>
      <c r="D471" s="104">
        <v>12.8</v>
      </c>
      <c r="E471" s="104">
        <v>4.2</v>
      </c>
      <c r="F471" s="104">
        <v>9</v>
      </c>
      <c r="G471" s="104">
        <v>12</v>
      </c>
      <c r="H471" s="104">
        <v>18</v>
      </c>
      <c r="J471"/>
      <c r="K471"/>
      <c r="L471"/>
    </row>
    <row r="472" spans="1:12" x14ac:dyDescent="0.3">
      <c r="A472" s="96" t="s">
        <v>293</v>
      </c>
      <c r="B472" s="96" t="s">
        <v>292</v>
      </c>
      <c r="C472" s="96" t="s">
        <v>291</v>
      </c>
      <c r="D472" s="104">
        <v>20.2</v>
      </c>
      <c r="E472" s="104">
        <v>9.1999999999999993</v>
      </c>
      <c r="F472" s="104">
        <v>12</v>
      </c>
      <c r="G472" s="104">
        <v>17</v>
      </c>
      <c r="H472" s="104">
        <v>33</v>
      </c>
      <c r="J472"/>
      <c r="K472"/>
      <c r="L472"/>
    </row>
    <row r="473" spans="1:12" x14ac:dyDescent="0.3">
      <c r="A473" s="96" t="s">
        <v>290</v>
      </c>
      <c r="B473" s="96" t="s">
        <v>289</v>
      </c>
      <c r="C473" s="96" t="s">
        <v>288</v>
      </c>
      <c r="D473" s="104">
        <v>18</v>
      </c>
      <c r="E473" s="104">
        <v>6.5</v>
      </c>
      <c r="F473" s="104">
        <v>12</v>
      </c>
      <c r="G473" s="104">
        <v>17</v>
      </c>
      <c r="H473" s="104">
        <v>26</v>
      </c>
      <c r="J473"/>
      <c r="K473"/>
      <c r="L473"/>
    </row>
    <row r="474" spans="1:12" x14ac:dyDescent="0.3">
      <c r="A474" s="96" t="s">
        <v>2006</v>
      </c>
      <c r="B474" s="96" t="s">
        <v>2007</v>
      </c>
      <c r="C474" s="96" t="s">
        <v>2008</v>
      </c>
      <c r="D474" s="104">
        <v>13.3</v>
      </c>
      <c r="E474" s="104">
        <v>4.2</v>
      </c>
      <c r="F474" s="104">
        <v>10</v>
      </c>
      <c r="G474" s="104">
        <v>12</v>
      </c>
      <c r="H474" s="104">
        <v>17</v>
      </c>
      <c r="J474"/>
      <c r="K474"/>
      <c r="L474"/>
    </row>
    <row r="475" spans="1:12" x14ac:dyDescent="0.3">
      <c r="A475" s="96" t="s">
        <v>287</v>
      </c>
      <c r="B475" s="96" t="s">
        <v>286</v>
      </c>
      <c r="C475" s="96" t="s">
        <v>285</v>
      </c>
      <c r="D475" s="104">
        <v>8.9</v>
      </c>
      <c r="E475" s="104">
        <v>3.5</v>
      </c>
      <c r="F475" s="104">
        <v>5</v>
      </c>
      <c r="G475" s="104">
        <v>8</v>
      </c>
      <c r="H475" s="104">
        <v>13</v>
      </c>
      <c r="J475"/>
      <c r="K475"/>
      <c r="L475"/>
    </row>
    <row r="476" spans="1:12" x14ac:dyDescent="0.3">
      <c r="A476" s="96" t="s">
        <v>284</v>
      </c>
      <c r="B476" s="96" t="s">
        <v>283</v>
      </c>
      <c r="C476" s="96" t="s">
        <v>282</v>
      </c>
      <c r="D476" s="104">
        <v>8.6</v>
      </c>
      <c r="E476" s="104">
        <v>3.5</v>
      </c>
      <c r="F476" s="104">
        <v>5</v>
      </c>
      <c r="G476" s="104">
        <v>9</v>
      </c>
      <c r="H476" s="104">
        <v>12</v>
      </c>
      <c r="J476"/>
      <c r="K476"/>
      <c r="L476"/>
    </row>
    <row r="477" spans="1:12" x14ac:dyDescent="0.3">
      <c r="A477" s="96" t="s">
        <v>281</v>
      </c>
      <c r="B477" s="96" t="s">
        <v>280</v>
      </c>
      <c r="C477" s="96" t="s">
        <v>279</v>
      </c>
      <c r="D477" s="104">
        <v>10.3</v>
      </c>
      <c r="E477" s="104">
        <v>4.0999999999999996</v>
      </c>
      <c r="F477" s="104">
        <v>7</v>
      </c>
      <c r="G477" s="104">
        <v>10</v>
      </c>
      <c r="H477" s="104">
        <v>13</v>
      </c>
      <c r="J477"/>
      <c r="K477"/>
      <c r="L477"/>
    </row>
    <row r="478" spans="1:12" x14ac:dyDescent="0.3">
      <c r="A478" s="96" t="s">
        <v>278</v>
      </c>
      <c r="B478" s="96" t="s">
        <v>277</v>
      </c>
      <c r="C478" s="96" t="s">
        <v>276</v>
      </c>
      <c r="D478" s="104">
        <v>9.8000000000000007</v>
      </c>
      <c r="E478" s="104">
        <v>2</v>
      </c>
      <c r="F478" s="104">
        <v>8</v>
      </c>
      <c r="G478" s="104">
        <v>9</v>
      </c>
      <c r="H478" s="104">
        <v>12</v>
      </c>
      <c r="J478"/>
      <c r="K478"/>
      <c r="L478"/>
    </row>
    <row r="479" spans="1:12" x14ac:dyDescent="0.3">
      <c r="A479" s="96" t="s">
        <v>275</v>
      </c>
      <c r="B479" s="96" t="s">
        <v>274</v>
      </c>
      <c r="C479" s="96" t="s">
        <v>273</v>
      </c>
      <c r="D479" s="104">
        <v>10.8</v>
      </c>
      <c r="E479" s="104">
        <v>4.2</v>
      </c>
      <c r="F479" s="104">
        <v>7</v>
      </c>
      <c r="G479" s="104">
        <v>10</v>
      </c>
      <c r="H479" s="104">
        <v>15</v>
      </c>
      <c r="J479"/>
      <c r="K479"/>
      <c r="L479"/>
    </row>
    <row r="480" spans="1:12" x14ac:dyDescent="0.3">
      <c r="A480" s="96" t="s">
        <v>272</v>
      </c>
      <c r="B480" s="96" t="s">
        <v>271</v>
      </c>
      <c r="C480" s="96" t="s">
        <v>270</v>
      </c>
      <c r="D480" s="104">
        <v>7.2</v>
      </c>
      <c r="E480" s="104">
        <v>3.5</v>
      </c>
      <c r="F480" s="104">
        <v>4</v>
      </c>
      <c r="G480" s="104">
        <v>7</v>
      </c>
      <c r="H480" s="104">
        <v>11</v>
      </c>
      <c r="J480"/>
      <c r="K480"/>
      <c r="L480"/>
    </row>
    <row r="481" spans="1:20" x14ac:dyDescent="0.3">
      <c r="A481" s="96" t="s">
        <v>269</v>
      </c>
      <c r="B481" s="96" t="s">
        <v>268</v>
      </c>
      <c r="C481" s="96" t="s">
        <v>267</v>
      </c>
      <c r="D481" s="104">
        <v>8.5</v>
      </c>
      <c r="E481" s="104">
        <v>3.5</v>
      </c>
      <c r="F481" s="104">
        <v>5</v>
      </c>
      <c r="G481" s="104">
        <v>8</v>
      </c>
      <c r="H481" s="104">
        <v>13</v>
      </c>
      <c r="J481"/>
      <c r="K481"/>
      <c r="L481"/>
    </row>
    <row r="482" spans="1:20" x14ac:dyDescent="0.3">
      <c r="A482" s="96" t="s">
        <v>266</v>
      </c>
      <c r="B482" s="96" t="s">
        <v>265</v>
      </c>
      <c r="C482" s="96" t="s">
        <v>264</v>
      </c>
      <c r="D482" s="104">
        <v>7.8</v>
      </c>
      <c r="E482" s="104">
        <v>4</v>
      </c>
      <c r="F482" s="104">
        <v>5</v>
      </c>
      <c r="G482" s="104">
        <v>7</v>
      </c>
      <c r="H482" s="104">
        <v>11</v>
      </c>
      <c r="J482"/>
      <c r="K482"/>
      <c r="L482"/>
    </row>
    <row r="483" spans="1:20" x14ac:dyDescent="0.3">
      <c r="A483" s="96" t="s">
        <v>263</v>
      </c>
      <c r="B483" s="96" t="s">
        <v>262</v>
      </c>
      <c r="C483" s="96" t="s">
        <v>261</v>
      </c>
      <c r="D483" s="104">
        <v>9.6999999999999993</v>
      </c>
      <c r="E483" s="104">
        <v>2.2999999999999998</v>
      </c>
      <c r="F483" s="104">
        <v>7</v>
      </c>
      <c r="G483" s="104">
        <v>9</v>
      </c>
      <c r="H483" s="104">
        <v>12</v>
      </c>
      <c r="J483"/>
      <c r="K483"/>
      <c r="L483"/>
    </row>
    <row r="484" spans="1:20" x14ac:dyDescent="0.3">
      <c r="A484" s="96" t="s">
        <v>260</v>
      </c>
      <c r="B484" s="96" t="s">
        <v>259</v>
      </c>
      <c r="C484" s="96" t="s">
        <v>258</v>
      </c>
      <c r="D484" s="104">
        <v>7.7</v>
      </c>
      <c r="E484" s="104">
        <v>4</v>
      </c>
      <c r="F484" s="104">
        <v>4</v>
      </c>
      <c r="G484" s="104">
        <v>7</v>
      </c>
      <c r="H484" s="104">
        <v>12</v>
      </c>
      <c r="J484"/>
      <c r="K484"/>
      <c r="L484"/>
    </row>
    <row r="485" spans="1:20" x14ac:dyDescent="0.3">
      <c r="A485" s="96" t="s">
        <v>257</v>
      </c>
      <c r="B485" s="96" t="s">
        <v>256</v>
      </c>
      <c r="C485" s="96" t="s">
        <v>255</v>
      </c>
      <c r="D485" s="104">
        <v>15.2</v>
      </c>
      <c r="E485" s="104">
        <v>3.9</v>
      </c>
      <c r="F485" s="104">
        <v>12</v>
      </c>
      <c r="G485" s="104">
        <v>15</v>
      </c>
      <c r="H485" s="104">
        <v>20</v>
      </c>
      <c r="J485"/>
      <c r="K485"/>
      <c r="L485"/>
    </row>
    <row r="486" spans="1:20" x14ac:dyDescent="0.3">
      <c r="A486" s="96" t="s">
        <v>254</v>
      </c>
      <c r="B486" s="96" t="s">
        <v>253</v>
      </c>
      <c r="C486" s="96" t="s">
        <v>252</v>
      </c>
      <c r="D486" s="104">
        <v>14.2</v>
      </c>
      <c r="E486" s="104">
        <v>3.2</v>
      </c>
      <c r="F486" s="104">
        <v>11</v>
      </c>
      <c r="G486" s="104">
        <v>13</v>
      </c>
      <c r="H486" s="104">
        <v>18</v>
      </c>
      <c r="J486"/>
      <c r="K486"/>
      <c r="L486"/>
    </row>
    <row r="487" spans="1:20" x14ac:dyDescent="0.3">
      <c r="A487" s="96" t="s">
        <v>251</v>
      </c>
      <c r="B487" s="96" t="s">
        <v>250</v>
      </c>
      <c r="C487" s="96" t="s">
        <v>249</v>
      </c>
      <c r="D487" s="104">
        <v>13</v>
      </c>
      <c r="E487" s="104">
        <v>3.1</v>
      </c>
      <c r="F487" s="104">
        <v>10</v>
      </c>
      <c r="G487" s="104">
        <v>12</v>
      </c>
      <c r="H487" s="104">
        <v>16</v>
      </c>
      <c r="J487"/>
      <c r="K487"/>
      <c r="L487"/>
    </row>
    <row r="488" spans="1:20" x14ac:dyDescent="0.3">
      <c r="A488" s="96" t="s">
        <v>248</v>
      </c>
      <c r="B488" s="96" t="s">
        <v>247</v>
      </c>
      <c r="C488" s="96" t="s">
        <v>246</v>
      </c>
      <c r="D488" s="104">
        <v>25.5</v>
      </c>
      <c r="E488" s="104">
        <v>10.199999999999999</v>
      </c>
      <c r="F488" s="104">
        <v>17</v>
      </c>
      <c r="G488" s="104">
        <v>23.5</v>
      </c>
      <c r="H488" s="104">
        <v>35</v>
      </c>
      <c r="J488"/>
      <c r="K488"/>
      <c r="L488"/>
    </row>
    <row r="489" spans="1:20" x14ac:dyDescent="0.3">
      <c r="A489" s="96" t="s">
        <v>245</v>
      </c>
      <c r="B489" s="96" t="s">
        <v>244</v>
      </c>
      <c r="C489" s="96" t="s">
        <v>243</v>
      </c>
      <c r="D489" s="104">
        <v>15.8</v>
      </c>
      <c r="E489" s="104">
        <v>4.9000000000000004</v>
      </c>
      <c r="F489" s="104">
        <v>11</v>
      </c>
      <c r="G489" s="104">
        <v>15</v>
      </c>
      <c r="H489" s="104">
        <v>22</v>
      </c>
      <c r="J489"/>
      <c r="K489"/>
      <c r="L489"/>
    </row>
    <row r="490" spans="1:20" x14ac:dyDescent="0.3">
      <c r="A490" s="96" t="s">
        <v>242</v>
      </c>
      <c r="B490" s="96" t="s">
        <v>241</v>
      </c>
      <c r="C490" s="96" t="s">
        <v>240</v>
      </c>
      <c r="D490" s="104">
        <v>20.3</v>
      </c>
      <c r="E490" s="104">
        <v>7.1</v>
      </c>
      <c r="F490" s="104">
        <v>14</v>
      </c>
      <c r="G490" s="104">
        <v>18</v>
      </c>
      <c r="H490" s="104">
        <v>30</v>
      </c>
      <c r="J490"/>
      <c r="K490"/>
      <c r="L490"/>
    </row>
    <row r="491" spans="1:20" x14ac:dyDescent="0.3">
      <c r="A491" s="96" t="s">
        <v>239</v>
      </c>
      <c r="B491" s="96" t="s">
        <v>238</v>
      </c>
      <c r="C491" s="96" t="s">
        <v>237</v>
      </c>
      <c r="D491" s="104">
        <v>20.5</v>
      </c>
      <c r="E491" s="104">
        <v>7.5</v>
      </c>
      <c r="F491" s="104">
        <v>13</v>
      </c>
      <c r="G491" s="104">
        <v>18.5</v>
      </c>
      <c r="H491" s="104">
        <v>29</v>
      </c>
      <c r="J491"/>
      <c r="K491"/>
      <c r="L491"/>
    </row>
    <row r="492" spans="1:20" x14ac:dyDescent="0.3">
      <c r="A492" s="96" t="s">
        <v>236</v>
      </c>
      <c r="B492" s="96" t="s">
        <v>235</v>
      </c>
      <c r="C492" s="96" t="s">
        <v>234</v>
      </c>
      <c r="D492" s="104">
        <v>16.2</v>
      </c>
      <c r="E492" s="104">
        <v>3.5</v>
      </c>
      <c r="F492" s="104">
        <v>12</v>
      </c>
      <c r="G492" s="104">
        <v>16</v>
      </c>
      <c r="H492" s="104">
        <v>21</v>
      </c>
      <c r="J492"/>
      <c r="K492"/>
      <c r="L492"/>
    </row>
    <row r="493" spans="1:20" x14ac:dyDescent="0.3">
      <c r="A493" s="96" t="s">
        <v>233</v>
      </c>
      <c r="B493" s="96" t="s">
        <v>232</v>
      </c>
      <c r="C493" s="96" t="s">
        <v>231</v>
      </c>
      <c r="D493" s="104">
        <v>15.3</v>
      </c>
      <c r="E493" s="104">
        <v>4.5999999999999996</v>
      </c>
      <c r="F493" s="104">
        <v>11</v>
      </c>
      <c r="G493" s="104">
        <v>14</v>
      </c>
      <c r="H493" s="104">
        <v>20</v>
      </c>
      <c r="J493"/>
      <c r="K493"/>
      <c r="L493"/>
    </row>
    <row r="494" spans="1:20" x14ac:dyDescent="0.3">
      <c r="A494" s="96" t="s">
        <v>230</v>
      </c>
      <c r="B494" s="96" t="s">
        <v>229</v>
      </c>
      <c r="C494" s="96" t="s">
        <v>228</v>
      </c>
      <c r="D494" s="104">
        <v>15.1</v>
      </c>
      <c r="E494" s="104">
        <v>4.2</v>
      </c>
      <c r="F494" s="104">
        <v>11</v>
      </c>
      <c r="G494" s="104">
        <v>14</v>
      </c>
      <c r="H494" s="104">
        <v>20</v>
      </c>
      <c r="J494"/>
      <c r="K494"/>
      <c r="L494"/>
    </row>
    <row r="495" spans="1:20" x14ac:dyDescent="0.3">
      <c r="A495" s="96" t="s">
        <v>2009</v>
      </c>
      <c r="B495" s="96" t="s">
        <v>2010</v>
      </c>
      <c r="C495" s="96" t="s">
        <v>2011</v>
      </c>
      <c r="D495" s="104">
        <v>17.600000000000001</v>
      </c>
      <c r="E495" s="104">
        <v>5</v>
      </c>
      <c r="F495" s="104">
        <v>13</v>
      </c>
      <c r="G495" s="104">
        <v>17</v>
      </c>
      <c r="H495" s="104">
        <v>23</v>
      </c>
      <c r="I495"/>
      <c r="J495"/>
      <c r="K495"/>
      <c r="L495"/>
      <c r="P495" s="14"/>
      <c r="Q495" s="14"/>
      <c r="R495" s="14"/>
      <c r="S495" s="14"/>
      <c r="T495" s="14"/>
    </row>
    <row r="496" spans="1:20" x14ac:dyDescent="0.3">
      <c r="A496" s="96" t="s">
        <v>2012</v>
      </c>
      <c r="B496" s="96" t="s">
        <v>2013</v>
      </c>
      <c r="C496" s="96" t="s">
        <v>2014</v>
      </c>
      <c r="D496" s="104">
        <v>14.4</v>
      </c>
      <c r="E496" s="104">
        <v>4</v>
      </c>
      <c r="F496" s="104">
        <v>11</v>
      </c>
      <c r="G496" s="104">
        <v>14</v>
      </c>
      <c r="H496" s="104">
        <v>19</v>
      </c>
      <c r="I496"/>
      <c r="J496"/>
      <c r="K496"/>
      <c r="M496" s="18"/>
      <c r="P496" s="14"/>
      <c r="Q496" s="14"/>
      <c r="R496" s="14"/>
      <c r="S496" s="14"/>
      <c r="T496" s="14"/>
    </row>
    <row r="497" spans="1:13" x14ac:dyDescent="0.3">
      <c r="A497" s="96" t="s">
        <v>227</v>
      </c>
      <c r="B497" s="96" t="s">
        <v>226</v>
      </c>
      <c r="C497" s="96" t="s">
        <v>225</v>
      </c>
      <c r="D497" s="104">
        <v>18.100000000000001</v>
      </c>
      <c r="E497" s="104">
        <v>5</v>
      </c>
      <c r="F497" s="104">
        <v>13</v>
      </c>
      <c r="G497" s="104">
        <v>17</v>
      </c>
      <c r="H497" s="104">
        <v>24</v>
      </c>
      <c r="J497"/>
      <c r="K497"/>
      <c r="M497" s="18"/>
    </row>
    <row r="498" spans="1:13" x14ac:dyDescent="0.3">
      <c r="A498" s="96" t="s">
        <v>224</v>
      </c>
      <c r="B498" s="96" t="s">
        <v>223</v>
      </c>
      <c r="C498" s="96" t="s">
        <v>222</v>
      </c>
      <c r="D498" s="104">
        <v>13.6</v>
      </c>
      <c r="E498" s="104">
        <v>4</v>
      </c>
      <c r="F498" s="104">
        <v>10</v>
      </c>
      <c r="G498" s="104">
        <v>13</v>
      </c>
      <c r="H498" s="104">
        <v>18</v>
      </c>
      <c r="J498"/>
      <c r="K498"/>
      <c r="M498" s="18"/>
    </row>
    <row r="499" spans="1:13" x14ac:dyDescent="0.3">
      <c r="A499" s="96" t="s">
        <v>221</v>
      </c>
      <c r="B499" s="96" t="s">
        <v>220</v>
      </c>
      <c r="C499" s="96" t="s">
        <v>219</v>
      </c>
      <c r="D499" s="104">
        <v>14.8</v>
      </c>
      <c r="E499" s="104">
        <v>3.5</v>
      </c>
      <c r="F499" s="104">
        <v>12</v>
      </c>
      <c r="G499" s="104">
        <v>14</v>
      </c>
      <c r="H499" s="104">
        <v>19</v>
      </c>
      <c r="J499"/>
      <c r="K499"/>
      <c r="M499" s="18"/>
    </row>
    <row r="500" spans="1:13" x14ac:dyDescent="0.3">
      <c r="A500" s="96" t="s">
        <v>218</v>
      </c>
      <c r="B500" s="96" t="s">
        <v>217</v>
      </c>
      <c r="C500" s="96" t="s">
        <v>2015</v>
      </c>
      <c r="D500" s="104">
        <v>7.9</v>
      </c>
      <c r="E500" s="104">
        <v>2.7</v>
      </c>
      <c r="F500" s="104">
        <v>5</v>
      </c>
      <c r="G500" s="104">
        <v>8</v>
      </c>
      <c r="H500" s="104">
        <v>11</v>
      </c>
      <c r="J500"/>
      <c r="K500"/>
      <c r="M500" s="18"/>
    </row>
    <row r="501" spans="1:13" x14ac:dyDescent="0.3">
      <c r="A501" s="96" t="s">
        <v>216</v>
      </c>
      <c r="B501" s="96" t="s">
        <v>215</v>
      </c>
      <c r="C501" s="96" t="s">
        <v>214</v>
      </c>
      <c r="D501" s="104">
        <v>15.5</v>
      </c>
      <c r="E501" s="104">
        <v>5.0999999999999996</v>
      </c>
      <c r="F501" s="104">
        <v>11</v>
      </c>
      <c r="G501" s="104">
        <v>15</v>
      </c>
      <c r="H501" s="104">
        <v>21</v>
      </c>
      <c r="J501"/>
      <c r="K501"/>
      <c r="M501" s="18"/>
    </row>
    <row r="502" spans="1:13" x14ac:dyDescent="0.3">
      <c r="A502" s="96" t="s">
        <v>213</v>
      </c>
      <c r="B502" s="96" t="s">
        <v>212</v>
      </c>
      <c r="C502" s="96" t="s">
        <v>211</v>
      </c>
      <c r="D502" s="104">
        <v>12.6</v>
      </c>
      <c r="E502" s="104">
        <v>3.3</v>
      </c>
      <c r="F502" s="104">
        <v>10</v>
      </c>
      <c r="G502" s="104">
        <v>12</v>
      </c>
      <c r="H502" s="104">
        <v>16</v>
      </c>
      <c r="J502"/>
      <c r="K502"/>
      <c r="M502" s="18"/>
    </row>
    <row r="503" spans="1:13" x14ac:dyDescent="0.3">
      <c r="A503" s="96" t="s">
        <v>210</v>
      </c>
      <c r="B503" s="96" t="s">
        <v>209</v>
      </c>
      <c r="C503" s="96" t="s">
        <v>208</v>
      </c>
      <c r="D503" s="104">
        <v>18.399999999999999</v>
      </c>
      <c r="E503" s="104">
        <v>5.3</v>
      </c>
      <c r="F503" s="104">
        <v>13</v>
      </c>
      <c r="G503" s="104">
        <v>18</v>
      </c>
      <c r="H503" s="104">
        <v>24</v>
      </c>
      <c r="J503"/>
      <c r="K503"/>
      <c r="M503" s="18"/>
    </row>
    <row r="504" spans="1:13" x14ac:dyDescent="0.3">
      <c r="A504" s="96" t="s">
        <v>207</v>
      </c>
      <c r="B504" s="96" t="s">
        <v>206</v>
      </c>
      <c r="C504" s="96" t="s">
        <v>205</v>
      </c>
      <c r="D504" s="104">
        <v>20.2</v>
      </c>
      <c r="E504" s="104">
        <v>5.5</v>
      </c>
      <c r="F504" s="104">
        <v>15</v>
      </c>
      <c r="G504" s="104">
        <v>19</v>
      </c>
      <c r="H504" s="104">
        <v>27</v>
      </c>
      <c r="J504"/>
      <c r="K504"/>
      <c r="M504" s="18"/>
    </row>
    <row r="505" spans="1:13" x14ac:dyDescent="0.3">
      <c r="A505" s="96" t="s">
        <v>2050</v>
      </c>
      <c r="B505" s="96" t="s">
        <v>2051</v>
      </c>
      <c r="C505" s="96" t="s">
        <v>2052</v>
      </c>
      <c r="D505" s="104">
        <v>16.8</v>
      </c>
      <c r="E505" s="104">
        <v>3.5</v>
      </c>
      <c r="F505" s="104">
        <v>13</v>
      </c>
      <c r="G505" s="104">
        <v>16</v>
      </c>
      <c r="H505" s="104">
        <v>21</v>
      </c>
      <c r="J505"/>
      <c r="K505"/>
    </row>
    <row r="506" spans="1:13" x14ac:dyDescent="0.3">
      <c r="A506" s="96" t="s">
        <v>204</v>
      </c>
      <c r="B506" s="96" t="s">
        <v>203</v>
      </c>
      <c r="C506" s="96" t="s">
        <v>202</v>
      </c>
      <c r="D506" s="104">
        <v>15.8</v>
      </c>
      <c r="E506" s="104">
        <v>4.8</v>
      </c>
      <c r="F506" s="104">
        <v>11</v>
      </c>
      <c r="G506" s="104">
        <v>15</v>
      </c>
      <c r="H506" s="104">
        <v>21</v>
      </c>
      <c r="J506"/>
      <c r="K506"/>
    </row>
    <row r="507" spans="1:13" x14ac:dyDescent="0.3">
      <c r="A507" s="96" t="s">
        <v>201</v>
      </c>
      <c r="B507" s="96" t="s">
        <v>200</v>
      </c>
      <c r="C507" s="96" t="s">
        <v>199</v>
      </c>
      <c r="D507" s="104">
        <v>15</v>
      </c>
      <c r="E507" s="104">
        <v>3.2</v>
      </c>
      <c r="F507" s="104">
        <v>12</v>
      </c>
      <c r="G507" s="104">
        <v>15</v>
      </c>
      <c r="H507" s="104">
        <v>18</v>
      </c>
      <c r="J507"/>
      <c r="K507"/>
      <c r="L507"/>
    </row>
    <row r="508" spans="1:13" x14ac:dyDescent="0.3">
      <c r="A508" s="96" t="s">
        <v>198</v>
      </c>
      <c r="B508" s="96" t="s">
        <v>197</v>
      </c>
      <c r="C508" s="96" t="s">
        <v>196</v>
      </c>
      <c r="D508" s="104">
        <v>13.5</v>
      </c>
      <c r="E508" s="104">
        <v>2.4</v>
      </c>
      <c r="F508" s="104">
        <v>11</v>
      </c>
      <c r="G508" s="104">
        <v>13</v>
      </c>
      <c r="H508" s="104">
        <v>16</v>
      </c>
      <c r="J508"/>
      <c r="K508"/>
      <c r="L508"/>
    </row>
    <row r="509" spans="1:13" x14ac:dyDescent="0.3">
      <c r="A509" s="96" t="s">
        <v>195</v>
      </c>
      <c r="B509" s="96" t="s">
        <v>194</v>
      </c>
      <c r="C509" s="96" t="s">
        <v>193</v>
      </c>
      <c r="D509" s="104">
        <v>14.9</v>
      </c>
      <c r="E509" s="104">
        <v>3.8</v>
      </c>
      <c r="F509" s="104">
        <v>12</v>
      </c>
      <c r="G509" s="104">
        <v>14</v>
      </c>
      <c r="H509" s="104">
        <v>18</v>
      </c>
      <c r="J509"/>
      <c r="K509"/>
      <c r="L509"/>
    </row>
    <row r="510" spans="1:13" x14ac:dyDescent="0.3">
      <c r="A510" s="96" t="s">
        <v>192</v>
      </c>
      <c r="B510" s="96" t="s">
        <v>191</v>
      </c>
      <c r="C510" s="96" t="s">
        <v>2016</v>
      </c>
      <c r="D510" s="104">
        <v>16.3</v>
      </c>
      <c r="E510" s="104">
        <v>4.0999999999999996</v>
      </c>
      <c r="F510" s="104">
        <v>13</v>
      </c>
      <c r="G510" s="104">
        <v>16</v>
      </c>
      <c r="H510" s="104">
        <v>20</v>
      </c>
      <c r="J510"/>
      <c r="K510"/>
      <c r="L510"/>
    </row>
    <row r="511" spans="1:13" x14ac:dyDescent="0.3">
      <c r="A511" s="96" t="s">
        <v>190</v>
      </c>
      <c r="B511" s="96" t="s">
        <v>189</v>
      </c>
      <c r="C511" s="96" t="s">
        <v>188</v>
      </c>
      <c r="D511" s="104">
        <v>13.7</v>
      </c>
      <c r="E511" s="104">
        <v>3.5</v>
      </c>
      <c r="F511" s="104">
        <v>10</v>
      </c>
      <c r="G511" s="104">
        <v>13</v>
      </c>
      <c r="H511" s="104">
        <v>18</v>
      </c>
      <c r="J511"/>
      <c r="K511"/>
      <c r="L511"/>
    </row>
    <row r="512" spans="1:13" x14ac:dyDescent="0.3">
      <c r="A512" s="96" t="s">
        <v>187</v>
      </c>
      <c r="B512" s="96" t="s">
        <v>186</v>
      </c>
      <c r="C512" s="96" t="s">
        <v>185</v>
      </c>
      <c r="D512" s="104">
        <v>13.1</v>
      </c>
      <c r="E512" s="104">
        <v>2.7</v>
      </c>
      <c r="F512" s="104">
        <v>10</v>
      </c>
      <c r="G512" s="104">
        <v>13</v>
      </c>
      <c r="H512" s="104">
        <v>17</v>
      </c>
      <c r="J512"/>
      <c r="K512"/>
      <c r="L512"/>
    </row>
    <row r="513" spans="1:12" x14ac:dyDescent="0.3">
      <c r="A513" s="96" t="s">
        <v>184</v>
      </c>
      <c r="B513" s="96" t="s">
        <v>183</v>
      </c>
      <c r="C513" s="96" t="s">
        <v>182</v>
      </c>
      <c r="D513" s="104">
        <v>17</v>
      </c>
      <c r="E513" s="104">
        <v>5.8</v>
      </c>
      <c r="F513" s="104">
        <v>11</v>
      </c>
      <c r="G513" s="104">
        <v>16</v>
      </c>
      <c r="H513" s="104">
        <v>25</v>
      </c>
      <c r="J513"/>
      <c r="K513"/>
      <c r="L513"/>
    </row>
    <row r="514" spans="1:12" x14ac:dyDescent="0.3">
      <c r="A514" s="96" t="s">
        <v>181</v>
      </c>
      <c r="B514" s="96" t="s">
        <v>180</v>
      </c>
      <c r="C514" s="96" t="s">
        <v>179</v>
      </c>
      <c r="D514" s="104">
        <v>18.100000000000001</v>
      </c>
      <c r="E514" s="104">
        <v>5.8</v>
      </c>
      <c r="F514" s="104">
        <v>13</v>
      </c>
      <c r="G514" s="104">
        <v>17</v>
      </c>
      <c r="H514" s="104">
        <v>24</v>
      </c>
      <c r="J514"/>
      <c r="K514"/>
      <c r="L514"/>
    </row>
    <row r="515" spans="1:12" x14ac:dyDescent="0.3">
      <c r="A515" s="96" t="s">
        <v>178</v>
      </c>
      <c r="B515" s="96" t="s">
        <v>177</v>
      </c>
      <c r="C515" s="96" t="s">
        <v>176</v>
      </c>
      <c r="D515" s="104">
        <v>18.100000000000001</v>
      </c>
      <c r="E515" s="104">
        <v>4.4000000000000004</v>
      </c>
      <c r="F515" s="104">
        <v>14</v>
      </c>
      <c r="G515" s="104">
        <v>17</v>
      </c>
      <c r="H515" s="104">
        <v>23</v>
      </c>
      <c r="J515"/>
      <c r="K515"/>
      <c r="L515"/>
    </row>
    <row r="516" spans="1:12" x14ac:dyDescent="0.3">
      <c r="A516" s="96" t="s">
        <v>175</v>
      </c>
      <c r="B516" s="96" t="s">
        <v>174</v>
      </c>
      <c r="C516" s="96" t="s">
        <v>173</v>
      </c>
      <c r="D516" s="104">
        <v>16.399999999999999</v>
      </c>
      <c r="E516" s="104">
        <v>6.1</v>
      </c>
      <c r="F516" s="104">
        <v>12</v>
      </c>
      <c r="G516" s="104">
        <v>15</v>
      </c>
      <c r="H516" s="104">
        <v>23</v>
      </c>
      <c r="J516"/>
      <c r="K516"/>
      <c r="L516"/>
    </row>
    <row r="517" spans="1:12" x14ac:dyDescent="0.3">
      <c r="A517" s="96" t="s">
        <v>172</v>
      </c>
      <c r="B517" s="96" t="s">
        <v>171</v>
      </c>
      <c r="C517" s="96" t="s">
        <v>170</v>
      </c>
      <c r="D517" s="104">
        <v>24.3</v>
      </c>
      <c r="E517" s="104">
        <v>7.6</v>
      </c>
      <c r="F517" s="104">
        <v>18</v>
      </c>
      <c r="G517" s="104">
        <v>23</v>
      </c>
      <c r="H517" s="104">
        <v>31</v>
      </c>
      <c r="J517"/>
      <c r="K517"/>
      <c r="L517"/>
    </row>
    <row r="518" spans="1:12" x14ac:dyDescent="0.3">
      <c r="A518" s="96" t="s">
        <v>169</v>
      </c>
      <c r="B518" s="96" t="s">
        <v>168</v>
      </c>
      <c r="C518" s="96" t="s">
        <v>167</v>
      </c>
      <c r="D518" s="104">
        <v>20.8</v>
      </c>
      <c r="E518" s="104">
        <v>6.6</v>
      </c>
      <c r="F518" s="104">
        <v>15</v>
      </c>
      <c r="G518" s="104">
        <v>20</v>
      </c>
      <c r="H518" s="104">
        <v>27</v>
      </c>
      <c r="J518"/>
      <c r="K518"/>
      <c r="L518"/>
    </row>
    <row r="519" spans="1:12" x14ac:dyDescent="0.3">
      <c r="A519" s="96" t="s">
        <v>166</v>
      </c>
      <c r="B519" s="96" t="s">
        <v>165</v>
      </c>
      <c r="C519" s="96" t="s">
        <v>164</v>
      </c>
      <c r="D519" s="104">
        <v>25.6</v>
      </c>
      <c r="E519" s="104">
        <v>7.3</v>
      </c>
      <c r="F519" s="104">
        <v>18</v>
      </c>
      <c r="G519" s="104">
        <v>24</v>
      </c>
      <c r="H519" s="104">
        <v>35</v>
      </c>
      <c r="J519"/>
      <c r="K519"/>
      <c r="L519"/>
    </row>
    <row r="520" spans="1:12" x14ac:dyDescent="0.3">
      <c r="A520" s="96" t="s">
        <v>163</v>
      </c>
      <c r="B520" s="96" t="s">
        <v>16</v>
      </c>
      <c r="C520" s="96" t="s">
        <v>162</v>
      </c>
      <c r="D520" s="104">
        <v>14.8</v>
      </c>
      <c r="E520" s="104">
        <v>3.9</v>
      </c>
      <c r="F520" s="104">
        <v>11</v>
      </c>
      <c r="G520" s="104">
        <v>14</v>
      </c>
      <c r="H520" s="104">
        <v>20</v>
      </c>
      <c r="J520"/>
      <c r="K520"/>
      <c r="L520"/>
    </row>
    <row r="521" spans="1:12" x14ac:dyDescent="0.3">
      <c r="A521" s="96" t="s">
        <v>2017</v>
      </c>
      <c r="B521" s="96" t="s">
        <v>2018</v>
      </c>
      <c r="C521" s="96" t="s">
        <v>2019</v>
      </c>
      <c r="D521" s="104">
        <v>15.2</v>
      </c>
      <c r="E521" s="104">
        <v>5.7</v>
      </c>
      <c r="F521" s="104">
        <v>10</v>
      </c>
      <c r="G521" s="104">
        <v>13</v>
      </c>
      <c r="H521" s="104">
        <v>23</v>
      </c>
      <c r="J521"/>
      <c r="K521"/>
      <c r="L521"/>
    </row>
    <row r="522" spans="1:12" x14ac:dyDescent="0.3">
      <c r="A522" s="96" t="s">
        <v>2020</v>
      </c>
      <c r="B522" s="96" t="s">
        <v>2021</v>
      </c>
      <c r="C522" s="96" t="s">
        <v>2022</v>
      </c>
      <c r="D522" s="104">
        <v>12.5</v>
      </c>
      <c r="E522" s="104">
        <v>3.1</v>
      </c>
      <c r="F522" s="104">
        <v>9</v>
      </c>
      <c r="G522" s="104">
        <v>12</v>
      </c>
      <c r="H522" s="104">
        <v>16</v>
      </c>
      <c r="J522"/>
      <c r="K522"/>
      <c r="L522"/>
    </row>
    <row r="523" spans="1:12" x14ac:dyDescent="0.3">
      <c r="A523" s="96" t="s">
        <v>161</v>
      </c>
      <c r="B523" s="96" t="s">
        <v>160</v>
      </c>
      <c r="C523" s="96" t="s">
        <v>159</v>
      </c>
      <c r="D523" s="104">
        <v>20</v>
      </c>
      <c r="E523" s="104">
        <v>4.7</v>
      </c>
      <c r="F523" s="104">
        <v>15</v>
      </c>
      <c r="G523" s="104">
        <v>19</v>
      </c>
      <c r="H523" s="104">
        <v>25</v>
      </c>
      <c r="J523"/>
      <c r="K523"/>
      <c r="L523"/>
    </row>
    <row r="524" spans="1:12" x14ac:dyDescent="0.3">
      <c r="A524" s="96" t="s">
        <v>158</v>
      </c>
      <c r="B524" s="96" t="s">
        <v>157</v>
      </c>
      <c r="C524" s="96" t="s">
        <v>156</v>
      </c>
      <c r="D524" s="104">
        <v>17.899999999999999</v>
      </c>
      <c r="E524" s="104">
        <v>4.8</v>
      </c>
      <c r="F524" s="104">
        <v>13</v>
      </c>
      <c r="G524" s="104">
        <v>17</v>
      </c>
      <c r="H524" s="104">
        <v>24</v>
      </c>
      <c r="J524"/>
      <c r="K524"/>
      <c r="L524"/>
    </row>
    <row r="525" spans="1:12" x14ac:dyDescent="0.3">
      <c r="A525" s="96" t="s">
        <v>155</v>
      </c>
      <c r="B525" s="96" t="s">
        <v>154</v>
      </c>
      <c r="C525" s="96" t="s">
        <v>153</v>
      </c>
      <c r="D525" s="104">
        <v>13.5</v>
      </c>
      <c r="E525" s="104">
        <v>3</v>
      </c>
      <c r="F525" s="104">
        <v>10</v>
      </c>
      <c r="G525" s="104">
        <v>13</v>
      </c>
      <c r="H525" s="104">
        <v>17</v>
      </c>
      <c r="J525"/>
      <c r="K525"/>
      <c r="L525"/>
    </row>
    <row r="526" spans="1:12" x14ac:dyDescent="0.3">
      <c r="A526" s="96" t="s">
        <v>2023</v>
      </c>
      <c r="B526" s="96" t="s">
        <v>2024</v>
      </c>
      <c r="C526" s="96" t="s">
        <v>2025</v>
      </c>
      <c r="D526" s="104">
        <v>14.6</v>
      </c>
      <c r="E526" s="104">
        <v>4.9000000000000004</v>
      </c>
      <c r="F526" s="104">
        <v>11</v>
      </c>
      <c r="G526" s="104">
        <v>13</v>
      </c>
      <c r="H526" s="104">
        <v>19</v>
      </c>
      <c r="J526"/>
      <c r="K526"/>
      <c r="L526"/>
    </row>
    <row r="527" spans="1:12" x14ac:dyDescent="0.3">
      <c r="A527" s="96" t="s">
        <v>152</v>
      </c>
      <c r="B527" s="96" t="s">
        <v>151</v>
      </c>
      <c r="C527" s="96" t="s">
        <v>150</v>
      </c>
      <c r="D527" s="104">
        <v>26.9</v>
      </c>
      <c r="E527" s="104">
        <v>7.9</v>
      </c>
      <c r="F527" s="104">
        <v>19</v>
      </c>
      <c r="G527" s="104">
        <v>25</v>
      </c>
      <c r="H527" s="104">
        <v>37</v>
      </c>
      <c r="J527"/>
      <c r="K527"/>
      <c r="L527"/>
    </row>
    <row r="528" spans="1:12" x14ac:dyDescent="0.3">
      <c r="A528" s="96" t="s">
        <v>149</v>
      </c>
      <c r="B528" s="96" t="s">
        <v>148</v>
      </c>
      <c r="C528" s="96" t="s">
        <v>147</v>
      </c>
      <c r="D528" s="104">
        <v>16.399999999999999</v>
      </c>
      <c r="E528" s="104">
        <v>5.2</v>
      </c>
      <c r="F528" s="104">
        <v>11</v>
      </c>
      <c r="G528" s="104">
        <v>15</v>
      </c>
      <c r="H528" s="104">
        <v>23</v>
      </c>
      <c r="J528"/>
      <c r="K528"/>
      <c r="L528"/>
    </row>
    <row r="529" spans="1:12" x14ac:dyDescent="0.3">
      <c r="A529" s="96" t="s">
        <v>146</v>
      </c>
      <c r="B529" s="96" t="s">
        <v>17</v>
      </c>
      <c r="C529" s="96" t="s">
        <v>145</v>
      </c>
      <c r="D529" s="104">
        <v>24.9</v>
      </c>
      <c r="E529" s="104">
        <v>9.5</v>
      </c>
      <c r="F529" s="104">
        <v>15</v>
      </c>
      <c r="G529" s="104">
        <v>23</v>
      </c>
      <c r="H529" s="104">
        <v>38</v>
      </c>
      <c r="J529"/>
      <c r="K529"/>
      <c r="L529"/>
    </row>
    <row r="530" spans="1:12" x14ac:dyDescent="0.3">
      <c r="A530" s="96" t="s">
        <v>2026</v>
      </c>
      <c r="B530" s="96" t="s">
        <v>2027</v>
      </c>
      <c r="C530" s="96" t="s">
        <v>2028</v>
      </c>
      <c r="D530" s="104">
        <v>5.9</v>
      </c>
      <c r="E530" s="104">
        <v>2.1</v>
      </c>
      <c r="F530" s="104">
        <v>3</v>
      </c>
      <c r="G530" s="104">
        <v>6</v>
      </c>
      <c r="H530" s="104">
        <v>8</v>
      </c>
      <c r="J530"/>
      <c r="K530"/>
      <c r="L530"/>
    </row>
    <row r="531" spans="1:12" x14ac:dyDescent="0.3">
      <c r="A531" s="96" t="s">
        <v>144</v>
      </c>
      <c r="B531" s="96" t="s">
        <v>143</v>
      </c>
      <c r="C531" s="96" t="s">
        <v>142</v>
      </c>
      <c r="D531" s="104">
        <v>13.2</v>
      </c>
      <c r="E531" s="104">
        <v>2.4</v>
      </c>
      <c r="F531" s="104">
        <v>11</v>
      </c>
      <c r="G531" s="104">
        <v>13</v>
      </c>
      <c r="H531" s="104">
        <v>16</v>
      </c>
      <c r="J531"/>
      <c r="K531"/>
      <c r="L531"/>
    </row>
    <row r="532" spans="1:12" x14ac:dyDescent="0.3">
      <c r="A532" s="96" t="s">
        <v>141</v>
      </c>
      <c r="B532" s="96" t="s">
        <v>140</v>
      </c>
      <c r="C532" s="96" t="s">
        <v>139</v>
      </c>
      <c r="D532" s="104">
        <v>23.4</v>
      </c>
      <c r="E532" s="104">
        <v>9.1999999999999993</v>
      </c>
      <c r="F532" s="104">
        <v>14</v>
      </c>
      <c r="G532" s="104">
        <v>21</v>
      </c>
      <c r="H532" s="104">
        <v>37</v>
      </c>
      <c r="J532"/>
      <c r="K532"/>
      <c r="L532"/>
    </row>
    <row r="533" spans="1:12" x14ac:dyDescent="0.3">
      <c r="A533" s="96" t="s">
        <v>138</v>
      </c>
      <c r="B533" s="96" t="s">
        <v>137</v>
      </c>
      <c r="C533" s="96" t="s">
        <v>136</v>
      </c>
      <c r="D533" s="104">
        <v>14.3</v>
      </c>
      <c r="E533" s="104">
        <v>4.8</v>
      </c>
      <c r="F533" s="104">
        <v>10</v>
      </c>
      <c r="G533" s="104">
        <v>13</v>
      </c>
      <c r="H533" s="104">
        <v>19</v>
      </c>
      <c r="J533"/>
      <c r="K533"/>
      <c r="L533"/>
    </row>
    <row r="534" spans="1:12" x14ac:dyDescent="0.3">
      <c r="A534" s="96" t="s">
        <v>135</v>
      </c>
      <c r="B534" s="96" t="s">
        <v>134</v>
      </c>
      <c r="C534" s="96" t="s">
        <v>133</v>
      </c>
      <c r="D534" s="104">
        <v>15.7</v>
      </c>
      <c r="E534" s="104">
        <v>4.0999999999999996</v>
      </c>
      <c r="F534" s="104">
        <v>12</v>
      </c>
      <c r="G534" s="104">
        <v>15</v>
      </c>
      <c r="H534" s="104">
        <v>21</v>
      </c>
    </row>
    <row r="535" spans="1:12" x14ac:dyDescent="0.3">
      <c r="A535" s="96" t="s">
        <v>132</v>
      </c>
      <c r="B535" s="96" t="s">
        <v>131</v>
      </c>
      <c r="C535" s="96" t="s">
        <v>130</v>
      </c>
      <c r="D535" s="104">
        <v>15.6</v>
      </c>
      <c r="E535" s="104">
        <v>3.2</v>
      </c>
      <c r="F535" s="104">
        <v>13</v>
      </c>
      <c r="G535" s="104">
        <v>15</v>
      </c>
      <c r="H535" s="104">
        <v>19</v>
      </c>
    </row>
    <row r="536" spans="1:12" x14ac:dyDescent="0.3">
      <c r="A536" s="96" t="s">
        <v>129</v>
      </c>
      <c r="B536" s="96" t="s">
        <v>128</v>
      </c>
      <c r="C536" s="96" t="s">
        <v>127</v>
      </c>
      <c r="D536" s="104">
        <v>11.9</v>
      </c>
      <c r="E536" s="104">
        <v>4.3</v>
      </c>
      <c r="F536" s="104">
        <v>10</v>
      </c>
      <c r="G536" s="104">
        <v>11</v>
      </c>
      <c r="H536" s="104">
        <v>14</v>
      </c>
    </row>
    <row r="537" spans="1:12" x14ac:dyDescent="0.3">
      <c r="A537" s="96" t="s">
        <v>126</v>
      </c>
      <c r="B537" s="96" t="s">
        <v>125</v>
      </c>
      <c r="C537" s="96" t="s">
        <v>124</v>
      </c>
      <c r="D537" s="104">
        <v>17.8</v>
      </c>
      <c r="E537" s="104">
        <v>5.6</v>
      </c>
      <c r="F537" s="104">
        <v>12</v>
      </c>
      <c r="G537" s="104">
        <v>16</v>
      </c>
      <c r="H537" s="104">
        <v>25</v>
      </c>
    </row>
    <row r="538" spans="1:12" x14ac:dyDescent="0.3">
      <c r="A538" s="96" t="s">
        <v>123</v>
      </c>
      <c r="B538" s="96" t="s">
        <v>122</v>
      </c>
      <c r="C538" s="96" t="s">
        <v>121</v>
      </c>
      <c r="D538" s="104">
        <v>17.8</v>
      </c>
      <c r="E538" s="104">
        <v>6.4</v>
      </c>
      <c r="F538" s="104">
        <v>12</v>
      </c>
      <c r="G538" s="104">
        <v>17</v>
      </c>
      <c r="H538" s="104">
        <v>24</v>
      </c>
    </row>
    <row r="539" spans="1:12" x14ac:dyDescent="0.3">
      <c r="A539" s="96" t="s">
        <v>120</v>
      </c>
      <c r="B539" s="96" t="s">
        <v>119</v>
      </c>
      <c r="C539" s="96" t="s">
        <v>118</v>
      </c>
      <c r="D539" s="104">
        <v>17.3</v>
      </c>
      <c r="E539" s="104">
        <v>5.4</v>
      </c>
      <c r="F539" s="104">
        <v>12</v>
      </c>
      <c r="G539" s="104">
        <v>16</v>
      </c>
      <c r="H539" s="104">
        <v>25</v>
      </c>
    </row>
    <row r="540" spans="1:12" x14ac:dyDescent="0.3">
      <c r="A540" s="96" t="s">
        <v>117</v>
      </c>
      <c r="B540" s="96" t="s">
        <v>116</v>
      </c>
      <c r="C540" s="96" t="s">
        <v>115</v>
      </c>
      <c r="D540" s="104">
        <v>15.5</v>
      </c>
      <c r="E540" s="104">
        <v>4.7</v>
      </c>
      <c r="F540" s="104">
        <v>11</v>
      </c>
      <c r="G540" s="104">
        <v>14</v>
      </c>
      <c r="H540" s="104">
        <v>22</v>
      </c>
    </row>
    <row r="541" spans="1:12" x14ac:dyDescent="0.3">
      <c r="A541" s="96" t="s">
        <v>114</v>
      </c>
      <c r="B541" s="96" t="s">
        <v>113</v>
      </c>
      <c r="C541" s="96" t="s">
        <v>112</v>
      </c>
      <c r="D541" s="104">
        <v>14.4</v>
      </c>
      <c r="E541" s="104">
        <v>3.3</v>
      </c>
      <c r="F541" s="104">
        <v>12</v>
      </c>
      <c r="G541" s="104">
        <v>14</v>
      </c>
      <c r="H541" s="104">
        <v>18</v>
      </c>
    </row>
    <row r="542" spans="1:12" x14ac:dyDescent="0.3">
      <c r="A542" s="96" t="s">
        <v>111</v>
      </c>
      <c r="B542" s="96" t="s">
        <v>110</v>
      </c>
      <c r="C542" s="96" t="s">
        <v>109</v>
      </c>
      <c r="D542" s="104">
        <v>13.7</v>
      </c>
      <c r="E542" s="104">
        <v>5.4</v>
      </c>
      <c r="F542" s="104">
        <v>9</v>
      </c>
      <c r="G542" s="104">
        <v>12</v>
      </c>
      <c r="H542" s="104">
        <v>19</v>
      </c>
    </row>
    <row r="543" spans="1:12" x14ac:dyDescent="0.3">
      <c r="A543" s="96" t="s">
        <v>108</v>
      </c>
      <c r="B543" s="96" t="s">
        <v>107</v>
      </c>
      <c r="C543" s="96" t="s">
        <v>2029</v>
      </c>
      <c r="D543" s="104">
        <v>12.7</v>
      </c>
      <c r="E543" s="104">
        <v>3.6</v>
      </c>
      <c r="F543" s="104">
        <v>9</v>
      </c>
      <c r="G543" s="104">
        <v>13</v>
      </c>
      <c r="H543" s="104">
        <v>16</v>
      </c>
    </row>
    <row r="544" spans="1:12" x14ac:dyDescent="0.3">
      <c r="A544" s="96" t="s">
        <v>105</v>
      </c>
      <c r="B544" s="96" t="s">
        <v>104</v>
      </c>
      <c r="C544" s="96" t="s">
        <v>103</v>
      </c>
      <c r="D544" s="104">
        <v>10.199999999999999</v>
      </c>
      <c r="E544" s="104">
        <v>4.9000000000000004</v>
      </c>
      <c r="F544" s="104">
        <v>7</v>
      </c>
      <c r="G544" s="104">
        <v>9</v>
      </c>
      <c r="H544" s="104">
        <v>13</v>
      </c>
    </row>
    <row r="545" spans="1:8" x14ac:dyDescent="0.3">
      <c r="A545" s="96" t="s">
        <v>102</v>
      </c>
      <c r="B545" s="96" t="s">
        <v>101</v>
      </c>
      <c r="C545" s="96" t="s">
        <v>100</v>
      </c>
      <c r="D545" s="104">
        <v>11.9</v>
      </c>
      <c r="E545" s="104">
        <v>3.6</v>
      </c>
      <c r="F545" s="104">
        <v>8</v>
      </c>
      <c r="G545" s="104">
        <v>11</v>
      </c>
      <c r="H545" s="104">
        <v>16</v>
      </c>
    </row>
    <row r="546" spans="1:8" x14ac:dyDescent="0.3">
      <c r="A546" s="96" t="s">
        <v>99</v>
      </c>
      <c r="B546" s="96" t="s">
        <v>98</v>
      </c>
      <c r="C546" s="96" t="s">
        <v>97</v>
      </c>
      <c r="D546" s="104">
        <v>15.1</v>
      </c>
      <c r="E546" s="104">
        <v>4.4000000000000004</v>
      </c>
      <c r="F546" s="104">
        <v>11</v>
      </c>
      <c r="G546" s="104">
        <v>14</v>
      </c>
      <c r="H546" s="104">
        <v>20</v>
      </c>
    </row>
    <row r="547" spans="1:8" x14ac:dyDescent="0.3">
      <c r="A547" s="96" t="s">
        <v>2030</v>
      </c>
      <c r="B547" s="96" t="s">
        <v>2031</v>
      </c>
      <c r="C547" s="96" t="s">
        <v>2032</v>
      </c>
      <c r="D547" s="104">
        <v>12.8</v>
      </c>
      <c r="E547" s="104">
        <v>3.2</v>
      </c>
      <c r="F547" s="104">
        <v>9</v>
      </c>
      <c r="G547" s="104">
        <v>12.5</v>
      </c>
      <c r="H547" s="104">
        <v>17</v>
      </c>
    </row>
    <row r="548" spans="1:8" x14ac:dyDescent="0.3">
      <c r="A548" s="96" t="s">
        <v>96</v>
      </c>
      <c r="B548" s="96" t="s">
        <v>95</v>
      </c>
      <c r="C548" s="96" t="s">
        <v>94</v>
      </c>
      <c r="D548" s="104">
        <v>13.7</v>
      </c>
      <c r="E548" s="104">
        <v>5.7</v>
      </c>
      <c r="F548" s="104">
        <v>6</v>
      </c>
      <c r="G548" s="104">
        <v>14</v>
      </c>
      <c r="H548" s="104">
        <v>21</v>
      </c>
    </row>
    <row r="549" spans="1:8" x14ac:dyDescent="0.3">
      <c r="A549" s="96" t="s">
        <v>93</v>
      </c>
      <c r="B549" s="96" t="s">
        <v>92</v>
      </c>
      <c r="C549" s="96" t="s">
        <v>91</v>
      </c>
      <c r="D549" s="104">
        <v>19.100000000000001</v>
      </c>
      <c r="E549" s="104">
        <v>6.4</v>
      </c>
      <c r="F549" s="104">
        <v>13</v>
      </c>
      <c r="G549" s="104">
        <v>18</v>
      </c>
      <c r="H549" s="104">
        <v>26</v>
      </c>
    </row>
    <row r="550" spans="1:8" x14ac:dyDescent="0.3">
      <c r="A550" s="96" t="s">
        <v>90</v>
      </c>
      <c r="B550" s="96" t="s">
        <v>89</v>
      </c>
      <c r="C550" s="96" t="s">
        <v>88</v>
      </c>
      <c r="D550" s="104">
        <v>15.2</v>
      </c>
      <c r="E550" s="104">
        <v>4</v>
      </c>
      <c r="F550" s="104">
        <v>11</v>
      </c>
      <c r="G550" s="104">
        <v>15</v>
      </c>
      <c r="H550" s="104">
        <v>20</v>
      </c>
    </row>
    <row r="551" spans="1:8" x14ac:dyDescent="0.3">
      <c r="A551" s="96" t="s">
        <v>87</v>
      </c>
      <c r="B551" s="96" t="s">
        <v>86</v>
      </c>
      <c r="C551" s="96" t="s">
        <v>2033</v>
      </c>
      <c r="D551" s="104">
        <v>20</v>
      </c>
      <c r="E551" s="104">
        <v>6.3</v>
      </c>
      <c r="F551" s="104">
        <v>14</v>
      </c>
      <c r="G551" s="104">
        <v>19</v>
      </c>
      <c r="H551" s="104">
        <v>28</v>
      </c>
    </row>
    <row r="552" spans="1:8" x14ac:dyDescent="0.3">
      <c r="A552" s="96" t="s">
        <v>85</v>
      </c>
      <c r="B552" s="96" t="s">
        <v>84</v>
      </c>
      <c r="C552" s="96" t="s">
        <v>83</v>
      </c>
      <c r="D552" s="104">
        <v>16.100000000000001</v>
      </c>
      <c r="E552" s="104">
        <v>3.3</v>
      </c>
      <c r="F552" s="104">
        <v>13</v>
      </c>
      <c r="G552" s="104">
        <v>15</v>
      </c>
      <c r="H552" s="104">
        <v>21</v>
      </c>
    </row>
    <row r="553" spans="1:8" x14ac:dyDescent="0.3">
      <c r="A553" s="96" t="s">
        <v>82</v>
      </c>
      <c r="B553" s="96" t="s">
        <v>81</v>
      </c>
      <c r="C553" s="96" t="s">
        <v>80</v>
      </c>
      <c r="D553" s="104">
        <v>19.899999999999999</v>
      </c>
      <c r="E553" s="104">
        <v>5.2</v>
      </c>
      <c r="F553" s="104">
        <v>15</v>
      </c>
      <c r="G553" s="104">
        <v>19</v>
      </c>
      <c r="H553" s="104">
        <v>26</v>
      </c>
    </row>
    <row r="554" spans="1:8" x14ac:dyDescent="0.3">
      <c r="A554" s="96" t="s">
        <v>79</v>
      </c>
      <c r="B554" s="96" t="s">
        <v>78</v>
      </c>
      <c r="C554" s="96" t="s">
        <v>77</v>
      </c>
      <c r="D554" s="104">
        <v>21.4</v>
      </c>
      <c r="E554" s="104">
        <v>6</v>
      </c>
      <c r="F554" s="104">
        <v>15</v>
      </c>
      <c r="G554" s="104">
        <v>20</v>
      </c>
      <c r="H554" s="104">
        <v>29</v>
      </c>
    </row>
    <row r="555" spans="1:8" x14ac:dyDescent="0.3">
      <c r="A555" s="96" t="s">
        <v>76</v>
      </c>
      <c r="B555" s="96" t="s">
        <v>75</v>
      </c>
      <c r="C555" s="96" t="s">
        <v>2034</v>
      </c>
      <c r="D555" s="104">
        <v>20.3</v>
      </c>
      <c r="E555" s="104">
        <v>5.8</v>
      </c>
      <c r="F555" s="104">
        <v>14</v>
      </c>
      <c r="G555" s="104">
        <v>19</v>
      </c>
      <c r="H555" s="104">
        <v>27</v>
      </c>
    </row>
    <row r="556" spans="1:8" x14ac:dyDescent="0.3">
      <c r="A556" s="96" t="s">
        <v>2035</v>
      </c>
      <c r="B556" s="96" t="s">
        <v>2036</v>
      </c>
      <c r="C556" s="96" t="s">
        <v>2037</v>
      </c>
      <c r="D556" s="104">
        <v>19.399999999999999</v>
      </c>
      <c r="E556" s="104">
        <v>4</v>
      </c>
      <c r="F556" s="104">
        <v>15</v>
      </c>
      <c r="G556" s="104">
        <v>19</v>
      </c>
      <c r="H556" s="104">
        <v>24</v>
      </c>
    </row>
    <row r="557" spans="1:8" x14ac:dyDescent="0.3">
      <c r="A557" s="96" t="s">
        <v>74</v>
      </c>
      <c r="B557" s="96" t="s">
        <v>73</v>
      </c>
      <c r="C557" s="96" t="s">
        <v>72</v>
      </c>
      <c r="D557" s="104">
        <v>14.4</v>
      </c>
      <c r="E557" s="104">
        <v>4</v>
      </c>
      <c r="F557" s="104">
        <v>10</v>
      </c>
      <c r="G557" s="104">
        <v>14</v>
      </c>
      <c r="H557" s="104">
        <v>19</v>
      </c>
    </row>
    <row r="558" spans="1:8" x14ac:dyDescent="0.3">
      <c r="A558" s="96" t="s">
        <v>71</v>
      </c>
      <c r="B558" s="96" t="s">
        <v>70</v>
      </c>
      <c r="C558" s="96" t="s">
        <v>69</v>
      </c>
      <c r="D558" s="104">
        <v>18.100000000000001</v>
      </c>
      <c r="E558" s="104">
        <v>4.5</v>
      </c>
      <c r="F558" s="104">
        <v>14</v>
      </c>
      <c r="G558" s="104">
        <v>17</v>
      </c>
      <c r="H558" s="104">
        <v>24</v>
      </c>
    </row>
    <row r="559" spans="1:8" x14ac:dyDescent="0.3">
      <c r="A559" s="96" t="s">
        <v>2038</v>
      </c>
      <c r="B559" s="96" t="s">
        <v>2039</v>
      </c>
      <c r="C559" s="96" t="s">
        <v>2040</v>
      </c>
      <c r="D559" s="104">
        <v>16.399999999999999</v>
      </c>
      <c r="E559" s="104">
        <v>5.0999999999999996</v>
      </c>
      <c r="F559" s="104">
        <v>12</v>
      </c>
      <c r="G559" s="104">
        <v>15</v>
      </c>
      <c r="H559" s="104">
        <v>23</v>
      </c>
    </row>
    <row r="560" spans="1:8" x14ac:dyDescent="0.3">
      <c r="A560" s="96" t="s">
        <v>68</v>
      </c>
      <c r="B560" s="96" t="s">
        <v>19</v>
      </c>
      <c r="C560" s="96" t="s">
        <v>2041</v>
      </c>
      <c r="D560" s="104">
        <v>17</v>
      </c>
      <c r="E560" s="104">
        <v>3.8</v>
      </c>
      <c r="F560" s="104">
        <v>13</v>
      </c>
      <c r="G560" s="104">
        <v>17</v>
      </c>
      <c r="H560" s="104">
        <v>21</v>
      </c>
    </row>
    <row r="561" spans="1:8" x14ac:dyDescent="0.3">
      <c r="A561" s="96" t="s">
        <v>67</v>
      </c>
      <c r="B561" s="96" t="s">
        <v>66</v>
      </c>
      <c r="C561" s="96" t="s">
        <v>65</v>
      </c>
      <c r="D561" s="104">
        <v>16.5</v>
      </c>
      <c r="E561" s="104">
        <v>4.5999999999999996</v>
      </c>
      <c r="F561" s="104">
        <v>12</v>
      </c>
      <c r="G561" s="104">
        <v>15</v>
      </c>
      <c r="H561" s="104">
        <v>22</v>
      </c>
    </row>
    <row r="562" spans="1:8" x14ac:dyDescent="0.3">
      <c r="A562" s="96" t="s">
        <v>64</v>
      </c>
      <c r="B562" s="96" t="s">
        <v>63</v>
      </c>
      <c r="C562" s="96" t="s">
        <v>62</v>
      </c>
      <c r="D562" s="104">
        <v>17.2</v>
      </c>
      <c r="E562" s="104">
        <v>5.3</v>
      </c>
      <c r="F562" s="104">
        <v>12</v>
      </c>
      <c r="G562" s="104">
        <v>16</v>
      </c>
      <c r="H562" s="104">
        <v>24</v>
      </c>
    </row>
    <row r="563" spans="1:8" x14ac:dyDescent="0.3">
      <c r="A563" s="96" t="s">
        <v>61</v>
      </c>
      <c r="B563" s="96" t="s">
        <v>60</v>
      </c>
      <c r="C563" s="96" t="s">
        <v>59</v>
      </c>
      <c r="D563" s="104">
        <v>23.8</v>
      </c>
      <c r="E563" s="104">
        <v>9.9</v>
      </c>
      <c r="F563" s="104">
        <v>15</v>
      </c>
      <c r="G563" s="104">
        <v>22</v>
      </c>
      <c r="H563" s="104">
        <v>35</v>
      </c>
    </row>
    <row r="564" spans="1:8" x14ac:dyDescent="0.3">
      <c r="A564" s="96" t="s">
        <v>2042</v>
      </c>
      <c r="B564" s="96" t="s">
        <v>2043</v>
      </c>
      <c r="C564" s="96" t="s">
        <v>2044</v>
      </c>
      <c r="D564" s="104">
        <v>26.4</v>
      </c>
      <c r="E564" s="104">
        <v>6.8</v>
      </c>
      <c r="F564" s="104">
        <v>18</v>
      </c>
      <c r="G564" s="104">
        <v>26</v>
      </c>
      <c r="H564" s="104">
        <v>35</v>
      </c>
    </row>
    <row r="565" spans="1:8" x14ac:dyDescent="0.3">
      <c r="A565" s="96" t="s">
        <v>58</v>
      </c>
      <c r="B565" s="96" t="s">
        <v>57</v>
      </c>
      <c r="C565" s="96" t="s">
        <v>56</v>
      </c>
      <c r="D565" s="104">
        <v>29.1</v>
      </c>
      <c r="E565" s="104">
        <v>10.1</v>
      </c>
      <c r="F565" s="104">
        <v>18</v>
      </c>
      <c r="G565" s="104">
        <v>27</v>
      </c>
      <c r="H565" s="104">
        <v>42</v>
      </c>
    </row>
    <row r="566" spans="1:8" x14ac:dyDescent="0.3">
      <c r="A566" s="100"/>
      <c r="B566" s="100"/>
      <c r="C566" s="101"/>
      <c r="D566" s="100"/>
      <c r="E566" s="100"/>
      <c r="F566" s="100"/>
      <c r="G566" s="100"/>
      <c r="H566" s="100"/>
    </row>
    <row r="567" spans="1:8" x14ac:dyDescent="0.3">
      <c r="A567" s="99" t="s">
        <v>55</v>
      </c>
      <c r="B567" s="100"/>
      <c r="C567" s="101"/>
      <c r="D567" s="102"/>
      <c r="E567" s="102"/>
      <c r="F567" s="100"/>
      <c r="G567" s="100"/>
      <c r="H567" s="100"/>
    </row>
    <row r="568" spans="1:8" x14ac:dyDescent="0.3">
      <c r="A568" s="99" t="s">
        <v>54</v>
      </c>
      <c r="B568" s="100"/>
      <c r="C568" s="101"/>
      <c r="D568" s="102"/>
      <c r="E568" s="102"/>
      <c r="F568" s="100"/>
      <c r="G568" s="100"/>
      <c r="H568" s="100"/>
    </row>
    <row r="569" spans="1:8" x14ac:dyDescent="0.3">
      <c r="A569" s="101"/>
      <c r="B569" s="100"/>
      <c r="C569" s="101"/>
      <c r="D569" s="102"/>
      <c r="E569" s="102"/>
      <c r="F569" s="100"/>
      <c r="G569" s="100"/>
      <c r="H569" s="100"/>
    </row>
    <row r="570" spans="1:8" x14ac:dyDescent="0.3">
      <c r="A570" s="24" t="s">
        <v>2045</v>
      </c>
      <c r="B570" s="100"/>
      <c r="C570" s="101"/>
      <c r="D570" s="102"/>
      <c r="E570" s="102"/>
      <c r="F570" s="100"/>
      <c r="G570" s="100"/>
      <c r="H570" s="100"/>
    </row>
    <row r="571" spans="1:8" x14ac:dyDescent="0.3">
      <c r="A571" s="23" t="s">
        <v>52</v>
      </c>
      <c r="B571" s="100"/>
      <c r="C571" s="101"/>
      <c r="D571" s="102"/>
      <c r="E571" s="102"/>
      <c r="F571" s="100"/>
      <c r="G571" s="100"/>
      <c r="H571" s="100"/>
    </row>
    <row r="572" spans="1:8" x14ac:dyDescent="0.3">
      <c r="A572" s="23" t="s">
        <v>51</v>
      </c>
      <c r="B572" s="100"/>
      <c r="C572" s="101"/>
      <c r="D572" s="102"/>
      <c r="E572" s="102"/>
      <c r="F572" s="100"/>
      <c r="G572" s="100"/>
      <c r="H572" s="100"/>
    </row>
    <row r="573" spans="1:8" x14ac:dyDescent="0.3">
      <c r="A573" s="23" t="s">
        <v>50</v>
      </c>
      <c r="B573" s="100"/>
      <c r="C573" s="101"/>
      <c r="D573" s="102"/>
      <c r="E573" s="102"/>
      <c r="F573" s="100"/>
      <c r="G573" s="100"/>
      <c r="H573" s="100"/>
    </row>
    <row r="574" spans="1:8" x14ac:dyDescent="0.3">
      <c r="A574" s="23" t="s">
        <v>49</v>
      </c>
      <c r="B574" s="100"/>
      <c r="C574" s="101"/>
      <c r="D574" s="102"/>
      <c r="E574" s="102"/>
      <c r="F574" s="100"/>
      <c r="G574" s="100"/>
      <c r="H574" s="100"/>
    </row>
    <row r="575" spans="1:8" x14ac:dyDescent="0.3">
      <c r="A575" s="23" t="s">
        <v>48</v>
      </c>
      <c r="B575" s="100"/>
      <c r="C575" s="101"/>
      <c r="D575" s="102"/>
      <c r="E575" s="102"/>
      <c r="F575" s="100"/>
      <c r="G575" s="100"/>
      <c r="H575" s="100"/>
    </row>
    <row r="577" spans="1:1" x14ac:dyDescent="0.3">
      <c r="A577" s="20" t="s">
        <v>53</v>
      </c>
    </row>
    <row r="578" spans="1:1" x14ac:dyDescent="0.3">
      <c r="A578" s="19" t="s">
        <v>52</v>
      </c>
    </row>
    <row r="579" spans="1:1" x14ac:dyDescent="0.3">
      <c r="A579" s="19" t="s">
        <v>51</v>
      </c>
    </row>
    <row r="580" spans="1:1" x14ac:dyDescent="0.3">
      <c r="A580" s="19" t="s">
        <v>50</v>
      </c>
    </row>
    <row r="581" spans="1:1" x14ac:dyDescent="0.3">
      <c r="A581" s="19" t="s">
        <v>49</v>
      </c>
    </row>
    <row r="582" spans="1:1" x14ac:dyDescent="0.3">
      <c r="A582" s="19" t="s">
        <v>48</v>
      </c>
    </row>
    <row r="583" spans="1:1" x14ac:dyDescent="0.3">
      <c r="A583"/>
    </row>
    <row r="584" spans="1:1" x14ac:dyDescent="0.3">
      <c r="A584"/>
    </row>
  </sheetData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78E7-D9AB-4767-974D-01B67E0E581E}">
  <dimension ref="A1:V58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24" sqref="O24"/>
    </sheetView>
  </sheetViews>
  <sheetFormatPr defaultColWidth="8.77734375" defaultRowHeight="14.4" x14ac:dyDescent="0.3"/>
  <cols>
    <col min="1" max="2" width="7.77734375" style="18" customWidth="1"/>
    <col min="3" max="3" width="22.77734375" style="18" bestFit="1" customWidth="1"/>
    <col min="4" max="4" width="14.77734375" style="21" bestFit="1" customWidth="1"/>
    <col min="5" max="5" width="15.77734375" style="21" bestFit="1" customWidth="1"/>
    <col min="6" max="6" width="13.21875" style="21" bestFit="1" customWidth="1"/>
    <col min="7" max="7" width="16.21875" style="21" bestFit="1" customWidth="1"/>
    <col min="8" max="8" width="13.21875" style="21" bestFit="1" customWidth="1"/>
    <col min="9" max="9" width="8.77734375" style="17"/>
    <col min="10" max="10" width="9.5546875" style="17" bestFit="1" customWidth="1"/>
    <col min="11" max="11" width="8.77734375" style="17"/>
    <col min="12" max="15" width="8.77734375" style="18"/>
    <col min="23" max="16384" width="8.77734375" style="18"/>
  </cols>
  <sheetData>
    <row r="1" spans="1:11" ht="31.2" x14ac:dyDescent="0.3">
      <c r="A1" s="93" t="s">
        <v>1598</v>
      </c>
      <c r="B1" s="94" t="s">
        <v>1597</v>
      </c>
      <c r="C1" s="94" t="s">
        <v>1596</v>
      </c>
      <c r="D1" s="94" t="s">
        <v>1599</v>
      </c>
      <c r="E1" s="94" t="s">
        <v>1594</v>
      </c>
      <c r="F1" s="94" t="s">
        <v>1593</v>
      </c>
      <c r="G1" s="94" t="s">
        <v>1592</v>
      </c>
      <c r="H1" s="95" t="s">
        <v>1591</v>
      </c>
      <c r="J1" s="48" t="s">
        <v>1635</v>
      </c>
      <c r="K1" s="48" t="s">
        <v>1636</v>
      </c>
    </row>
    <row r="2" spans="1:11" x14ac:dyDescent="0.3">
      <c r="A2" s="96" t="s">
        <v>1590</v>
      </c>
      <c r="B2" s="96" t="s">
        <v>1589</v>
      </c>
      <c r="C2" s="96" t="s">
        <v>1588</v>
      </c>
      <c r="D2" s="97">
        <v>7.5</v>
      </c>
      <c r="E2" s="97">
        <v>3.6</v>
      </c>
      <c r="F2" s="97">
        <v>5</v>
      </c>
      <c r="G2" s="97">
        <v>7</v>
      </c>
      <c r="H2" s="97">
        <v>11</v>
      </c>
      <c r="J2" s="30">
        <f>AVERAGE(D2:D561)</f>
        <v>5.6173214285714286</v>
      </c>
      <c r="K2" s="31" t="s">
        <v>1621</v>
      </c>
    </row>
    <row r="3" spans="1:11" x14ac:dyDescent="0.3">
      <c r="A3" s="96" t="s">
        <v>1587</v>
      </c>
      <c r="B3" s="96" t="s">
        <v>1586</v>
      </c>
      <c r="C3" s="96" t="s">
        <v>1585</v>
      </c>
      <c r="D3" s="97">
        <v>5</v>
      </c>
      <c r="E3" s="97">
        <v>1.6</v>
      </c>
      <c r="F3" s="97">
        <v>4</v>
      </c>
      <c r="G3" s="97">
        <v>5</v>
      </c>
      <c r="H3" s="97">
        <v>7</v>
      </c>
      <c r="J3" s="28">
        <f>LOOKUP(K3,$A$2:$A$568,$D$2:$D$568)</f>
        <v>8.6999999999999993</v>
      </c>
      <c r="K3" s="32" t="s">
        <v>1350</v>
      </c>
    </row>
    <row r="4" spans="1:11" x14ac:dyDescent="0.3">
      <c r="A4" s="96" t="s">
        <v>1584</v>
      </c>
      <c r="B4" s="96" t="s">
        <v>1583</v>
      </c>
      <c r="C4" s="96" t="s">
        <v>1582</v>
      </c>
      <c r="D4" s="97">
        <v>8</v>
      </c>
      <c r="E4" s="97">
        <v>5.8</v>
      </c>
      <c r="F4" s="97">
        <v>4</v>
      </c>
      <c r="G4" s="97">
        <v>7</v>
      </c>
      <c r="H4" s="97">
        <v>12</v>
      </c>
      <c r="J4" s="28">
        <f>LOOKUP(K4,$A$2:$A$568,$D$2:$D$568)</f>
        <v>8.4</v>
      </c>
      <c r="K4" s="32" t="s">
        <v>1395</v>
      </c>
    </row>
    <row r="5" spans="1:11" x14ac:dyDescent="0.3">
      <c r="A5" s="96" t="s">
        <v>1581</v>
      </c>
      <c r="B5" s="96" t="s">
        <v>1580</v>
      </c>
      <c r="C5" s="96" t="s">
        <v>1579</v>
      </c>
      <c r="D5" s="97">
        <v>6.3</v>
      </c>
      <c r="E5" s="97">
        <v>1.8</v>
      </c>
      <c r="F5" s="97">
        <v>5</v>
      </c>
      <c r="G5" s="97">
        <v>6</v>
      </c>
      <c r="H5" s="97">
        <v>8</v>
      </c>
      <c r="J5" s="28">
        <f t="shared" ref="J5:J23" si="0">LOOKUP(K5,$A$2:$A$568,$D$2:$D$568)</f>
        <v>7.1</v>
      </c>
      <c r="K5" s="32" t="s">
        <v>1424</v>
      </c>
    </row>
    <row r="6" spans="1:11" x14ac:dyDescent="0.3">
      <c r="A6" s="96" t="s">
        <v>1578</v>
      </c>
      <c r="B6" s="96" t="s">
        <v>1577</v>
      </c>
      <c r="C6" s="96" t="s">
        <v>1576</v>
      </c>
      <c r="D6" s="97">
        <v>5.2</v>
      </c>
      <c r="E6" s="97">
        <v>2.2000000000000002</v>
      </c>
      <c r="F6" s="97">
        <v>3</v>
      </c>
      <c r="G6" s="97">
        <v>5</v>
      </c>
      <c r="H6" s="97">
        <v>7</v>
      </c>
      <c r="J6" s="28">
        <f t="shared" si="0"/>
        <v>6.6</v>
      </c>
      <c r="K6" s="32" t="s">
        <v>1114</v>
      </c>
    </row>
    <row r="7" spans="1:11" x14ac:dyDescent="0.3">
      <c r="A7" s="96" t="s">
        <v>1575</v>
      </c>
      <c r="B7" s="96" t="s">
        <v>1574</v>
      </c>
      <c r="C7" s="96" t="s">
        <v>1573</v>
      </c>
      <c r="D7" s="97">
        <v>11.3</v>
      </c>
      <c r="E7" s="97">
        <v>5.7</v>
      </c>
      <c r="F7" s="97">
        <v>7</v>
      </c>
      <c r="G7" s="97">
        <v>10</v>
      </c>
      <c r="H7" s="97">
        <v>16</v>
      </c>
      <c r="J7" s="28">
        <f t="shared" si="0"/>
        <v>6.4</v>
      </c>
      <c r="K7" s="32" t="s">
        <v>1317</v>
      </c>
    </row>
    <row r="8" spans="1:11" x14ac:dyDescent="0.3">
      <c r="A8" s="96" t="s">
        <v>1908</v>
      </c>
      <c r="B8" s="96" t="s">
        <v>1909</v>
      </c>
      <c r="C8" s="96" t="s">
        <v>1910</v>
      </c>
      <c r="D8" s="97">
        <v>4.9000000000000004</v>
      </c>
      <c r="E8" s="97">
        <v>1.6</v>
      </c>
      <c r="F8" s="97">
        <v>3</v>
      </c>
      <c r="G8" s="97">
        <v>5</v>
      </c>
      <c r="H8" s="97">
        <v>6</v>
      </c>
      <c r="J8" s="28">
        <f t="shared" si="0"/>
        <v>5.8</v>
      </c>
      <c r="K8" s="32" t="s">
        <v>1524</v>
      </c>
    </row>
    <row r="9" spans="1:11" x14ac:dyDescent="0.3">
      <c r="A9" s="96" t="s">
        <v>1572</v>
      </c>
      <c r="B9" s="96" t="s">
        <v>1571</v>
      </c>
      <c r="C9" s="96" t="s">
        <v>1570</v>
      </c>
      <c r="D9" s="97">
        <v>7.2</v>
      </c>
      <c r="E9" s="97">
        <v>2.7</v>
      </c>
      <c r="F9" s="97">
        <v>4</v>
      </c>
      <c r="G9" s="97">
        <v>7</v>
      </c>
      <c r="H9" s="97">
        <v>10</v>
      </c>
      <c r="J9" s="28">
        <f t="shared" si="0"/>
        <v>5.4</v>
      </c>
      <c r="K9" s="32" t="s">
        <v>1513</v>
      </c>
    </row>
    <row r="10" spans="1:11" x14ac:dyDescent="0.3">
      <c r="A10" s="96" t="s">
        <v>1911</v>
      </c>
      <c r="B10" s="96" t="s">
        <v>1912</v>
      </c>
      <c r="C10" s="96" t="s">
        <v>1913</v>
      </c>
      <c r="D10" s="97">
        <v>5.2</v>
      </c>
      <c r="E10" s="97">
        <v>1.5</v>
      </c>
      <c r="F10" s="97">
        <v>4</v>
      </c>
      <c r="G10" s="97">
        <v>5</v>
      </c>
      <c r="H10" s="97">
        <v>6</v>
      </c>
      <c r="J10" s="28">
        <f t="shared" si="0"/>
        <v>6.8</v>
      </c>
      <c r="K10" s="32" t="s">
        <v>1511</v>
      </c>
    </row>
    <row r="11" spans="1:11" x14ac:dyDescent="0.3">
      <c r="A11" s="96" t="s">
        <v>1569</v>
      </c>
      <c r="B11" s="96" t="s">
        <v>1568</v>
      </c>
      <c r="C11" s="96" t="s">
        <v>1567</v>
      </c>
      <c r="D11" s="97">
        <v>6.4</v>
      </c>
      <c r="E11" s="97">
        <v>1.9</v>
      </c>
      <c r="F11" s="97">
        <v>5</v>
      </c>
      <c r="G11" s="97">
        <v>6</v>
      </c>
      <c r="H11" s="97">
        <v>9</v>
      </c>
      <c r="J11" s="28">
        <f t="shared" si="0"/>
        <v>6</v>
      </c>
      <c r="K11" s="32" t="s">
        <v>1506</v>
      </c>
    </row>
    <row r="12" spans="1:11" x14ac:dyDescent="0.3">
      <c r="A12" s="96" t="s">
        <v>1566</v>
      </c>
      <c r="B12" s="96" t="s">
        <v>1565</v>
      </c>
      <c r="C12" s="96" t="s">
        <v>1564</v>
      </c>
      <c r="D12" s="97">
        <v>5.3</v>
      </c>
      <c r="E12" s="97">
        <v>1.7</v>
      </c>
      <c r="F12" s="97">
        <v>4</v>
      </c>
      <c r="G12" s="97">
        <v>5</v>
      </c>
      <c r="H12" s="97">
        <v>7</v>
      </c>
      <c r="J12" s="28">
        <f t="shared" si="0"/>
        <v>9.9</v>
      </c>
      <c r="K12" s="32" t="s">
        <v>741</v>
      </c>
    </row>
    <row r="13" spans="1:11" x14ac:dyDescent="0.3">
      <c r="A13" s="96" t="s">
        <v>1563</v>
      </c>
      <c r="B13" s="96" t="s">
        <v>1562</v>
      </c>
      <c r="C13" s="96" t="s">
        <v>1561</v>
      </c>
      <c r="D13" s="97">
        <v>8.1</v>
      </c>
      <c r="E13" s="97">
        <v>3.5</v>
      </c>
      <c r="F13" s="97">
        <v>5</v>
      </c>
      <c r="G13" s="97">
        <v>7</v>
      </c>
      <c r="H13" s="97">
        <v>13</v>
      </c>
      <c r="J13" s="28">
        <f t="shared" si="0"/>
        <v>5.4</v>
      </c>
      <c r="K13" s="32" t="s">
        <v>763</v>
      </c>
    </row>
    <row r="14" spans="1:11" x14ac:dyDescent="0.3">
      <c r="A14" s="96" t="s">
        <v>1560</v>
      </c>
      <c r="B14" s="96" t="s">
        <v>1559</v>
      </c>
      <c r="C14" s="96" t="s">
        <v>1558</v>
      </c>
      <c r="D14" s="97">
        <v>4.5</v>
      </c>
      <c r="E14" s="97">
        <v>1.7</v>
      </c>
      <c r="F14" s="97">
        <v>3</v>
      </c>
      <c r="G14" s="97">
        <v>4</v>
      </c>
      <c r="H14" s="97">
        <v>7</v>
      </c>
      <c r="J14" s="28">
        <f t="shared" si="0"/>
        <v>5.7</v>
      </c>
      <c r="K14" s="32" t="s">
        <v>577</v>
      </c>
    </row>
    <row r="15" spans="1:11" x14ac:dyDescent="0.3">
      <c r="A15" s="96" t="s">
        <v>1557</v>
      </c>
      <c r="B15" s="96" t="s">
        <v>1556</v>
      </c>
      <c r="C15" s="96" t="s">
        <v>1555</v>
      </c>
      <c r="D15" s="97">
        <v>5.7</v>
      </c>
      <c r="E15" s="97">
        <v>3.7</v>
      </c>
      <c r="F15" s="97">
        <v>3</v>
      </c>
      <c r="G15" s="97">
        <v>5</v>
      </c>
      <c r="H15" s="97">
        <v>9</v>
      </c>
      <c r="J15" s="28">
        <f t="shared" si="0"/>
        <v>9.8000000000000007</v>
      </c>
      <c r="K15" s="32" t="s">
        <v>536</v>
      </c>
    </row>
    <row r="16" spans="1:11" x14ac:dyDescent="0.3">
      <c r="A16" s="96" t="s">
        <v>1554</v>
      </c>
      <c r="B16" s="96" t="s">
        <v>1553</v>
      </c>
      <c r="C16" s="96" t="s">
        <v>1552</v>
      </c>
      <c r="D16" s="97">
        <v>7</v>
      </c>
      <c r="E16" s="97">
        <v>1.8</v>
      </c>
      <c r="F16" s="97">
        <v>5</v>
      </c>
      <c r="G16" s="97">
        <v>7</v>
      </c>
      <c r="H16" s="97">
        <v>9</v>
      </c>
      <c r="J16" s="28">
        <f t="shared" si="0"/>
        <v>10.1</v>
      </c>
      <c r="K16" s="32" t="s">
        <v>854</v>
      </c>
    </row>
    <row r="17" spans="1:11" x14ac:dyDescent="0.3">
      <c r="A17" s="96" t="s">
        <v>1551</v>
      </c>
      <c r="B17" s="96" t="s">
        <v>1550</v>
      </c>
      <c r="C17" s="96" t="s">
        <v>1549</v>
      </c>
      <c r="D17" s="97">
        <v>12</v>
      </c>
      <c r="E17" s="97">
        <v>3.2</v>
      </c>
      <c r="F17" s="97">
        <v>9</v>
      </c>
      <c r="G17" s="97">
        <v>12</v>
      </c>
      <c r="H17" s="97">
        <v>15</v>
      </c>
      <c r="J17" s="28">
        <f t="shared" si="0"/>
        <v>5.5</v>
      </c>
      <c r="K17" s="32" t="s">
        <v>871</v>
      </c>
    </row>
    <row r="18" spans="1:11" x14ac:dyDescent="0.3">
      <c r="A18" s="96" t="s">
        <v>1548</v>
      </c>
      <c r="B18" s="96" t="s">
        <v>1547</v>
      </c>
      <c r="C18" s="96" t="s">
        <v>1546</v>
      </c>
      <c r="D18" s="97">
        <v>3.8</v>
      </c>
      <c r="E18" s="97">
        <v>2.4</v>
      </c>
      <c r="F18" s="97">
        <v>3</v>
      </c>
      <c r="G18" s="97">
        <v>3</v>
      </c>
      <c r="H18" s="97">
        <v>5</v>
      </c>
      <c r="J18" s="28">
        <f t="shared" si="0"/>
        <v>6.9</v>
      </c>
      <c r="K18" s="32" t="s">
        <v>163</v>
      </c>
    </row>
    <row r="19" spans="1:11" x14ac:dyDescent="0.3">
      <c r="A19" s="96" t="s">
        <v>1545</v>
      </c>
      <c r="B19" s="96" t="s">
        <v>1544</v>
      </c>
      <c r="C19" s="96" t="s">
        <v>1543</v>
      </c>
      <c r="D19" s="97">
        <v>4.9000000000000004</v>
      </c>
      <c r="E19" s="97">
        <v>1.9</v>
      </c>
      <c r="F19" s="97">
        <v>4</v>
      </c>
      <c r="G19" s="97">
        <v>5</v>
      </c>
      <c r="H19" s="97">
        <v>6</v>
      </c>
      <c r="J19" s="28">
        <f t="shared" si="0"/>
        <v>7.6</v>
      </c>
      <c r="K19" s="32" t="s">
        <v>146</v>
      </c>
    </row>
    <row r="20" spans="1:11" x14ac:dyDescent="0.3">
      <c r="A20" s="96" t="s">
        <v>1542</v>
      </c>
      <c r="B20" s="96" t="s">
        <v>1541</v>
      </c>
      <c r="C20" s="96" t="s">
        <v>1540</v>
      </c>
      <c r="D20" s="97">
        <v>4.5999999999999996</v>
      </c>
      <c r="E20" s="97">
        <v>1.7</v>
      </c>
      <c r="F20" s="97">
        <v>3</v>
      </c>
      <c r="G20" s="97">
        <v>4</v>
      </c>
      <c r="H20" s="97">
        <v>7</v>
      </c>
      <c r="J20" s="28">
        <f t="shared" si="0"/>
        <v>6.2</v>
      </c>
      <c r="K20" s="32" t="s">
        <v>1610</v>
      </c>
    </row>
    <row r="21" spans="1:11" x14ac:dyDescent="0.3">
      <c r="A21" s="96" t="s">
        <v>1539</v>
      </c>
      <c r="B21" s="96" t="s">
        <v>1538</v>
      </c>
      <c r="C21" s="96" t="s">
        <v>1537</v>
      </c>
      <c r="D21" s="97">
        <v>3.7</v>
      </c>
      <c r="E21" s="97">
        <v>1.5</v>
      </c>
      <c r="F21" s="97">
        <v>3</v>
      </c>
      <c r="G21" s="97">
        <v>3</v>
      </c>
      <c r="H21" s="97">
        <v>5</v>
      </c>
      <c r="J21" s="28">
        <f t="shared" si="0"/>
        <v>13.7</v>
      </c>
      <c r="K21" s="32" t="s">
        <v>68</v>
      </c>
    </row>
    <row r="22" spans="1:11" x14ac:dyDescent="0.3">
      <c r="A22" s="96" t="s">
        <v>1536</v>
      </c>
      <c r="B22" s="96" t="s">
        <v>1535</v>
      </c>
      <c r="C22" s="96" t="s">
        <v>1534</v>
      </c>
      <c r="D22" s="97">
        <v>5.5</v>
      </c>
      <c r="E22" s="97">
        <v>2.5</v>
      </c>
      <c r="F22" s="97">
        <v>3</v>
      </c>
      <c r="G22" s="97">
        <v>5</v>
      </c>
      <c r="H22" s="97">
        <v>8</v>
      </c>
      <c r="J22" s="28">
        <f t="shared" si="0"/>
        <v>9.1</v>
      </c>
      <c r="K22" s="32" t="s">
        <v>1612</v>
      </c>
    </row>
    <row r="23" spans="1:11" x14ac:dyDescent="0.3">
      <c r="A23" s="96" t="s">
        <v>1533</v>
      </c>
      <c r="B23" s="96" t="s">
        <v>1532</v>
      </c>
      <c r="C23" s="96" t="s">
        <v>1531</v>
      </c>
      <c r="D23" s="97">
        <v>5.9</v>
      </c>
      <c r="E23" s="97">
        <v>3.2</v>
      </c>
      <c r="F23" s="97">
        <v>4</v>
      </c>
      <c r="G23" s="97">
        <v>6</v>
      </c>
      <c r="H23" s="97">
        <v>8</v>
      </c>
      <c r="J23" s="28">
        <f t="shared" si="0"/>
        <v>11.6</v>
      </c>
      <c r="K23" s="32" t="s">
        <v>950</v>
      </c>
    </row>
    <row r="24" spans="1:11" x14ac:dyDescent="0.3">
      <c r="A24" s="96" t="s">
        <v>1530</v>
      </c>
      <c r="B24" s="96" t="s">
        <v>1529</v>
      </c>
      <c r="C24" s="96" t="s">
        <v>1528</v>
      </c>
      <c r="D24" s="97">
        <v>5</v>
      </c>
      <c r="E24" s="97">
        <v>2.2999999999999998</v>
      </c>
      <c r="F24" s="97">
        <v>3</v>
      </c>
      <c r="G24" s="97">
        <v>5</v>
      </c>
      <c r="H24" s="97">
        <v>7</v>
      </c>
    </row>
    <row r="25" spans="1:11" x14ac:dyDescent="0.3">
      <c r="A25" s="96" t="s">
        <v>1527</v>
      </c>
      <c r="B25" s="96" t="s">
        <v>1526</v>
      </c>
      <c r="C25" s="96" t="s">
        <v>1525</v>
      </c>
      <c r="D25" s="97">
        <v>4.5999999999999996</v>
      </c>
      <c r="E25" s="97">
        <v>3.6</v>
      </c>
      <c r="F25" s="97">
        <v>3</v>
      </c>
      <c r="G25" s="97">
        <v>4</v>
      </c>
      <c r="H25" s="97">
        <v>6</v>
      </c>
    </row>
    <row r="26" spans="1:11" x14ac:dyDescent="0.3">
      <c r="A26" s="96" t="s">
        <v>1524</v>
      </c>
      <c r="B26" s="96" t="s">
        <v>6</v>
      </c>
      <c r="C26" s="96" t="s">
        <v>1523</v>
      </c>
      <c r="D26" s="97">
        <v>5.8</v>
      </c>
      <c r="E26" s="97">
        <v>2.8</v>
      </c>
      <c r="F26" s="97">
        <v>4</v>
      </c>
      <c r="G26" s="97">
        <v>5</v>
      </c>
      <c r="H26" s="97">
        <v>8</v>
      </c>
    </row>
    <row r="27" spans="1:11" x14ac:dyDescent="0.3">
      <c r="A27" s="96" t="s">
        <v>1522</v>
      </c>
      <c r="B27" s="96" t="s">
        <v>1521</v>
      </c>
      <c r="C27" s="96" t="s">
        <v>1520</v>
      </c>
      <c r="D27" s="97">
        <v>4</v>
      </c>
      <c r="E27" s="97">
        <v>1.5</v>
      </c>
      <c r="F27" s="97">
        <v>2</v>
      </c>
      <c r="G27" s="97">
        <v>4</v>
      </c>
      <c r="H27" s="97">
        <v>6</v>
      </c>
    </row>
    <row r="28" spans="1:11" x14ac:dyDescent="0.3">
      <c r="A28" s="96" t="s">
        <v>1519</v>
      </c>
      <c r="B28" s="96" t="s">
        <v>1518</v>
      </c>
      <c r="C28" s="96" t="s">
        <v>1517</v>
      </c>
      <c r="D28" s="97">
        <v>9.4</v>
      </c>
      <c r="E28" s="97">
        <v>4.2</v>
      </c>
      <c r="F28" s="97">
        <v>5</v>
      </c>
      <c r="G28" s="97">
        <v>9</v>
      </c>
      <c r="H28" s="97">
        <v>14</v>
      </c>
    </row>
    <row r="29" spans="1:11" x14ac:dyDescent="0.3">
      <c r="A29" s="96" t="s">
        <v>1516</v>
      </c>
      <c r="B29" s="96" t="s">
        <v>1515</v>
      </c>
      <c r="C29" s="96" t="s">
        <v>1514</v>
      </c>
      <c r="D29" s="97">
        <v>5.5</v>
      </c>
      <c r="E29" s="97">
        <v>1.7</v>
      </c>
      <c r="F29" s="97">
        <v>4</v>
      </c>
      <c r="G29" s="97">
        <v>5</v>
      </c>
      <c r="H29" s="97">
        <v>8</v>
      </c>
    </row>
    <row r="30" spans="1:11" x14ac:dyDescent="0.3">
      <c r="A30" s="96" t="s">
        <v>1513</v>
      </c>
      <c r="B30" s="96" t="s">
        <v>7</v>
      </c>
      <c r="C30" s="96" t="s">
        <v>1512</v>
      </c>
      <c r="D30" s="97">
        <v>5.4</v>
      </c>
      <c r="E30" s="97">
        <v>2.2000000000000002</v>
      </c>
      <c r="F30" s="97">
        <v>3</v>
      </c>
      <c r="G30" s="97">
        <v>5</v>
      </c>
      <c r="H30" s="97">
        <v>8</v>
      </c>
    </row>
    <row r="31" spans="1:11" x14ac:dyDescent="0.3">
      <c r="A31" s="96" t="s">
        <v>1511</v>
      </c>
      <c r="B31" s="96" t="s">
        <v>8</v>
      </c>
      <c r="C31" s="96" t="s">
        <v>1510</v>
      </c>
      <c r="D31" s="97">
        <v>6.8</v>
      </c>
      <c r="E31" s="97">
        <v>3</v>
      </c>
      <c r="F31" s="97">
        <v>4</v>
      </c>
      <c r="G31" s="97">
        <v>6</v>
      </c>
      <c r="H31" s="97">
        <v>10</v>
      </c>
    </row>
    <row r="32" spans="1:11" x14ac:dyDescent="0.3">
      <c r="A32" s="96" t="s">
        <v>1509</v>
      </c>
      <c r="B32" s="96" t="s">
        <v>1508</v>
      </c>
      <c r="C32" s="96" t="s">
        <v>1507</v>
      </c>
      <c r="D32" s="97">
        <v>5.0999999999999996</v>
      </c>
      <c r="E32" s="97">
        <v>2.4</v>
      </c>
      <c r="F32" s="97">
        <v>3</v>
      </c>
      <c r="G32" s="97">
        <v>5</v>
      </c>
      <c r="H32" s="97">
        <v>8</v>
      </c>
    </row>
    <row r="33" spans="1:8" x14ac:dyDescent="0.3">
      <c r="A33" s="96" t="s">
        <v>1506</v>
      </c>
      <c r="B33" s="96" t="s">
        <v>9</v>
      </c>
      <c r="C33" s="96" t="s">
        <v>1505</v>
      </c>
      <c r="D33" s="97">
        <v>6</v>
      </c>
      <c r="E33" s="97">
        <v>2.5</v>
      </c>
      <c r="F33" s="97">
        <v>4</v>
      </c>
      <c r="G33" s="97">
        <v>6</v>
      </c>
      <c r="H33" s="97">
        <v>9</v>
      </c>
    </row>
    <row r="34" spans="1:8" x14ac:dyDescent="0.3">
      <c r="A34" s="96" t="s">
        <v>1504</v>
      </c>
      <c r="B34" s="96" t="s">
        <v>1503</v>
      </c>
      <c r="C34" s="96" t="s">
        <v>1502</v>
      </c>
      <c r="D34" s="97">
        <v>4.5</v>
      </c>
      <c r="E34" s="97">
        <v>2.5</v>
      </c>
      <c r="F34" s="97">
        <v>3</v>
      </c>
      <c r="G34" s="97">
        <v>4</v>
      </c>
      <c r="H34" s="97">
        <v>6</v>
      </c>
    </row>
    <row r="35" spans="1:8" x14ac:dyDescent="0.3">
      <c r="A35" s="96" t="s">
        <v>1501</v>
      </c>
      <c r="B35" s="96" t="s">
        <v>1500</v>
      </c>
      <c r="C35" s="96" t="s">
        <v>1499</v>
      </c>
      <c r="D35" s="97">
        <v>6.1</v>
      </c>
      <c r="E35" s="97">
        <v>2.1</v>
      </c>
      <c r="F35" s="97">
        <v>4</v>
      </c>
      <c r="G35" s="97">
        <v>6</v>
      </c>
      <c r="H35" s="97">
        <v>9</v>
      </c>
    </row>
    <row r="36" spans="1:8" x14ac:dyDescent="0.3">
      <c r="A36" s="96" t="s">
        <v>1498</v>
      </c>
      <c r="B36" s="96" t="s">
        <v>1497</v>
      </c>
      <c r="C36" s="96" t="s">
        <v>1496</v>
      </c>
      <c r="D36" s="97">
        <v>5.8</v>
      </c>
      <c r="E36" s="97">
        <v>1.3</v>
      </c>
      <c r="F36" s="97">
        <v>4</v>
      </c>
      <c r="G36" s="97">
        <v>6</v>
      </c>
      <c r="H36" s="97">
        <v>7</v>
      </c>
    </row>
    <row r="37" spans="1:8" x14ac:dyDescent="0.3">
      <c r="A37" s="96" t="s">
        <v>1495</v>
      </c>
      <c r="B37" s="96" t="s">
        <v>1494</v>
      </c>
      <c r="C37" s="96" t="s">
        <v>1493</v>
      </c>
      <c r="D37" s="97">
        <v>6</v>
      </c>
      <c r="E37" s="97">
        <v>2.5</v>
      </c>
      <c r="F37" s="97">
        <v>3</v>
      </c>
      <c r="G37" s="97">
        <v>6</v>
      </c>
      <c r="H37" s="97">
        <v>9</v>
      </c>
    </row>
    <row r="38" spans="1:8" x14ac:dyDescent="0.3">
      <c r="A38" s="96" t="s">
        <v>1492</v>
      </c>
      <c r="B38" s="96" t="s">
        <v>1491</v>
      </c>
      <c r="C38" s="96" t="s">
        <v>1490</v>
      </c>
      <c r="D38" s="97">
        <v>5.6</v>
      </c>
      <c r="E38" s="97">
        <v>2.6</v>
      </c>
      <c r="F38" s="97">
        <v>3</v>
      </c>
      <c r="G38" s="97">
        <v>5</v>
      </c>
      <c r="H38" s="97">
        <v>9</v>
      </c>
    </row>
    <row r="39" spans="1:8" x14ac:dyDescent="0.3">
      <c r="A39" s="96" t="s">
        <v>1489</v>
      </c>
      <c r="B39" s="96" t="s">
        <v>1488</v>
      </c>
      <c r="C39" s="96" t="s">
        <v>1487</v>
      </c>
      <c r="D39" s="97">
        <v>4.0999999999999996</v>
      </c>
      <c r="E39" s="97">
        <v>1.9</v>
      </c>
      <c r="F39" s="97">
        <v>3</v>
      </c>
      <c r="G39" s="97">
        <v>4</v>
      </c>
      <c r="H39" s="97">
        <v>6</v>
      </c>
    </row>
    <row r="40" spans="1:8" x14ac:dyDescent="0.3">
      <c r="A40" s="96" t="s">
        <v>1486</v>
      </c>
      <c r="B40" s="96" t="s">
        <v>1485</v>
      </c>
      <c r="C40" s="96" t="s">
        <v>1484</v>
      </c>
      <c r="D40" s="97">
        <v>6.1</v>
      </c>
      <c r="E40" s="97">
        <v>5</v>
      </c>
      <c r="F40" s="97">
        <v>3</v>
      </c>
      <c r="G40" s="97">
        <v>5</v>
      </c>
      <c r="H40" s="97">
        <v>8</v>
      </c>
    </row>
    <row r="41" spans="1:8" x14ac:dyDescent="0.3">
      <c r="A41" s="96" t="s">
        <v>1483</v>
      </c>
      <c r="B41" s="96" t="s">
        <v>1482</v>
      </c>
      <c r="C41" s="96" t="s">
        <v>1481</v>
      </c>
      <c r="D41" s="97">
        <v>5.5</v>
      </c>
      <c r="E41" s="97">
        <v>3.6</v>
      </c>
      <c r="F41" s="97">
        <v>3</v>
      </c>
      <c r="G41" s="97">
        <v>5</v>
      </c>
      <c r="H41" s="97">
        <v>8</v>
      </c>
    </row>
    <row r="42" spans="1:8" x14ac:dyDescent="0.3">
      <c r="A42" s="96" t="s">
        <v>1480</v>
      </c>
      <c r="B42" s="96" t="s">
        <v>1479</v>
      </c>
      <c r="C42" s="96" t="s">
        <v>1478</v>
      </c>
      <c r="D42" s="97">
        <v>5.2</v>
      </c>
      <c r="E42" s="97">
        <v>3.5</v>
      </c>
      <c r="F42" s="97">
        <v>3</v>
      </c>
      <c r="G42" s="97">
        <v>5</v>
      </c>
      <c r="H42" s="97">
        <v>7</v>
      </c>
    </row>
    <row r="43" spans="1:8" x14ac:dyDescent="0.3">
      <c r="A43" s="96" t="s">
        <v>1477</v>
      </c>
      <c r="B43" s="96" t="s">
        <v>1476</v>
      </c>
      <c r="C43" s="96" t="s">
        <v>1475</v>
      </c>
      <c r="D43" s="97">
        <v>6</v>
      </c>
      <c r="E43" s="97">
        <v>3.7</v>
      </c>
      <c r="F43" s="97">
        <v>4</v>
      </c>
      <c r="G43" s="97">
        <v>6</v>
      </c>
      <c r="H43" s="97">
        <v>7</v>
      </c>
    </row>
    <row r="44" spans="1:8" x14ac:dyDescent="0.3">
      <c r="A44" s="96" t="s">
        <v>1474</v>
      </c>
      <c r="B44" s="96" t="s">
        <v>1473</v>
      </c>
      <c r="C44" s="96" t="s">
        <v>1472</v>
      </c>
      <c r="D44" s="97">
        <v>7.1</v>
      </c>
      <c r="E44" s="97">
        <v>2.4</v>
      </c>
      <c r="F44" s="97">
        <v>4</v>
      </c>
      <c r="G44" s="97">
        <v>7</v>
      </c>
      <c r="H44" s="97">
        <v>10</v>
      </c>
    </row>
    <row r="45" spans="1:8" x14ac:dyDescent="0.3">
      <c r="A45" s="96" t="s">
        <v>1471</v>
      </c>
      <c r="B45" s="96" t="s">
        <v>1470</v>
      </c>
      <c r="C45" s="96" t="s">
        <v>1469</v>
      </c>
      <c r="D45" s="97">
        <v>6.3</v>
      </c>
      <c r="E45" s="97">
        <v>2.1</v>
      </c>
      <c r="F45" s="97">
        <v>3</v>
      </c>
      <c r="G45" s="97">
        <v>6</v>
      </c>
      <c r="H45" s="97">
        <v>9</v>
      </c>
    </row>
    <row r="46" spans="1:8" x14ac:dyDescent="0.3">
      <c r="A46" s="96" t="s">
        <v>1468</v>
      </c>
      <c r="B46" s="96" t="s">
        <v>1467</v>
      </c>
      <c r="C46" s="96" t="s">
        <v>1466</v>
      </c>
      <c r="D46" s="97">
        <v>5.2</v>
      </c>
      <c r="E46" s="97">
        <v>2.9</v>
      </c>
      <c r="F46" s="97">
        <v>3</v>
      </c>
      <c r="G46" s="97">
        <v>5</v>
      </c>
      <c r="H46" s="97">
        <v>7</v>
      </c>
    </row>
    <row r="47" spans="1:8" x14ac:dyDescent="0.3">
      <c r="A47" s="96" t="s">
        <v>1465</v>
      </c>
      <c r="B47" s="96" t="s">
        <v>1464</v>
      </c>
      <c r="C47" s="96" t="s">
        <v>1914</v>
      </c>
      <c r="D47" s="97">
        <v>6.7</v>
      </c>
      <c r="E47" s="97">
        <v>3.1</v>
      </c>
      <c r="F47" s="97">
        <v>3</v>
      </c>
      <c r="G47" s="97">
        <v>6</v>
      </c>
      <c r="H47" s="97">
        <v>10</v>
      </c>
    </row>
    <row r="48" spans="1:8" x14ac:dyDescent="0.3">
      <c r="A48" s="96" t="s">
        <v>1463</v>
      </c>
      <c r="B48" s="96" t="s">
        <v>1462</v>
      </c>
      <c r="C48" s="96" t="s">
        <v>1461</v>
      </c>
      <c r="D48" s="97">
        <v>5.0999999999999996</v>
      </c>
      <c r="E48" s="97">
        <v>2.2999999999999998</v>
      </c>
      <c r="F48" s="97">
        <v>3</v>
      </c>
      <c r="G48" s="97">
        <v>5</v>
      </c>
      <c r="H48" s="97">
        <v>7</v>
      </c>
    </row>
    <row r="49" spans="1:8" x14ac:dyDescent="0.3">
      <c r="A49" s="96" t="s">
        <v>1460</v>
      </c>
      <c r="B49" s="96" t="s">
        <v>1459</v>
      </c>
      <c r="C49" s="96" t="s">
        <v>1458</v>
      </c>
      <c r="D49" s="97">
        <v>4.5999999999999996</v>
      </c>
      <c r="E49" s="97">
        <v>2.5</v>
      </c>
      <c r="F49" s="97">
        <v>2</v>
      </c>
      <c r="G49" s="97">
        <v>4</v>
      </c>
      <c r="H49" s="97">
        <v>8</v>
      </c>
    </row>
    <row r="50" spans="1:8" x14ac:dyDescent="0.3">
      <c r="A50" s="96" t="s">
        <v>1457</v>
      </c>
      <c r="B50" s="96" t="s">
        <v>1456</v>
      </c>
      <c r="C50" s="96" t="s">
        <v>1455</v>
      </c>
      <c r="D50" s="97">
        <v>2.5</v>
      </c>
      <c r="E50" s="97">
        <v>1</v>
      </c>
      <c r="F50" s="97">
        <v>2</v>
      </c>
      <c r="G50" s="97">
        <v>2</v>
      </c>
      <c r="H50" s="97">
        <v>4</v>
      </c>
    </row>
    <row r="51" spans="1:8" x14ac:dyDescent="0.3">
      <c r="A51" s="96" t="s">
        <v>1915</v>
      </c>
      <c r="B51" s="96" t="s">
        <v>1916</v>
      </c>
      <c r="C51" s="96" t="s">
        <v>1917</v>
      </c>
      <c r="D51" s="97">
        <v>1.8</v>
      </c>
      <c r="E51" s="97">
        <v>0.6</v>
      </c>
      <c r="F51" s="97">
        <v>1</v>
      </c>
      <c r="G51" s="97">
        <v>2</v>
      </c>
      <c r="H51" s="97">
        <v>2</v>
      </c>
    </row>
    <row r="52" spans="1:8" x14ac:dyDescent="0.3">
      <c r="A52" s="96" t="s">
        <v>1918</v>
      </c>
      <c r="B52" s="96" t="s">
        <v>1919</v>
      </c>
      <c r="C52" s="96" t="s">
        <v>1920</v>
      </c>
      <c r="D52" s="97">
        <v>1.7</v>
      </c>
      <c r="E52" s="97">
        <v>0.6</v>
      </c>
      <c r="F52" s="97">
        <v>1</v>
      </c>
      <c r="G52" s="97">
        <v>2</v>
      </c>
      <c r="H52" s="97">
        <v>2</v>
      </c>
    </row>
    <row r="53" spans="1:8" x14ac:dyDescent="0.3">
      <c r="A53" s="96" t="s">
        <v>1921</v>
      </c>
      <c r="B53" s="96" t="s">
        <v>1922</v>
      </c>
      <c r="C53" s="96" t="s">
        <v>1923</v>
      </c>
      <c r="D53" s="97">
        <v>2</v>
      </c>
      <c r="E53" s="97">
        <v>0.6</v>
      </c>
      <c r="F53" s="97">
        <v>1</v>
      </c>
      <c r="G53" s="97">
        <v>2</v>
      </c>
      <c r="H53" s="97">
        <v>3</v>
      </c>
    </row>
    <row r="54" spans="1:8" x14ac:dyDescent="0.3">
      <c r="A54" s="96" t="s">
        <v>1924</v>
      </c>
      <c r="B54" s="96" t="s">
        <v>1925</v>
      </c>
      <c r="C54" s="96" t="s">
        <v>1926</v>
      </c>
      <c r="D54" s="97">
        <v>2.6</v>
      </c>
      <c r="E54" s="97">
        <v>0.7</v>
      </c>
      <c r="F54" s="97">
        <v>2</v>
      </c>
      <c r="G54" s="97">
        <v>3</v>
      </c>
      <c r="H54" s="97">
        <v>3</v>
      </c>
    </row>
    <row r="55" spans="1:8" x14ac:dyDescent="0.3">
      <c r="A55" s="96" t="s">
        <v>1927</v>
      </c>
      <c r="B55" s="96" t="s">
        <v>1928</v>
      </c>
      <c r="C55" s="96" t="s">
        <v>1929</v>
      </c>
      <c r="D55" s="97">
        <v>1.9</v>
      </c>
      <c r="E55" s="97">
        <v>0.6</v>
      </c>
      <c r="F55" s="97">
        <v>1</v>
      </c>
      <c r="G55" s="97">
        <v>2</v>
      </c>
      <c r="H55" s="97">
        <v>3</v>
      </c>
    </row>
    <row r="56" spans="1:8" x14ac:dyDescent="0.3">
      <c r="A56" s="96" t="s">
        <v>1454</v>
      </c>
      <c r="B56" s="96" t="s">
        <v>1453</v>
      </c>
      <c r="C56" s="96" t="s">
        <v>1452</v>
      </c>
      <c r="D56" s="97">
        <v>2.2999999999999998</v>
      </c>
      <c r="E56" s="97">
        <v>0.7</v>
      </c>
      <c r="F56" s="97">
        <v>2</v>
      </c>
      <c r="G56" s="97">
        <v>2</v>
      </c>
      <c r="H56" s="97">
        <v>3</v>
      </c>
    </row>
    <row r="57" spans="1:8" x14ac:dyDescent="0.3">
      <c r="A57" s="96" t="s">
        <v>1451</v>
      </c>
      <c r="B57" s="96" t="s">
        <v>1450</v>
      </c>
      <c r="C57" s="96" t="s">
        <v>1449</v>
      </c>
      <c r="D57" s="97">
        <v>3.3</v>
      </c>
      <c r="E57" s="97">
        <v>1.1000000000000001</v>
      </c>
      <c r="F57" s="97">
        <v>2</v>
      </c>
      <c r="G57" s="97">
        <v>3</v>
      </c>
      <c r="H57" s="97">
        <v>4</v>
      </c>
    </row>
    <row r="58" spans="1:8" x14ac:dyDescent="0.3">
      <c r="A58" s="96" t="s">
        <v>1448</v>
      </c>
      <c r="B58" s="96" t="s">
        <v>1447</v>
      </c>
      <c r="C58" s="96" t="s">
        <v>1446</v>
      </c>
      <c r="D58" s="97">
        <v>2.2000000000000002</v>
      </c>
      <c r="E58" s="97">
        <v>0.8</v>
      </c>
      <c r="F58" s="97">
        <v>2</v>
      </c>
      <c r="G58" s="97">
        <v>2</v>
      </c>
      <c r="H58" s="97">
        <v>3</v>
      </c>
    </row>
    <row r="59" spans="1:8" x14ac:dyDescent="0.3">
      <c r="A59" s="96" t="s">
        <v>1930</v>
      </c>
      <c r="B59" s="96" t="s">
        <v>1931</v>
      </c>
      <c r="C59" s="96" t="s">
        <v>1932</v>
      </c>
      <c r="D59" s="97">
        <v>2.4</v>
      </c>
      <c r="E59" s="97">
        <v>0.6</v>
      </c>
      <c r="F59" s="97">
        <v>2</v>
      </c>
      <c r="G59" s="97">
        <v>2</v>
      </c>
      <c r="H59" s="97">
        <v>3</v>
      </c>
    </row>
    <row r="60" spans="1:8" x14ac:dyDescent="0.3">
      <c r="A60" s="96" t="s">
        <v>1445</v>
      </c>
      <c r="B60" s="96" t="s">
        <v>1444</v>
      </c>
      <c r="C60" s="96" t="s">
        <v>1443</v>
      </c>
      <c r="D60" s="97">
        <v>3.3</v>
      </c>
      <c r="E60" s="97">
        <v>1.1000000000000001</v>
      </c>
      <c r="F60" s="97">
        <v>2</v>
      </c>
      <c r="G60" s="97">
        <v>3</v>
      </c>
      <c r="H60" s="97">
        <v>5</v>
      </c>
    </row>
    <row r="61" spans="1:8" x14ac:dyDescent="0.3">
      <c r="A61" s="96" t="s">
        <v>1442</v>
      </c>
      <c r="B61" s="96" t="s">
        <v>1441</v>
      </c>
      <c r="C61" s="96" t="s">
        <v>1440</v>
      </c>
      <c r="D61" s="97">
        <v>3.1</v>
      </c>
      <c r="E61" s="97">
        <v>0.9</v>
      </c>
      <c r="F61" s="97">
        <v>2</v>
      </c>
      <c r="G61" s="97">
        <v>3</v>
      </c>
      <c r="H61" s="97">
        <v>4</v>
      </c>
    </row>
    <row r="62" spans="1:8" x14ac:dyDescent="0.3">
      <c r="A62" s="96" t="s">
        <v>1933</v>
      </c>
      <c r="B62" s="96" t="s">
        <v>1934</v>
      </c>
      <c r="C62" s="96" t="s">
        <v>1935</v>
      </c>
      <c r="D62" s="97">
        <v>4.2</v>
      </c>
      <c r="E62" s="97">
        <v>1.8</v>
      </c>
      <c r="F62" s="97">
        <v>2</v>
      </c>
      <c r="G62" s="97">
        <v>4</v>
      </c>
      <c r="H62" s="97">
        <v>7</v>
      </c>
    </row>
    <row r="63" spans="1:8" x14ac:dyDescent="0.3">
      <c r="A63" s="96" t="s">
        <v>1439</v>
      </c>
      <c r="B63" s="96" t="s">
        <v>1438</v>
      </c>
      <c r="C63" s="96" t="s">
        <v>1437</v>
      </c>
      <c r="D63" s="97">
        <v>4.0999999999999996</v>
      </c>
      <c r="E63" s="97">
        <v>1.8</v>
      </c>
      <c r="F63" s="97">
        <v>2</v>
      </c>
      <c r="G63" s="97">
        <v>4</v>
      </c>
      <c r="H63" s="97">
        <v>6</v>
      </c>
    </row>
    <row r="64" spans="1:8" x14ac:dyDescent="0.3">
      <c r="A64" s="96" t="s">
        <v>1436</v>
      </c>
      <c r="B64" s="96" t="s">
        <v>1435</v>
      </c>
      <c r="C64" s="96" t="s">
        <v>1434</v>
      </c>
      <c r="D64" s="97">
        <v>2.9</v>
      </c>
      <c r="E64" s="97">
        <v>1</v>
      </c>
      <c r="F64" s="97">
        <v>2</v>
      </c>
      <c r="G64" s="97">
        <v>3</v>
      </c>
      <c r="H64" s="97">
        <v>4</v>
      </c>
    </row>
    <row r="65" spans="1:8" x14ac:dyDescent="0.3">
      <c r="A65" s="96" t="s">
        <v>1433</v>
      </c>
      <c r="B65" s="96" t="s">
        <v>1432</v>
      </c>
      <c r="C65" s="96" t="s">
        <v>1431</v>
      </c>
      <c r="D65" s="97">
        <v>4.9000000000000004</v>
      </c>
      <c r="E65" s="97">
        <v>2.2000000000000002</v>
      </c>
      <c r="F65" s="97">
        <v>3</v>
      </c>
      <c r="G65" s="97">
        <v>5</v>
      </c>
      <c r="H65" s="97">
        <v>7</v>
      </c>
    </row>
    <row r="66" spans="1:8" x14ac:dyDescent="0.3">
      <c r="A66" s="96" t="s">
        <v>1430</v>
      </c>
      <c r="B66" s="96" t="s">
        <v>1429</v>
      </c>
      <c r="C66" s="96" t="s">
        <v>1428</v>
      </c>
      <c r="D66" s="97">
        <v>3.9</v>
      </c>
      <c r="E66" s="97">
        <v>1.2</v>
      </c>
      <c r="F66" s="97">
        <v>3</v>
      </c>
      <c r="G66" s="97">
        <v>4</v>
      </c>
      <c r="H66" s="97">
        <v>5</v>
      </c>
    </row>
    <row r="67" spans="1:8" x14ac:dyDescent="0.3">
      <c r="A67" s="96" t="s">
        <v>1427</v>
      </c>
      <c r="B67" s="96" t="s">
        <v>1426</v>
      </c>
      <c r="C67" s="96" t="s">
        <v>1425</v>
      </c>
      <c r="D67" s="97">
        <v>6.4</v>
      </c>
      <c r="E67" s="97">
        <v>3.2</v>
      </c>
      <c r="F67" s="97">
        <v>4</v>
      </c>
      <c r="G67" s="97">
        <v>6</v>
      </c>
      <c r="H67" s="97">
        <v>9</v>
      </c>
    </row>
    <row r="68" spans="1:8" x14ac:dyDescent="0.3">
      <c r="A68" s="96" t="s">
        <v>1424</v>
      </c>
      <c r="B68" s="96" t="s">
        <v>3</v>
      </c>
      <c r="C68" s="96" t="s">
        <v>1423</v>
      </c>
      <c r="D68" s="97">
        <v>7.1</v>
      </c>
      <c r="E68" s="97">
        <v>3.9</v>
      </c>
      <c r="F68" s="97">
        <v>4</v>
      </c>
      <c r="G68" s="97">
        <v>6</v>
      </c>
      <c r="H68" s="97">
        <v>11</v>
      </c>
    </row>
    <row r="69" spans="1:8" x14ac:dyDescent="0.3">
      <c r="A69" s="96" t="s">
        <v>1422</v>
      </c>
      <c r="B69" s="96" t="s">
        <v>1421</v>
      </c>
      <c r="C69" s="96" t="s">
        <v>1420</v>
      </c>
      <c r="D69" s="97">
        <v>4</v>
      </c>
      <c r="E69" s="97">
        <v>1.4</v>
      </c>
      <c r="F69" s="97">
        <v>2</v>
      </c>
      <c r="G69" s="97">
        <v>4</v>
      </c>
      <c r="H69" s="97">
        <v>6</v>
      </c>
    </row>
    <row r="70" spans="1:8" x14ac:dyDescent="0.3">
      <c r="A70" s="96" t="s">
        <v>1419</v>
      </c>
      <c r="B70" s="96" t="s">
        <v>1418</v>
      </c>
      <c r="C70" s="96" t="s">
        <v>1417</v>
      </c>
      <c r="D70" s="97">
        <v>4.8</v>
      </c>
      <c r="E70" s="97">
        <v>2.6</v>
      </c>
      <c r="F70" s="97">
        <v>3</v>
      </c>
      <c r="G70" s="97">
        <v>5</v>
      </c>
      <c r="H70" s="97">
        <v>6</v>
      </c>
    </row>
    <row r="71" spans="1:8" x14ac:dyDescent="0.3">
      <c r="A71" s="96" t="s">
        <v>1416</v>
      </c>
      <c r="B71" s="96" t="s">
        <v>1415</v>
      </c>
      <c r="C71" s="96" t="s">
        <v>1414</v>
      </c>
      <c r="D71" s="97">
        <v>4.4000000000000004</v>
      </c>
      <c r="E71" s="97">
        <v>2.7</v>
      </c>
      <c r="F71" s="97">
        <v>3</v>
      </c>
      <c r="G71" s="97">
        <v>4</v>
      </c>
      <c r="H71" s="97">
        <v>6</v>
      </c>
    </row>
    <row r="72" spans="1:8" x14ac:dyDescent="0.3">
      <c r="A72" s="96" t="s">
        <v>1413</v>
      </c>
      <c r="B72" s="96" t="s">
        <v>1412</v>
      </c>
      <c r="C72" s="96" t="s">
        <v>1411</v>
      </c>
      <c r="D72" s="97">
        <v>5.7</v>
      </c>
      <c r="E72" s="97">
        <v>2.9</v>
      </c>
      <c r="F72" s="97">
        <v>4</v>
      </c>
      <c r="G72" s="97">
        <v>5</v>
      </c>
      <c r="H72" s="97">
        <v>8</v>
      </c>
    </row>
    <row r="73" spans="1:8" x14ac:dyDescent="0.3">
      <c r="A73" s="96" t="s">
        <v>1410</v>
      </c>
      <c r="B73" s="96" t="s">
        <v>1409</v>
      </c>
      <c r="C73" s="96" t="s">
        <v>1408</v>
      </c>
      <c r="D73" s="97">
        <v>5.0999999999999996</v>
      </c>
      <c r="E73" s="97">
        <v>3.8</v>
      </c>
      <c r="F73" s="97">
        <v>3</v>
      </c>
      <c r="G73" s="97">
        <v>5</v>
      </c>
      <c r="H73" s="97">
        <v>7</v>
      </c>
    </row>
    <row r="74" spans="1:8" x14ac:dyDescent="0.3">
      <c r="A74" s="96" t="s">
        <v>1936</v>
      </c>
      <c r="B74" s="96" t="s">
        <v>1937</v>
      </c>
      <c r="C74" s="96" t="s">
        <v>1938</v>
      </c>
      <c r="D74" s="97">
        <v>3.3</v>
      </c>
      <c r="E74" s="97">
        <v>1.2</v>
      </c>
      <c r="F74" s="97">
        <v>2</v>
      </c>
      <c r="G74" s="97">
        <v>3</v>
      </c>
      <c r="H74" s="97">
        <v>5</v>
      </c>
    </row>
    <row r="75" spans="1:8" x14ac:dyDescent="0.3">
      <c r="A75" s="96" t="s">
        <v>1407</v>
      </c>
      <c r="B75" s="96" t="s">
        <v>1406</v>
      </c>
      <c r="C75" s="96" t="s">
        <v>1405</v>
      </c>
      <c r="D75" s="97">
        <v>4.8</v>
      </c>
      <c r="E75" s="97">
        <v>3.4</v>
      </c>
      <c r="F75" s="97">
        <v>3</v>
      </c>
      <c r="G75" s="97">
        <v>4</v>
      </c>
      <c r="H75" s="97">
        <v>7</v>
      </c>
    </row>
    <row r="76" spans="1:8" x14ac:dyDescent="0.3">
      <c r="A76" s="96" t="s">
        <v>1404</v>
      </c>
      <c r="B76" s="96" t="s">
        <v>1403</v>
      </c>
      <c r="C76" s="96" t="s">
        <v>1402</v>
      </c>
      <c r="D76" s="97">
        <v>4.3</v>
      </c>
      <c r="E76" s="97">
        <v>1.3</v>
      </c>
      <c r="F76" s="97">
        <v>3</v>
      </c>
      <c r="G76" s="97">
        <v>4</v>
      </c>
      <c r="H76" s="97">
        <v>6</v>
      </c>
    </row>
    <row r="77" spans="1:8" x14ac:dyDescent="0.3">
      <c r="A77" s="96" t="s">
        <v>1401</v>
      </c>
      <c r="B77" s="96" t="s">
        <v>1400</v>
      </c>
      <c r="C77" s="96" t="s">
        <v>1399</v>
      </c>
      <c r="D77" s="97">
        <v>7.7</v>
      </c>
      <c r="E77" s="97">
        <v>3.7</v>
      </c>
      <c r="F77" s="97">
        <v>5</v>
      </c>
      <c r="G77" s="97">
        <v>7</v>
      </c>
      <c r="H77" s="97">
        <v>11</v>
      </c>
    </row>
    <row r="78" spans="1:8" x14ac:dyDescent="0.3">
      <c r="A78" s="96" t="s">
        <v>1398</v>
      </c>
      <c r="B78" s="96" t="s">
        <v>1397</v>
      </c>
      <c r="C78" s="96" t="s">
        <v>1396</v>
      </c>
      <c r="D78" s="97">
        <v>4.7</v>
      </c>
      <c r="E78" s="97">
        <v>2.8</v>
      </c>
      <c r="F78" s="97">
        <v>3</v>
      </c>
      <c r="G78" s="97">
        <v>4</v>
      </c>
      <c r="H78" s="97">
        <v>7</v>
      </c>
    </row>
    <row r="79" spans="1:8" x14ac:dyDescent="0.3">
      <c r="A79" s="96" t="s">
        <v>1395</v>
      </c>
      <c r="B79" s="96" t="s">
        <v>1394</v>
      </c>
      <c r="C79" s="96" t="s">
        <v>1393</v>
      </c>
      <c r="D79" s="97">
        <v>8.4</v>
      </c>
      <c r="E79" s="97">
        <v>5.2</v>
      </c>
      <c r="F79" s="97">
        <v>4</v>
      </c>
      <c r="G79" s="97">
        <v>7</v>
      </c>
      <c r="H79" s="97">
        <v>14</v>
      </c>
    </row>
    <row r="80" spans="1:8" x14ac:dyDescent="0.3">
      <c r="A80" s="96" t="s">
        <v>1392</v>
      </c>
      <c r="B80" s="96" t="s">
        <v>1391</v>
      </c>
      <c r="C80" s="96" t="s">
        <v>1390</v>
      </c>
      <c r="D80" s="97">
        <v>4.9000000000000004</v>
      </c>
      <c r="E80" s="97">
        <v>1.3</v>
      </c>
      <c r="F80" s="97">
        <v>3</v>
      </c>
      <c r="G80" s="97">
        <v>5</v>
      </c>
      <c r="H80" s="97">
        <v>6</v>
      </c>
    </row>
    <row r="81" spans="1:8" x14ac:dyDescent="0.3">
      <c r="A81" s="96" t="s">
        <v>1389</v>
      </c>
      <c r="B81" s="96" t="s">
        <v>1388</v>
      </c>
      <c r="C81" s="96" t="s">
        <v>1387</v>
      </c>
      <c r="D81" s="97">
        <v>4.5999999999999996</v>
      </c>
      <c r="E81" s="97">
        <v>3.7</v>
      </c>
      <c r="F81" s="97">
        <v>3</v>
      </c>
      <c r="G81" s="97">
        <v>4</v>
      </c>
      <c r="H81" s="97">
        <v>7</v>
      </c>
    </row>
    <row r="82" spans="1:8" x14ac:dyDescent="0.3">
      <c r="A82" s="96" t="s">
        <v>1386</v>
      </c>
      <c r="B82" s="96" t="s">
        <v>1385</v>
      </c>
      <c r="C82" s="96" t="s">
        <v>1384</v>
      </c>
      <c r="D82" s="97">
        <v>3.9</v>
      </c>
      <c r="E82" s="97">
        <v>1.3</v>
      </c>
      <c r="F82" s="97">
        <v>3</v>
      </c>
      <c r="G82" s="97">
        <v>4</v>
      </c>
      <c r="H82" s="97">
        <v>5</v>
      </c>
    </row>
    <row r="83" spans="1:8" x14ac:dyDescent="0.3">
      <c r="A83" s="96" t="s">
        <v>1383</v>
      </c>
      <c r="B83" s="96" t="s">
        <v>1382</v>
      </c>
      <c r="C83" s="96" t="s">
        <v>1381</v>
      </c>
      <c r="D83" s="97">
        <v>4.5</v>
      </c>
      <c r="E83" s="97">
        <v>2.7</v>
      </c>
      <c r="F83" s="97">
        <v>3</v>
      </c>
      <c r="G83" s="97">
        <v>4</v>
      </c>
      <c r="H83" s="97">
        <v>7</v>
      </c>
    </row>
    <row r="84" spans="1:8" x14ac:dyDescent="0.3">
      <c r="A84" s="96" t="s">
        <v>1380</v>
      </c>
      <c r="B84" s="96" t="s">
        <v>1379</v>
      </c>
      <c r="C84" s="96" t="s">
        <v>1378</v>
      </c>
      <c r="D84" s="97">
        <v>5</v>
      </c>
      <c r="E84" s="97">
        <v>1.9</v>
      </c>
      <c r="F84" s="97">
        <v>4</v>
      </c>
      <c r="G84" s="97">
        <v>5</v>
      </c>
      <c r="H84" s="97">
        <v>7</v>
      </c>
    </row>
    <row r="85" spans="1:8" x14ac:dyDescent="0.3">
      <c r="A85" s="96" t="s">
        <v>1377</v>
      </c>
      <c r="B85" s="96" t="s">
        <v>1376</v>
      </c>
      <c r="C85" s="96" t="s">
        <v>1375</v>
      </c>
      <c r="D85" s="97">
        <v>4.0999999999999996</v>
      </c>
      <c r="E85" s="97">
        <v>3.1</v>
      </c>
      <c r="F85" s="97">
        <v>3</v>
      </c>
      <c r="G85" s="97">
        <v>4</v>
      </c>
      <c r="H85" s="97">
        <v>5</v>
      </c>
    </row>
    <row r="86" spans="1:8" x14ac:dyDescent="0.3">
      <c r="A86" s="96" t="s">
        <v>1374</v>
      </c>
      <c r="B86" s="96" t="s">
        <v>1373</v>
      </c>
      <c r="C86" s="96" t="s">
        <v>1372</v>
      </c>
      <c r="D86" s="97">
        <v>4.0999999999999996</v>
      </c>
      <c r="E86" s="97">
        <v>2.5</v>
      </c>
      <c r="F86" s="97">
        <v>3</v>
      </c>
      <c r="G86" s="97">
        <v>4</v>
      </c>
      <c r="H86" s="97">
        <v>6</v>
      </c>
    </row>
    <row r="87" spans="1:8" x14ac:dyDescent="0.3">
      <c r="A87" s="96" t="s">
        <v>1371</v>
      </c>
      <c r="B87" s="96" t="s">
        <v>1370</v>
      </c>
      <c r="C87" s="96" t="s">
        <v>1369</v>
      </c>
      <c r="D87" s="97">
        <v>4.0999999999999996</v>
      </c>
      <c r="E87" s="97">
        <v>1.7</v>
      </c>
      <c r="F87" s="97">
        <v>2</v>
      </c>
      <c r="G87" s="97">
        <v>3</v>
      </c>
      <c r="H87" s="97">
        <v>7</v>
      </c>
    </row>
    <row r="88" spans="1:8" x14ac:dyDescent="0.3">
      <c r="A88" s="96" t="s">
        <v>1368</v>
      </c>
      <c r="B88" s="96" t="s">
        <v>1367</v>
      </c>
      <c r="C88" s="96" t="s">
        <v>1366</v>
      </c>
      <c r="D88" s="97">
        <v>4.5999999999999996</v>
      </c>
      <c r="E88" s="97">
        <v>1.9</v>
      </c>
      <c r="F88" s="97">
        <v>3</v>
      </c>
      <c r="G88" s="97">
        <v>4</v>
      </c>
      <c r="H88" s="97">
        <v>7</v>
      </c>
    </row>
    <row r="89" spans="1:8" x14ac:dyDescent="0.3">
      <c r="A89" s="96" t="s">
        <v>1365</v>
      </c>
      <c r="B89" s="96" t="s">
        <v>1364</v>
      </c>
      <c r="C89" s="96" t="s">
        <v>1363</v>
      </c>
      <c r="D89" s="97">
        <v>6.3</v>
      </c>
      <c r="E89" s="97">
        <v>3.8</v>
      </c>
      <c r="F89" s="97">
        <v>3</v>
      </c>
      <c r="G89" s="97">
        <v>5</v>
      </c>
      <c r="H89" s="97">
        <v>10</v>
      </c>
    </row>
    <row r="90" spans="1:8" x14ac:dyDescent="0.3">
      <c r="A90" s="96" t="s">
        <v>1362</v>
      </c>
      <c r="B90" s="96" t="s">
        <v>1361</v>
      </c>
      <c r="C90" s="96" t="s">
        <v>1360</v>
      </c>
      <c r="D90" s="97">
        <v>4.5</v>
      </c>
      <c r="E90" s="97">
        <v>3.3</v>
      </c>
      <c r="F90" s="97">
        <v>3</v>
      </c>
      <c r="G90" s="97">
        <v>4</v>
      </c>
      <c r="H90" s="97">
        <v>7</v>
      </c>
    </row>
    <row r="91" spans="1:8" x14ac:dyDescent="0.3">
      <c r="A91" s="96" t="s">
        <v>1359</v>
      </c>
      <c r="B91" s="96" t="s">
        <v>1358</v>
      </c>
      <c r="C91" s="96" t="s">
        <v>1357</v>
      </c>
      <c r="D91" s="97">
        <v>3.9</v>
      </c>
      <c r="E91" s="97">
        <v>1.5</v>
      </c>
      <c r="F91" s="97">
        <v>2</v>
      </c>
      <c r="G91" s="97">
        <v>3</v>
      </c>
      <c r="H91" s="97">
        <v>6</v>
      </c>
    </row>
    <row r="92" spans="1:8" x14ac:dyDescent="0.3">
      <c r="A92" s="96" t="s">
        <v>1356</v>
      </c>
      <c r="B92" s="96" t="s">
        <v>1355</v>
      </c>
      <c r="C92" s="96" t="s">
        <v>1354</v>
      </c>
      <c r="D92" s="97">
        <v>7.3</v>
      </c>
      <c r="E92" s="97">
        <v>3.8</v>
      </c>
      <c r="F92" s="97">
        <v>4</v>
      </c>
      <c r="G92" s="97">
        <v>7</v>
      </c>
      <c r="H92" s="97">
        <v>10</v>
      </c>
    </row>
    <row r="93" spans="1:8" x14ac:dyDescent="0.3">
      <c r="A93" s="96" t="s">
        <v>1353</v>
      </c>
      <c r="B93" s="96" t="s">
        <v>1352</v>
      </c>
      <c r="C93" s="96" t="s">
        <v>1351</v>
      </c>
      <c r="D93" s="97">
        <v>4.4000000000000004</v>
      </c>
      <c r="E93" s="97">
        <v>1.8</v>
      </c>
      <c r="F93" s="97">
        <v>3</v>
      </c>
      <c r="G93" s="97">
        <v>4</v>
      </c>
      <c r="H93" s="97">
        <v>7</v>
      </c>
    </row>
    <row r="94" spans="1:8" x14ac:dyDescent="0.3">
      <c r="A94" s="96" t="s">
        <v>1350</v>
      </c>
      <c r="B94" s="96" t="s">
        <v>1349</v>
      </c>
      <c r="C94" s="96" t="s">
        <v>1348</v>
      </c>
      <c r="D94" s="97">
        <v>8.6999999999999993</v>
      </c>
      <c r="E94" s="97">
        <v>4.5999999999999996</v>
      </c>
      <c r="F94" s="97">
        <v>3</v>
      </c>
      <c r="G94" s="97">
        <v>8</v>
      </c>
      <c r="H94" s="97">
        <v>15</v>
      </c>
    </row>
    <row r="95" spans="1:8" x14ac:dyDescent="0.3">
      <c r="A95" s="96" t="s">
        <v>1347</v>
      </c>
      <c r="B95" s="96" t="s">
        <v>1346</v>
      </c>
      <c r="C95" s="96" t="s">
        <v>1345</v>
      </c>
      <c r="D95" s="97">
        <v>5.5</v>
      </c>
      <c r="E95" s="97">
        <v>3.9</v>
      </c>
      <c r="F95" s="97">
        <v>3</v>
      </c>
      <c r="G95" s="97">
        <v>5</v>
      </c>
      <c r="H95" s="97">
        <v>7</v>
      </c>
    </row>
    <row r="96" spans="1:8" x14ac:dyDescent="0.3">
      <c r="A96" s="96" t="s">
        <v>1344</v>
      </c>
      <c r="B96" s="96" t="s">
        <v>1343</v>
      </c>
      <c r="C96" s="96" t="s">
        <v>1342</v>
      </c>
      <c r="D96" s="97">
        <v>5.8</v>
      </c>
      <c r="E96" s="97">
        <v>3.2</v>
      </c>
      <c r="F96" s="97">
        <v>3</v>
      </c>
      <c r="G96" s="97">
        <v>6</v>
      </c>
      <c r="H96" s="97">
        <v>9</v>
      </c>
    </row>
    <row r="97" spans="1:8" x14ac:dyDescent="0.3">
      <c r="A97" s="96" t="s">
        <v>1341</v>
      </c>
      <c r="B97" s="96" t="s">
        <v>1340</v>
      </c>
      <c r="C97" s="96" t="s">
        <v>1339</v>
      </c>
      <c r="D97" s="97">
        <v>4</v>
      </c>
      <c r="E97" s="97">
        <v>1.8</v>
      </c>
      <c r="F97" s="97">
        <v>3</v>
      </c>
      <c r="G97" s="97">
        <v>4</v>
      </c>
      <c r="H97" s="97">
        <v>5</v>
      </c>
    </row>
    <row r="98" spans="1:8" x14ac:dyDescent="0.3">
      <c r="A98" s="96" t="s">
        <v>1338</v>
      </c>
      <c r="B98" s="96" t="s">
        <v>1337</v>
      </c>
      <c r="C98" s="96" t="s">
        <v>1336</v>
      </c>
      <c r="D98" s="97">
        <v>4.0999999999999996</v>
      </c>
      <c r="E98" s="97">
        <v>3.5</v>
      </c>
      <c r="F98" s="97">
        <v>2</v>
      </c>
      <c r="G98" s="97">
        <v>4</v>
      </c>
      <c r="H98" s="97">
        <v>6</v>
      </c>
    </row>
    <row r="99" spans="1:8" x14ac:dyDescent="0.3">
      <c r="A99" s="96" t="s">
        <v>1335</v>
      </c>
      <c r="B99" s="96" t="s">
        <v>1334</v>
      </c>
      <c r="C99" s="96" t="s">
        <v>1333</v>
      </c>
      <c r="D99" s="97">
        <v>8.1</v>
      </c>
      <c r="E99" s="97">
        <v>4.5999999999999996</v>
      </c>
      <c r="F99" s="97">
        <v>5</v>
      </c>
      <c r="G99" s="97">
        <v>7</v>
      </c>
      <c r="H99" s="97">
        <v>11</v>
      </c>
    </row>
    <row r="100" spans="1:8" x14ac:dyDescent="0.3">
      <c r="A100" s="96" t="s">
        <v>1332</v>
      </c>
      <c r="B100" s="96" t="s">
        <v>1331</v>
      </c>
      <c r="C100" s="96" t="s">
        <v>1330</v>
      </c>
      <c r="D100" s="97">
        <v>5.6</v>
      </c>
      <c r="E100" s="97">
        <v>4.2</v>
      </c>
      <c r="F100" s="97">
        <v>3</v>
      </c>
      <c r="G100" s="97">
        <v>5</v>
      </c>
      <c r="H100" s="97">
        <v>7</v>
      </c>
    </row>
    <row r="101" spans="1:8" x14ac:dyDescent="0.3">
      <c r="A101" s="96" t="s">
        <v>1329</v>
      </c>
      <c r="B101" s="96" t="s">
        <v>1328</v>
      </c>
      <c r="C101" s="96" t="s">
        <v>1327</v>
      </c>
      <c r="D101" s="97">
        <v>3.8</v>
      </c>
      <c r="E101" s="97">
        <v>4.3</v>
      </c>
      <c r="F101" s="97">
        <v>2</v>
      </c>
      <c r="G101" s="97">
        <v>3</v>
      </c>
      <c r="H101" s="97">
        <v>5</v>
      </c>
    </row>
    <row r="102" spans="1:8" x14ac:dyDescent="0.3">
      <c r="A102" s="96" t="s">
        <v>1326</v>
      </c>
      <c r="B102" s="96" t="s">
        <v>1325</v>
      </c>
      <c r="C102" s="96" t="s">
        <v>1324</v>
      </c>
      <c r="D102" s="97">
        <v>4.7</v>
      </c>
      <c r="E102" s="97">
        <v>3.3</v>
      </c>
      <c r="F102" s="97">
        <v>3</v>
      </c>
      <c r="G102" s="97">
        <v>4</v>
      </c>
      <c r="H102" s="97">
        <v>7</v>
      </c>
    </row>
    <row r="103" spans="1:8" x14ac:dyDescent="0.3">
      <c r="A103" s="96" t="s">
        <v>1323</v>
      </c>
      <c r="B103" s="96" t="s">
        <v>1322</v>
      </c>
      <c r="C103" s="96" t="s">
        <v>1321</v>
      </c>
      <c r="D103" s="97">
        <v>4.3</v>
      </c>
      <c r="E103" s="97">
        <v>3</v>
      </c>
      <c r="F103" s="97">
        <v>3</v>
      </c>
      <c r="G103" s="97">
        <v>4</v>
      </c>
      <c r="H103" s="97">
        <v>6</v>
      </c>
    </row>
    <row r="104" spans="1:8" x14ac:dyDescent="0.3">
      <c r="A104" s="96" t="s">
        <v>1320</v>
      </c>
      <c r="B104" s="96" t="s">
        <v>1319</v>
      </c>
      <c r="C104" s="96" t="s">
        <v>1318</v>
      </c>
      <c r="D104" s="97">
        <v>4.5999999999999996</v>
      </c>
      <c r="E104" s="97">
        <v>3.1</v>
      </c>
      <c r="F104" s="97">
        <v>3</v>
      </c>
      <c r="G104" s="97">
        <v>4</v>
      </c>
      <c r="H104" s="97">
        <v>6</v>
      </c>
    </row>
    <row r="105" spans="1:8" x14ac:dyDescent="0.3">
      <c r="A105" s="96" t="s">
        <v>1317</v>
      </c>
      <c r="B105" s="96" t="s">
        <v>5</v>
      </c>
      <c r="C105" s="96" t="s">
        <v>1316</v>
      </c>
      <c r="D105" s="97">
        <v>6.4</v>
      </c>
      <c r="E105" s="97">
        <v>2.9</v>
      </c>
      <c r="F105" s="97">
        <v>4</v>
      </c>
      <c r="G105" s="97">
        <v>6</v>
      </c>
      <c r="H105" s="97">
        <v>9</v>
      </c>
    </row>
    <row r="106" spans="1:8" x14ac:dyDescent="0.3">
      <c r="A106" s="96" t="s">
        <v>1315</v>
      </c>
      <c r="B106" s="96" t="s">
        <v>1314</v>
      </c>
      <c r="C106" s="96" t="s">
        <v>1939</v>
      </c>
      <c r="D106" s="97">
        <v>3.9</v>
      </c>
      <c r="E106" s="97">
        <v>1.3</v>
      </c>
      <c r="F106" s="97">
        <v>2</v>
      </c>
      <c r="G106" s="97">
        <v>4</v>
      </c>
      <c r="H106" s="97">
        <v>5</v>
      </c>
    </row>
    <row r="107" spans="1:8" x14ac:dyDescent="0.3">
      <c r="A107" s="96" t="s">
        <v>1313</v>
      </c>
      <c r="B107" s="96" t="s">
        <v>1312</v>
      </c>
      <c r="C107" s="96" t="s">
        <v>1311</v>
      </c>
      <c r="D107" s="97">
        <v>4.7</v>
      </c>
      <c r="E107" s="97">
        <v>1.4</v>
      </c>
      <c r="F107" s="97">
        <v>3</v>
      </c>
      <c r="G107" s="97">
        <v>5</v>
      </c>
      <c r="H107" s="97">
        <v>6</v>
      </c>
    </row>
    <row r="108" spans="1:8" x14ac:dyDescent="0.3">
      <c r="A108" s="96" t="s">
        <v>1310</v>
      </c>
      <c r="B108" s="96" t="s">
        <v>1309</v>
      </c>
      <c r="C108" s="96" t="s">
        <v>1308</v>
      </c>
      <c r="D108" s="97">
        <v>4.7</v>
      </c>
      <c r="E108" s="97">
        <v>1.9</v>
      </c>
      <c r="F108" s="97">
        <v>3</v>
      </c>
      <c r="G108" s="97">
        <v>5</v>
      </c>
      <c r="H108" s="97">
        <v>6</v>
      </c>
    </row>
    <row r="109" spans="1:8" x14ac:dyDescent="0.3">
      <c r="A109" s="96" t="s">
        <v>1307</v>
      </c>
      <c r="B109" s="96" t="s">
        <v>1306</v>
      </c>
      <c r="C109" s="96" t="s">
        <v>1305</v>
      </c>
      <c r="D109" s="97">
        <v>2.9</v>
      </c>
      <c r="E109" s="97">
        <v>1.1000000000000001</v>
      </c>
      <c r="F109" s="97">
        <v>2</v>
      </c>
      <c r="G109" s="97">
        <v>3</v>
      </c>
      <c r="H109" s="97">
        <v>4</v>
      </c>
    </row>
    <row r="110" spans="1:8" x14ac:dyDescent="0.3">
      <c r="A110" s="96" t="s">
        <v>1304</v>
      </c>
      <c r="B110" s="96" t="s">
        <v>1303</v>
      </c>
      <c r="C110" s="96" t="s">
        <v>1302</v>
      </c>
      <c r="D110" s="97">
        <v>3</v>
      </c>
      <c r="E110" s="97">
        <v>0.6</v>
      </c>
      <c r="F110" s="97">
        <v>2</v>
      </c>
      <c r="G110" s="97">
        <v>3</v>
      </c>
      <c r="H110" s="97">
        <v>4</v>
      </c>
    </row>
    <row r="111" spans="1:8" x14ac:dyDescent="0.3">
      <c r="A111" s="96" t="s">
        <v>1301</v>
      </c>
      <c r="B111" s="96" t="s">
        <v>1300</v>
      </c>
      <c r="C111" s="96" t="s">
        <v>1299</v>
      </c>
      <c r="D111" s="97">
        <v>3.2</v>
      </c>
      <c r="E111" s="97">
        <v>1.2</v>
      </c>
      <c r="F111" s="97">
        <v>2</v>
      </c>
      <c r="G111" s="97">
        <v>3</v>
      </c>
      <c r="H111" s="97">
        <v>5</v>
      </c>
    </row>
    <row r="112" spans="1:8" x14ac:dyDescent="0.3">
      <c r="A112" s="96" t="s">
        <v>1298</v>
      </c>
      <c r="B112" s="96" t="s">
        <v>1297</v>
      </c>
      <c r="C112" s="96" t="s">
        <v>1296</v>
      </c>
      <c r="D112" s="97">
        <v>1.9</v>
      </c>
      <c r="E112" s="97">
        <v>0.4</v>
      </c>
      <c r="F112" s="97">
        <v>1</v>
      </c>
      <c r="G112" s="97">
        <v>2</v>
      </c>
      <c r="H112" s="97">
        <v>2</v>
      </c>
    </row>
    <row r="113" spans="1:8" x14ac:dyDescent="0.3">
      <c r="A113" s="96" t="s">
        <v>1295</v>
      </c>
      <c r="B113" s="96" t="s">
        <v>1294</v>
      </c>
      <c r="C113" s="96" t="s">
        <v>1293</v>
      </c>
      <c r="D113" s="97">
        <v>2.1</v>
      </c>
      <c r="E113" s="97">
        <v>0.8</v>
      </c>
      <c r="F113" s="97">
        <v>1</v>
      </c>
      <c r="G113" s="97">
        <v>2</v>
      </c>
      <c r="H113" s="97">
        <v>3</v>
      </c>
    </row>
    <row r="114" spans="1:8" x14ac:dyDescent="0.3">
      <c r="A114" s="96" t="s">
        <v>1292</v>
      </c>
      <c r="B114" s="96" t="s">
        <v>1291</v>
      </c>
      <c r="C114" s="96" t="s">
        <v>1290</v>
      </c>
      <c r="D114" s="97">
        <v>2.7</v>
      </c>
      <c r="E114" s="97">
        <v>1.4</v>
      </c>
      <c r="F114" s="97">
        <v>2</v>
      </c>
      <c r="G114" s="97">
        <v>2</v>
      </c>
      <c r="H114" s="97">
        <v>4</v>
      </c>
    </row>
    <row r="115" spans="1:8" x14ac:dyDescent="0.3">
      <c r="A115" s="96" t="s">
        <v>1289</v>
      </c>
      <c r="B115" s="96" t="s">
        <v>1288</v>
      </c>
      <c r="C115" s="96" t="s">
        <v>1287</v>
      </c>
      <c r="D115" s="97">
        <v>3.5</v>
      </c>
      <c r="E115" s="97">
        <v>1.4</v>
      </c>
      <c r="F115" s="97">
        <v>2</v>
      </c>
      <c r="G115" s="97">
        <v>3</v>
      </c>
      <c r="H115" s="97">
        <v>5</v>
      </c>
    </row>
    <row r="116" spans="1:8" x14ac:dyDescent="0.3">
      <c r="A116" s="96" t="s">
        <v>1286</v>
      </c>
      <c r="B116" s="96" t="s">
        <v>1285</v>
      </c>
      <c r="C116" s="96" t="s">
        <v>1284</v>
      </c>
      <c r="D116" s="97">
        <v>2</v>
      </c>
      <c r="E116" s="97">
        <v>0.7</v>
      </c>
      <c r="F116" s="97">
        <v>1</v>
      </c>
      <c r="G116" s="97">
        <v>2</v>
      </c>
      <c r="H116" s="97">
        <v>3</v>
      </c>
    </row>
    <row r="117" spans="1:8" x14ac:dyDescent="0.3">
      <c r="A117" s="96" t="s">
        <v>1283</v>
      </c>
      <c r="B117" s="96" t="s">
        <v>1282</v>
      </c>
      <c r="C117" s="96" t="s">
        <v>1281</v>
      </c>
      <c r="D117" s="97">
        <v>1.9</v>
      </c>
      <c r="E117" s="97">
        <v>0.6</v>
      </c>
      <c r="F117" s="97">
        <v>1</v>
      </c>
      <c r="G117" s="97">
        <v>2</v>
      </c>
      <c r="H117" s="97">
        <v>3</v>
      </c>
    </row>
    <row r="118" spans="1:8" x14ac:dyDescent="0.3">
      <c r="A118" s="96" t="s">
        <v>1280</v>
      </c>
      <c r="B118" s="96" t="s">
        <v>1279</v>
      </c>
      <c r="C118" s="96" t="s">
        <v>1278</v>
      </c>
      <c r="D118" s="97">
        <v>3.4</v>
      </c>
      <c r="E118" s="97">
        <v>0.9</v>
      </c>
      <c r="F118" s="97">
        <v>2</v>
      </c>
      <c r="G118" s="97">
        <v>3</v>
      </c>
      <c r="H118" s="97">
        <v>4</v>
      </c>
    </row>
    <row r="119" spans="1:8" x14ac:dyDescent="0.3">
      <c r="A119" s="96" t="s">
        <v>1277</v>
      </c>
      <c r="B119" s="96" t="s">
        <v>1276</v>
      </c>
      <c r="C119" s="96" t="s">
        <v>1275</v>
      </c>
      <c r="D119" s="97">
        <v>3.7</v>
      </c>
      <c r="E119" s="97">
        <v>0.9</v>
      </c>
      <c r="F119" s="97">
        <v>3</v>
      </c>
      <c r="G119" s="97">
        <v>4</v>
      </c>
      <c r="H119" s="97">
        <v>5</v>
      </c>
    </row>
    <row r="120" spans="1:8" x14ac:dyDescent="0.3">
      <c r="A120" s="96" t="s">
        <v>1274</v>
      </c>
      <c r="B120" s="96" t="s">
        <v>1273</v>
      </c>
      <c r="C120" s="96" t="s">
        <v>1272</v>
      </c>
      <c r="D120" s="97">
        <v>3.5</v>
      </c>
      <c r="E120" s="97">
        <v>1.4</v>
      </c>
      <c r="F120" s="97">
        <v>2</v>
      </c>
      <c r="G120" s="97">
        <v>3</v>
      </c>
      <c r="H120" s="97">
        <v>5</v>
      </c>
    </row>
    <row r="121" spans="1:8" x14ac:dyDescent="0.3">
      <c r="A121" s="96" t="s">
        <v>1271</v>
      </c>
      <c r="B121" s="96" t="s">
        <v>1270</v>
      </c>
      <c r="C121" s="96" t="s">
        <v>1269</v>
      </c>
      <c r="D121" s="97">
        <v>2.1</v>
      </c>
      <c r="E121" s="97">
        <v>0.7</v>
      </c>
      <c r="F121" s="97">
        <v>1</v>
      </c>
      <c r="G121" s="97">
        <v>2</v>
      </c>
      <c r="H121" s="97">
        <v>3</v>
      </c>
    </row>
    <row r="122" spans="1:8" x14ac:dyDescent="0.3">
      <c r="A122" s="96" t="s">
        <v>1268</v>
      </c>
      <c r="B122" s="96" t="s">
        <v>1267</v>
      </c>
      <c r="C122" s="96" t="s">
        <v>1266</v>
      </c>
      <c r="D122" s="97">
        <v>4.9000000000000004</v>
      </c>
      <c r="E122" s="97">
        <v>2.1</v>
      </c>
      <c r="F122" s="97">
        <v>3</v>
      </c>
      <c r="G122" s="97">
        <v>4</v>
      </c>
      <c r="H122" s="97">
        <v>7</v>
      </c>
    </row>
    <row r="123" spans="1:8" x14ac:dyDescent="0.3">
      <c r="A123" s="96" t="s">
        <v>1265</v>
      </c>
      <c r="B123" s="96" t="s">
        <v>1264</v>
      </c>
      <c r="C123" s="96" t="s">
        <v>1263</v>
      </c>
      <c r="D123" s="97">
        <v>3</v>
      </c>
      <c r="E123" s="97">
        <v>1.4</v>
      </c>
      <c r="F123" s="97">
        <v>1</v>
      </c>
      <c r="G123" s="97">
        <v>3</v>
      </c>
      <c r="H123" s="97">
        <v>5</v>
      </c>
    </row>
    <row r="124" spans="1:8" x14ac:dyDescent="0.3">
      <c r="A124" s="96" t="s">
        <v>1262</v>
      </c>
      <c r="B124" s="96" t="s">
        <v>1261</v>
      </c>
      <c r="C124" s="96" t="s">
        <v>1260</v>
      </c>
      <c r="D124" s="97">
        <v>2.7</v>
      </c>
      <c r="E124" s="97">
        <v>0.7</v>
      </c>
      <c r="F124" s="97">
        <v>2</v>
      </c>
      <c r="G124" s="97">
        <v>3</v>
      </c>
      <c r="H124" s="97">
        <v>3</v>
      </c>
    </row>
    <row r="125" spans="1:8" x14ac:dyDescent="0.3">
      <c r="A125" s="96" t="s">
        <v>1259</v>
      </c>
      <c r="B125" s="96" t="s">
        <v>1258</v>
      </c>
      <c r="C125" s="96" t="s">
        <v>1257</v>
      </c>
      <c r="D125" s="97">
        <v>2</v>
      </c>
      <c r="E125" s="97">
        <v>0.3</v>
      </c>
      <c r="F125" s="97">
        <v>2</v>
      </c>
      <c r="G125" s="97">
        <v>2</v>
      </c>
      <c r="H125" s="97">
        <v>2</v>
      </c>
    </row>
    <row r="126" spans="1:8" x14ac:dyDescent="0.3">
      <c r="A126" s="96" t="s">
        <v>1256</v>
      </c>
      <c r="B126" s="96" t="s">
        <v>1255</v>
      </c>
      <c r="C126" s="96" t="s">
        <v>1254</v>
      </c>
      <c r="D126" s="97">
        <v>3</v>
      </c>
      <c r="E126" s="97">
        <v>1</v>
      </c>
      <c r="F126" s="97">
        <v>2</v>
      </c>
      <c r="G126" s="97">
        <v>3</v>
      </c>
      <c r="H126" s="97">
        <v>4</v>
      </c>
    </row>
    <row r="127" spans="1:8" x14ac:dyDescent="0.3">
      <c r="A127" s="96" t="s">
        <v>1253</v>
      </c>
      <c r="B127" s="96" t="s">
        <v>1252</v>
      </c>
      <c r="C127" s="96" t="s">
        <v>1251</v>
      </c>
      <c r="D127" s="97">
        <v>3.1</v>
      </c>
      <c r="E127" s="97">
        <v>0.7</v>
      </c>
      <c r="F127" s="97">
        <v>2</v>
      </c>
      <c r="G127" s="97">
        <v>3</v>
      </c>
      <c r="H127" s="97">
        <v>4</v>
      </c>
    </row>
    <row r="128" spans="1:8" x14ac:dyDescent="0.3">
      <c r="A128" s="96" t="s">
        <v>1250</v>
      </c>
      <c r="B128" s="96" t="s">
        <v>1249</v>
      </c>
      <c r="C128" s="96" t="s">
        <v>1248</v>
      </c>
      <c r="D128" s="97">
        <v>3.2</v>
      </c>
      <c r="E128" s="97">
        <v>2.6</v>
      </c>
      <c r="F128" s="97">
        <v>1</v>
      </c>
      <c r="G128" s="97">
        <v>3</v>
      </c>
      <c r="H128" s="97">
        <v>5</v>
      </c>
    </row>
    <row r="129" spans="1:8" x14ac:dyDescent="0.3">
      <c r="A129" s="96" t="s">
        <v>1247</v>
      </c>
      <c r="B129" s="96" t="s">
        <v>1246</v>
      </c>
      <c r="C129" s="96" t="s">
        <v>1245</v>
      </c>
      <c r="D129" s="97">
        <v>2</v>
      </c>
      <c r="E129" s="97">
        <v>0.3</v>
      </c>
      <c r="F129" s="97">
        <v>2</v>
      </c>
      <c r="G129" s="97">
        <v>2</v>
      </c>
      <c r="H129" s="97">
        <v>2</v>
      </c>
    </row>
    <row r="130" spans="1:8" x14ac:dyDescent="0.3">
      <c r="A130" s="96" t="s">
        <v>1244</v>
      </c>
      <c r="B130" s="96" t="s">
        <v>1243</v>
      </c>
      <c r="C130" s="96" t="s">
        <v>1242</v>
      </c>
      <c r="D130" s="97">
        <v>1.9</v>
      </c>
      <c r="E130" s="97">
        <v>0.5</v>
      </c>
      <c r="F130" s="97">
        <v>1</v>
      </c>
      <c r="G130" s="97">
        <v>2</v>
      </c>
      <c r="H130" s="97">
        <v>2</v>
      </c>
    </row>
    <row r="131" spans="1:8" x14ac:dyDescent="0.3">
      <c r="A131" s="96" t="s">
        <v>1241</v>
      </c>
      <c r="B131" s="96" t="s">
        <v>1240</v>
      </c>
      <c r="C131" s="96" t="s">
        <v>1239</v>
      </c>
      <c r="D131" s="97">
        <v>2.7</v>
      </c>
      <c r="E131" s="97">
        <v>0.9</v>
      </c>
      <c r="F131" s="97">
        <v>2</v>
      </c>
      <c r="G131" s="97">
        <v>3</v>
      </c>
      <c r="H131" s="97">
        <v>4</v>
      </c>
    </row>
    <row r="132" spans="1:8" x14ac:dyDescent="0.3">
      <c r="A132" s="96" t="s">
        <v>1238</v>
      </c>
      <c r="B132" s="96" t="s">
        <v>1237</v>
      </c>
      <c r="C132" s="96" t="s">
        <v>1236</v>
      </c>
      <c r="D132" s="97">
        <v>1.9</v>
      </c>
      <c r="E132" s="97">
        <v>0.5</v>
      </c>
      <c r="F132" s="97">
        <v>1</v>
      </c>
      <c r="G132" s="97">
        <v>2</v>
      </c>
      <c r="H132" s="97">
        <v>2</v>
      </c>
    </row>
    <row r="133" spans="1:8" x14ac:dyDescent="0.3">
      <c r="A133" s="96" t="s">
        <v>1235</v>
      </c>
      <c r="B133" s="96" t="s">
        <v>1234</v>
      </c>
      <c r="C133" s="96" t="s">
        <v>1233</v>
      </c>
      <c r="D133" s="97">
        <v>2.8</v>
      </c>
      <c r="E133" s="97">
        <v>0.5</v>
      </c>
      <c r="F133" s="97">
        <v>2</v>
      </c>
      <c r="G133" s="97">
        <v>3</v>
      </c>
      <c r="H133" s="97">
        <v>3</v>
      </c>
    </row>
    <row r="134" spans="1:8" x14ac:dyDescent="0.3">
      <c r="A134" s="96" t="s">
        <v>1232</v>
      </c>
      <c r="B134" s="96" t="s">
        <v>1231</v>
      </c>
      <c r="C134" s="96" t="s">
        <v>1230</v>
      </c>
      <c r="D134" s="97">
        <v>1.7</v>
      </c>
      <c r="E134" s="97">
        <v>0.6</v>
      </c>
      <c r="F134" s="97">
        <v>1</v>
      </c>
      <c r="G134" s="97">
        <v>2</v>
      </c>
      <c r="H134" s="97">
        <v>2</v>
      </c>
    </row>
    <row r="135" spans="1:8" x14ac:dyDescent="0.3">
      <c r="A135" s="96" t="s">
        <v>1229</v>
      </c>
      <c r="B135" s="96" t="s">
        <v>1228</v>
      </c>
      <c r="C135" s="96" t="s">
        <v>1227</v>
      </c>
      <c r="D135" s="97">
        <v>2</v>
      </c>
      <c r="E135" s="97">
        <v>0.3</v>
      </c>
      <c r="F135" s="97">
        <v>2</v>
      </c>
      <c r="G135" s="97">
        <v>2</v>
      </c>
      <c r="H135" s="97">
        <v>2</v>
      </c>
    </row>
    <row r="136" spans="1:8" x14ac:dyDescent="0.3">
      <c r="A136" s="96" t="s">
        <v>1226</v>
      </c>
      <c r="B136" s="96" t="s">
        <v>1225</v>
      </c>
      <c r="C136" s="96" t="s">
        <v>1224</v>
      </c>
      <c r="D136" s="97">
        <v>2</v>
      </c>
      <c r="E136" s="97">
        <v>0.4</v>
      </c>
      <c r="F136" s="97">
        <v>2</v>
      </c>
      <c r="G136" s="97">
        <v>2</v>
      </c>
      <c r="H136" s="97">
        <v>2</v>
      </c>
    </row>
    <row r="137" spans="1:8" x14ac:dyDescent="0.3">
      <c r="A137" s="96" t="s">
        <v>1223</v>
      </c>
      <c r="B137" s="96" t="s">
        <v>1222</v>
      </c>
      <c r="C137" s="96" t="s">
        <v>1221</v>
      </c>
      <c r="D137" s="97">
        <v>1.7</v>
      </c>
      <c r="E137" s="97">
        <v>0.7</v>
      </c>
      <c r="F137" s="97">
        <v>1</v>
      </c>
      <c r="G137" s="97">
        <v>2</v>
      </c>
      <c r="H137" s="97">
        <v>2</v>
      </c>
    </row>
    <row r="138" spans="1:8" x14ac:dyDescent="0.3">
      <c r="A138" s="96" t="s">
        <v>1220</v>
      </c>
      <c r="B138" s="96" t="s">
        <v>1219</v>
      </c>
      <c r="C138" s="96" t="s">
        <v>1218</v>
      </c>
      <c r="D138" s="97">
        <v>4</v>
      </c>
      <c r="E138" s="97">
        <v>1.5</v>
      </c>
      <c r="F138" s="97">
        <v>2</v>
      </c>
      <c r="G138" s="97">
        <v>4</v>
      </c>
      <c r="H138" s="97">
        <v>5</v>
      </c>
    </row>
    <row r="139" spans="1:8" x14ac:dyDescent="0.3">
      <c r="A139" s="96" t="s">
        <v>1217</v>
      </c>
      <c r="B139" s="96" t="s">
        <v>1216</v>
      </c>
      <c r="C139" s="96" t="s">
        <v>1215</v>
      </c>
      <c r="D139" s="97">
        <v>2.2999999999999998</v>
      </c>
      <c r="E139" s="97">
        <v>0.7</v>
      </c>
      <c r="F139" s="97">
        <v>2</v>
      </c>
      <c r="G139" s="97">
        <v>2</v>
      </c>
      <c r="H139" s="97">
        <v>3</v>
      </c>
    </row>
    <row r="140" spans="1:8" x14ac:dyDescent="0.3">
      <c r="A140" s="96" t="s">
        <v>1214</v>
      </c>
      <c r="B140" s="96" t="s">
        <v>1213</v>
      </c>
      <c r="C140" s="96" t="s">
        <v>1212</v>
      </c>
      <c r="D140" s="97">
        <v>2.4</v>
      </c>
      <c r="E140" s="97">
        <v>0.8</v>
      </c>
      <c r="F140" s="97">
        <v>1</v>
      </c>
      <c r="G140" s="97">
        <v>2</v>
      </c>
      <c r="H140" s="97">
        <v>3</v>
      </c>
    </row>
    <row r="141" spans="1:8" x14ac:dyDescent="0.3">
      <c r="A141" s="96" t="s">
        <v>1211</v>
      </c>
      <c r="B141" s="96" t="s">
        <v>1210</v>
      </c>
      <c r="C141" s="96" t="s">
        <v>1209</v>
      </c>
      <c r="D141" s="97">
        <v>1.8</v>
      </c>
      <c r="E141" s="97">
        <v>0.9</v>
      </c>
      <c r="F141" s="97">
        <v>1</v>
      </c>
      <c r="G141" s="97">
        <v>2</v>
      </c>
      <c r="H141" s="97">
        <v>2</v>
      </c>
    </row>
    <row r="142" spans="1:8" x14ac:dyDescent="0.3">
      <c r="A142" s="96" t="s">
        <v>1208</v>
      </c>
      <c r="B142" s="96" t="s">
        <v>1207</v>
      </c>
      <c r="C142" s="96" t="s">
        <v>1206</v>
      </c>
      <c r="D142" s="97">
        <v>1.7</v>
      </c>
      <c r="E142" s="97">
        <v>0.9</v>
      </c>
      <c r="F142" s="97">
        <v>1</v>
      </c>
      <c r="G142" s="97">
        <v>2</v>
      </c>
      <c r="H142" s="97">
        <v>3</v>
      </c>
    </row>
    <row r="143" spans="1:8" x14ac:dyDescent="0.3">
      <c r="A143" s="96" t="s">
        <v>1205</v>
      </c>
      <c r="B143" s="96" t="s">
        <v>1204</v>
      </c>
      <c r="C143" s="96" t="s">
        <v>1203</v>
      </c>
      <c r="D143" s="97">
        <v>1.6</v>
      </c>
      <c r="E143" s="97">
        <v>0.8</v>
      </c>
      <c r="F143" s="97">
        <v>1</v>
      </c>
      <c r="G143" s="97">
        <v>2</v>
      </c>
      <c r="H143" s="97">
        <v>2</v>
      </c>
    </row>
    <row r="144" spans="1:8" x14ac:dyDescent="0.3">
      <c r="A144" s="96" t="s">
        <v>1202</v>
      </c>
      <c r="B144" s="96" t="s">
        <v>1201</v>
      </c>
      <c r="C144" s="96" t="s">
        <v>1200</v>
      </c>
      <c r="D144" s="97">
        <v>1.9</v>
      </c>
      <c r="E144" s="97">
        <v>1</v>
      </c>
      <c r="F144" s="97">
        <v>1</v>
      </c>
      <c r="G144" s="97">
        <v>2</v>
      </c>
      <c r="H144" s="97">
        <v>3</v>
      </c>
    </row>
    <row r="145" spans="1:8" x14ac:dyDescent="0.3">
      <c r="A145" s="96" t="s">
        <v>1199</v>
      </c>
      <c r="B145" s="96" t="s">
        <v>1198</v>
      </c>
      <c r="C145" s="96" t="s">
        <v>1197</v>
      </c>
      <c r="D145" s="97">
        <v>2</v>
      </c>
      <c r="E145" s="97">
        <v>0.3</v>
      </c>
      <c r="F145" s="97">
        <v>2</v>
      </c>
      <c r="G145" s="97">
        <v>2</v>
      </c>
      <c r="H145" s="97">
        <v>2</v>
      </c>
    </row>
    <row r="146" spans="1:8" x14ac:dyDescent="0.3">
      <c r="A146" s="96" t="s">
        <v>1196</v>
      </c>
      <c r="B146" s="96" t="s">
        <v>1195</v>
      </c>
      <c r="C146" s="96" t="s">
        <v>1194</v>
      </c>
      <c r="D146" s="97">
        <v>3</v>
      </c>
      <c r="E146" s="97">
        <v>1.8</v>
      </c>
      <c r="F146" s="97">
        <v>1</v>
      </c>
      <c r="G146" s="97">
        <v>3</v>
      </c>
      <c r="H146" s="97">
        <v>5</v>
      </c>
    </row>
    <row r="147" spans="1:8" x14ac:dyDescent="0.3">
      <c r="A147" s="96" t="s">
        <v>1193</v>
      </c>
      <c r="B147" s="96" t="s">
        <v>1192</v>
      </c>
      <c r="C147" s="96" t="s">
        <v>1191</v>
      </c>
      <c r="D147" s="97">
        <v>4.4000000000000004</v>
      </c>
      <c r="E147" s="97">
        <v>2.8</v>
      </c>
      <c r="F147" s="97">
        <v>2</v>
      </c>
      <c r="G147" s="97">
        <v>4</v>
      </c>
      <c r="H147" s="97">
        <v>7</v>
      </c>
    </row>
    <row r="148" spans="1:8" x14ac:dyDescent="0.3">
      <c r="A148" s="96" t="s">
        <v>1190</v>
      </c>
      <c r="B148" s="96" t="s">
        <v>1189</v>
      </c>
      <c r="C148" s="96" t="s">
        <v>1188</v>
      </c>
      <c r="D148" s="97">
        <v>3.1</v>
      </c>
      <c r="E148" s="97">
        <v>1.5</v>
      </c>
      <c r="F148" s="97">
        <v>2</v>
      </c>
      <c r="G148" s="97">
        <v>3</v>
      </c>
      <c r="H148" s="97">
        <v>4</v>
      </c>
    </row>
    <row r="149" spans="1:8" x14ac:dyDescent="0.3">
      <c r="A149" s="96" t="s">
        <v>1187</v>
      </c>
      <c r="B149" s="96" t="s">
        <v>1186</v>
      </c>
      <c r="C149" s="96" t="s">
        <v>1185</v>
      </c>
      <c r="D149" s="97">
        <v>2.4</v>
      </c>
      <c r="E149" s="97">
        <v>0.6</v>
      </c>
      <c r="F149" s="97">
        <v>2</v>
      </c>
      <c r="G149" s="97">
        <v>2</v>
      </c>
      <c r="H149" s="97">
        <v>3</v>
      </c>
    </row>
    <row r="150" spans="1:8" x14ac:dyDescent="0.3">
      <c r="A150" s="96" t="s">
        <v>1184</v>
      </c>
      <c r="B150" s="96" t="s">
        <v>1183</v>
      </c>
      <c r="C150" s="96" t="s">
        <v>1182</v>
      </c>
      <c r="D150" s="97">
        <v>3.6</v>
      </c>
      <c r="E150" s="97">
        <v>1</v>
      </c>
      <c r="F150" s="97">
        <v>3</v>
      </c>
      <c r="G150" s="97">
        <v>4</v>
      </c>
      <c r="H150" s="97">
        <v>5</v>
      </c>
    </row>
    <row r="151" spans="1:8" x14ac:dyDescent="0.3">
      <c r="A151" s="96" t="s">
        <v>1181</v>
      </c>
      <c r="B151" s="96" t="s">
        <v>1180</v>
      </c>
      <c r="C151" s="96" t="s">
        <v>1179</v>
      </c>
      <c r="D151" s="97">
        <v>5.0999999999999996</v>
      </c>
      <c r="E151" s="97">
        <v>3.8</v>
      </c>
      <c r="F151" s="97">
        <v>3</v>
      </c>
      <c r="G151" s="97">
        <v>5</v>
      </c>
      <c r="H151" s="97">
        <v>7</v>
      </c>
    </row>
    <row r="152" spans="1:8" x14ac:dyDescent="0.3">
      <c r="A152" s="96" t="s">
        <v>1178</v>
      </c>
      <c r="B152" s="96" t="s">
        <v>1177</v>
      </c>
      <c r="C152" s="96" t="s">
        <v>1176</v>
      </c>
      <c r="D152" s="97">
        <v>4.5999999999999996</v>
      </c>
      <c r="E152" s="97">
        <v>2.8</v>
      </c>
      <c r="F152" s="97">
        <v>3</v>
      </c>
      <c r="G152" s="97">
        <v>4</v>
      </c>
      <c r="H152" s="97">
        <v>7</v>
      </c>
    </row>
    <row r="153" spans="1:8" x14ac:dyDescent="0.3">
      <c r="A153" s="96" t="s">
        <v>1175</v>
      </c>
      <c r="B153" s="96" t="s">
        <v>1174</v>
      </c>
      <c r="C153" s="96" t="s">
        <v>1173</v>
      </c>
      <c r="D153" s="97">
        <v>6.2</v>
      </c>
      <c r="E153" s="97">
        <v>3</v>
      </c>
      <c r="F153" s="97">
        <v>4</v>
      </c>
      <c r="G153" s="97">
        <v>6</v>
      </c>
      <c r="H153" s="97">
        <v>9</v>
      </c>
    </row>
    <row r="154" spans="1:8" x14ac:dyDescent="0.3">
      <c r="A154" s="96" t="s">
        <v>1172</v>
      </c>
      <c r="B154" s="96" t="s">
        <v>1171</v>
      </c>
      <c r="C154" s="96" t="s">
        <v>1170</v>
      </c>
      <c r="D154" s="97">
        <v>5.4</v>
      </c>
      <c r="E154" s="97">
        <v>2.9</v>
      </c>
      <c r="F154" s="97">
        <v>3</v>
      </c>
      <c r="G154" s="97">
        <v>5</v>
      </c>
      <c r="H154" s="97">
        <v>7</v>
      </c>
    </row>
    <row r="155" spans="1:8" x14ac:dyDescent="0.3">
      <c r="A155" s="96" t="s">
        <v>1169</v>
      </c>
      <c r="B155" s="96" t="s">
        <v>1168</v>
      </c>
      <c r="C155" s="96" t="s">
        <v>1167</v>
      </c>
      <c r="D155" s="97">
        <v>5.0999999999999996</v>
      </c>
      <c r="E155" s="97">
        <v>2.9</v>
      </c>
      <c r="F155" s="97">
        <v>3</v>
      </c>
      <c r="G155" s="97">
        <v>5</v>
      </c>
      <c r="H155" s="97">
        <v>7</v>
      </c>
    </row>
    <row r="156" spans="1:8" x14ac:dyDescent="0.3">
      <c r="A156" s="96" t="s">
        <v>1166</v>
      </c>
      <c r="B156" s="96" t="s">
        <v>1165</v>
      </c>
      <c r="C156" s="96" t="s">
        <v>1164</v>
      </c>
      <c r="D156" s="97">
        <v>5</v>
      </c>
      <c r="E156" s="97">
        <v>3.6</v>
      </c>
      <c r="F156" s="97">
        <v>3</v>
      </c>
      <c r="G156" s="97">
        <v>5</v>
      </c>
      <c r="H156" s="97">
        <v>6</v>
      </c>
    </row>
    <row r="157" spans="1:8" x14ac:dyDescent="0.3">
      <c r="A157" s="96" t="s">
        <v>1163</v>
      </c>
      <c r="B157" s="96" t="s">
        <v>1162</v>
      </c>
      <c r="C157" s="96" t="s">
        <v>1161</v>
      </c>
      <c r="D157" s="97">
        <v>4.5999999999999996</v>
      </c>
      <c r="E157" s="97">
        <v>3.3</v>
      </c>
      <c r="F157" s="97">
        <v>3</v>
      </c>
      <c r="G157" s="97">
        <v>4</v>
      </c>
      <c r="H157" s="97">
        <v>6</v>
      </c>
    </row>
    <row r="158" spans="1:8" x14ac:dyDescent="0.3">
      <c r="A158" s="96" t="s">
        <v>1160</v>
      </c>
      <c r="B158" s="96" t="s">
        <v>1159</v>
      </c>
      <c r="C158" s="96" t="s">
        <v>1158</v>
      </c>
      <c r="D158" s="97">
        <v>4.0999999999999996</v>
      </c>
      <c r="E158" s="97">
        <v>3.1</v>
      </c>
      <c r="F158" s="97">
        <v>3</v>
      </c>
      <c r="G158" s="97">
        <v>4</v>
      </c>
      <c r="H158" s="97">
        <v>6</v>
      </c>
    </row>
    <row r="159" spans="1:8" x14ac:dyDescent="0.3">
      <c r="A159" s="96" t="s">
        <v>1157</v>
      </c>
      <c r="B159" s="96" t="s">
        <v>1156</v>
      </c>
      <c r="C159" s="96" t="s">
        <v>1155</v>
      </c>
      <c r="D159" s="97">
        <v>4.4000000000000004</v>
      </c>
      <c r="E159" s="97">
        <v>2.9</v>
      </c>
      <c r="F159" s="97">
        <v>3</v>
      </c>
      <c r="G159" s="97">
        <v>4</v>
      </c>
      <c r="H159" s="97">
        <v>6</v>
      </c>
    </row>
    <row r="160" spans="1:8" x14ac:dyDescent="0.3">
      <c r="A160" s="96" t="s">
        <v>1154</v>
      </c>
      <c r="B160" s="96" t="s">
        <v>1153</v>
      </c>
      <c r="C160" s="96" t="s">
        <v>1152</v>
      </c>
      <c r="D160" s="97">
        <v>4.5999999999999996</v>
      </c>
      <c r="E160" s="97">
        <v>2.4</v>
      </c>
      <c r="F160" s="97">
        <v>3</v>
      </c>
      <c r="G160" s="97">
        <v>4</v>
      </c>
      <c r="H160" s="97">
        <v>7</v>
      </c>
    </row>
    <row r="161" spans="1:8" x14ac:dyDescent="0.3">
      <c r="A161" s="96" t="s">
        <v>1151</v>
      </c>
      <c r="B161" s="96" t="s">
        <v>1150</v>
      </c>
      <c r="C161" s="96" t="s">
        <v>1149</v>
      </c>
      <c r="D161" s="97">
        <v>4.8</v>
      </c>
      <c r="E161" s="97">
        <v>2.8</v>
      </c>
      <c r="F161" s="97">
        <v>3</v>
      </c>
      <c r="G161" s="97">
        <v>5</v>
      </c>
      <c r="H161" s="97">
        <v>7</v>
      </c>
    </row>
    <row r="162" spans="1:8" x14ac:dyDescent="0.3">
      <c r="A162" s="96" t="s">
        <v>1148</v>
      </c>
      <c r="B162" s="96" t="s">
        <v>1147</v>
      </c>
      <c r="C162" s="96" t="s">
        <v>1940</v>
      </c>
      <c r="D162" s="97">
        <v>4.9000000000000004</v>
      </c>
      <c r="E162" s="97">
        <v>1.6</v>
      </c>
      <c r="F162" s="97">
        <v>3</v>
      </c>
      <c r="G162" s="97">
        <v>5</v>
      </c>
      <c r="H162" s="97">
        <v>6</v>
      </c>
    </row>
    <row r="163" spans="1:8" x14ac:dyDescent="0.3">
      <c r="A163" s="96" t="s">
        <v>1146</v>
      </c>
      <c r="B163" s="96" t="s">
        <v>1145</v>
      </c>
      <c r="C163" s="96" t="s">
        <v>1144</v>
      </c>
      <c r="D163" s="97">
        <v>3.1</v>
      </c>
      <c r="E163" s="97">
        <v>0.7</v>
      </c>
      <c r="F163" s="97">
        <v>3</v>
      </c>
      <c r="G163" s="97">
        <v>3</v>
      </c>
      <c r="H163" s="97">
        <v>4</v>
      </c>
    </row>
    <row r="164" spans="1:8" x14ac:dyDescent="0.3">
      <c r="A164" s="96" t="s">
        <v>1143</v>
      </c>
      <c r="B164" s="96" t="s">
        <v>1142</v>
      </c>
      <c r="C164" s="96" t="s">
        <v>1141</v>
      </c>
      <c r="D164" s="97">
        <v>4.7</v>
      </c>
      <c r="E164" s="97">
        <v>2.8</v>
      </c>
      <c r="F164" s="97">
        <v>3</v>
      </c>
      <c r="G164" s="97">
        <v>4</v>
      </c>
      <c r="H164" s="97">
        <v>6</v>
      </c>
    </row>
    <row r="165" spans="1:8" x14ac:dyDescent="0.3">
      <c r="A165" s="96" t="s">
        <v>1140</v>
      </c>
      <c r="B165" s="96" t="s">
        <v>1139</v>
      </c>
      <c r="C165" s="96" t="s">
        <v>1138</v>
      </c>
      <c r="D165" s="97">
        <v>5.5</v>
      </c>
      <c r="E165" s="97">
        <v>2</v>
      </c>
      <c r="F165" s="97">
        <v>3</v>
      </c>
      <c r="G165" s="97">
        <v>5</v>
      </c>
      <c r="H165" s="97">
        <v>8</v>
      </c>
    </row>
    <row r="166" spans="1:8" x14ac:dyDescent="0.3">
      <c r="A166" s="96" t="s">
        <v>1137</v>
      </c>
      <c r="B166" s="96" t="s">
        <v>1136</v>
      </c>
      <c r="C166" s="96" t="s">
        <v>1135</v>
      </c>
      <c r="D166" s="97">
        <v>5.0999999999999996</v>
      </c>
      <c r="E166" s="97">
        <v>1.5</v>
      </c>
      <c r="F166" s="97">
        <v>3</v>
      </c>
      <c r="G166" s="97">
        <v>5</v>
      </c>
      <c r="H166" s="97">
        <v>7</v>
      </c>
    </row>
    <row r="167" spans="1:8" x14ac:dyDescent="0.3">
      <c r="A167" s="96" t="s">
        <v>1134</v>
      </c>
      <c r="B167" s="96" t="s">
        <v>1133</v>
      </c>
      <c r="C167" s="96" t="s">
        <v>1132</v>
      </c>
      <c r="D167" s="97">
        <v>5.0999999999999996</v>
      </c>
      <c r="E167" s="97">
        <v>6.7</v>
      </c>
      <c r="F167" s="97">
        <v>3</v>
      </c>
      <c r="G167" s="97">
        <v>4</v>
      </c>
      <c r="H167" s="97">
        <v>7</v>
      </c>
    </row>
    <row r="168" spans="1:8" x14ac:dyDescent="0.3">
      <c r="A168" s="96" t="s">
        <v>1941</v>
      </c>
      <c r="B168" s="96" t="s">
        <v>1942</v>
      </c>
      <c r="C168" s="96" t="s">
        <v>1943</v>
      </c>
      <c r="D168" s="97">
        <v>3</v>
      </c>
      <c r="E168" s="97">
        <v>1.2</v>
      </c>
      <c r="F168" s="97">
        <v>2</v>
      </c>
      <c r="G168" s="97">
        <v>3</v>
      </c>
      <c r="H168" s="97">
        <v>4</v>
      </c>
    </row>
    <row r="169" spans="1:8" x14ac:dyDescent="0.3">
      <c r="A169" s="96" t="s">
        <v>1131</v>
      </c>
      <c r="B169" s="96" t="s">
        <v>1130</v>
      </c>
      <c r="C169" s="96" t="s">
        <v>1129</v>
      </c>
      <c r="D169" s="97">
        <v>3.9</v>
      </c>
      <c r="E169" s="97">
        <v>1.3</v>
      </c>
      <c r="F169" s="97">
        <v>3</v>
      </c>
      <c r="G169" s="97">
        <v>4</v>
      </c>
      <c r="H169" s="97">
        <v>5</v>
      </c>
    </row>
    <row r="170" spans="1:8" x14ac:dyDescent="0.3">
      <c r="A170" s="96" t="s">
        <v>1128</v>
      </c>
      <c r="B170" s="96" t="s">
        <v>1127</v>
      </c>
      <c r="C170" s="96" t="s">
        <v>1126</v>
      </c>
      <c r="D170" s="97">
        <v>3.2</v>
      </c>
      <c r="E170" s="97">
        <v>1.3</v>
      </c>
      <c r="F170" s="97">
        <v>2</v>
      </c>
      <c r="G170" s="97">
        <v>3</v>
      </c>
      <c r="H170" s="97">
        <v>5</v>
      </c>
    </row>
    <row r="171" spans="1:8" x14ac:dyDescent="0.3">
      <c r="A171" s="96" t="s">
        <v>1125</v>
      </c>
      <c r="B171" s="96" t="s">
        <v>1124</v>
      </c>
      <c r="C171" s="96" t="s">
        <v>1123</v>
      </c>
      <c r="D171" s="97">
        <v>3.6</v>
      </c>
      <c r="E171" s="97">
        <v>0.9</v>
      </c>
      <c r="F171" s="97">
        <v>3</v>
      </c>
      <c r="G171" s="97">
        <v>4</v>
      </c>
      <c r="H171" s="97">
        <v>5</v>
      </c>
    </row>
    <row r="172" spans="1:8" x14ac:dyDescent="0.3">
      <c r="A172" s="96" t="s">
        <v>1122</v>
      </c>
      <c r="B172" s="96" t="s">
        <v>1121</v>
      </c>
      <c r="C172" s="96" t="s">
        <v>1120</v>
      </c>
      <c r="D172" s="97">
        <v>4</v>
      </c>
      <c r="E172" s="97">
        <v>1.2</v>
      </c>
      <c r="F172" s="97">
        <v>2</v>
      </c>
      <c r="G172" s="97">
        <v>4</v>
      </c>
      <c r="H172" s="97">
        <v>5</v>
      </c>
    </row>
    <row r="173" spans="1:8" x14ac:dyDescent="0.3">
      <c r="A173" s="96" t="s">
        <v>1944</v>
      </c>
      <c r="B173" s="96" t="s">
        <v>1945</v>
      </c>
      <c r="C173" s="96" t="s">
        <v>1946</v>
      </c>
      <c r="D173" s="97">
        <v>4</v>
      </c>
      <c r="E173" s="97">
        <v>1.5</v>
      </c>
      <c r="F173" s="97">
        <v>3</v>
      </c>
      <c r="G173" s="97">
        <v>4</v>
      </c>
      <c r="H173" s="97">
        <v>6</v>
      </c>
    </row>
    <row r="174" spans="1:8" x14ac:dyDescent="0.3">
      <c r="A174" s="96" t="s">
        <v>1119</v>
      </c>
      <c r="B174" s="96" t="s">
        <v>1118</v>
      </c>
      <c r="C174" s="96" t="s">
        <v>1947</v>
      </c>
      <c r="D174" s="97">
        <v>4.9000000000000004</v>
      </c>
      <c r="E174" s="97">
        <v>2.1</v>
      </c>
      <c r="F174" s="97">
        <v>3</v>
      </c>
      <c r="G174" s="97">
        <v>4</v>
      </c>
      <c r="H174" s="97">
        <v>7</v>
      </c>
    </row>
    <row r="175" spans="1:8" x14ac:dyDescent="0.3">
      <c r="A175" s="96" t="s">
        <v>1117</v>
      </c>
      <c r="B175" s="96" t="s">
        <v>1116</v>
      </c>
      <c r="C175" s="96" t="s">
        <v>1115</v>
      </c>
      <c r="D175" s="97">
        <v>3.7</v>
      </c>
      <c r="E175" s="97">
        <v>1.1000000000000001</v>
      </c>
      <c r="F175" s="97">
        <v>3</v>
      </c>
      <c r="G175" s="97">
        <v>3</v>
      </c>
      <c r="H175" s="97">
        <v>5</v>
      </c>
    </row>
    <row r="176" spans="1:8" x14ac:dyDescent="0.3">
      <c r="A176" s="96" t="s">
        <v>1114</v>
      </c>
      <c r="B176" s="96" t="s">
        <v>1113</v>
      </c>
      <c r="C176" s="96" t="s">
        <v>1112</v>
      </c>
      <c r="D176" s="97">
        <v>6.6</v>
      </c>
      <c r="E176" s="97">
        <v>2.9</v>
      </c>
      <c r="F176" s="97">
        <v>4</v>
      </c>
      <c r="G176" s="97">
        <v>6</v>
      </c>
      <c r="H176" s="97">
        <v>10</v>
      </c>
    </row>
    <row r="177" spans="1:8" x14ac:dyDescent="0.3">
      <c r="A177" s="96" t="s">
        <v>1111</v>
      </c>
      <c r="B177" s="96" t="s">
        <v>1110</v>
      </c>
      <c r="C177" s="96" t="s">
        <v>1109</v>
      </c>
      <c r="D177" s="97">
        <v>2.6</v>
      </c>
      <c r="E177" s="97">
        <v>0.6</v>
      </c>
      <c r="F177" s="97">
        <v>2</v>
      </c>
      <c r="G177" s="97">
        <v>3</v>
      </c>
      <c r="H177" s="97">
        <v>3</v>
      </c>
    </row>
    <row r="178" spans="1:8" x14ac:dyDescent="0.3">
      <c r="A178" s="96" t="s">
        <v>1108</v>
      </c>
      <c r="B178" s="96" t="s">
        <v>1107</v>
      </c>
      <c r="C178" s="96" t="s">
        <v>1106</v>
      </c>
      <c r="D178" s="97">
        <v>3.2</v>
      </c>
      <c r="E178" s="97">
        <v>1.1000000000000001</v>
      </c>
      <c r="F178" s="97">
        <v>2</v>
      </c>
      <c r="G178" s="97">
        <v>3</v>
      </c>
      <c r="H178" s="97">
        <v>5</v>
      </c>
    </row>
    <row r="179" spans="1:8" x14ac:dyDescent="0.3">
      <c r="A179" s="96" t="s">
        <v>1105</v>
      </c>
      <c r="B179" s="96" t="s">
        <v>1104</v>
      </c>
      <c r="C179" s="96" t="s">
        <v>1103</v>
      </c>
      <c r="D179" s="97">
        <v>2.6</v>
      </c>
      <c r="E179" s="97">
        <v>1.4</v>
      </c>
      <c r="F179" s="97">
        <v>1</v>
      </c>
      <c r="G179" s="97">
        <v>2</v>
      </c>
      <c r="H179" s="97">
        <v>4</v>
      </c>
    </row>
    <row r="180" spans="1:8" x14ac:dyDescent="0.3">
      <c r="A180" s="96" t="s">
        <v>1102</v>
      </c>
      <c r="B180" s="96" t="s">
        <v>1101</v>
      </c>
      <c r="C180" s="96" t="s">
        <v>1100</v>
      </c>
      <c r="D180" s="97">
        <v>3.6</v>
      </c>
      <c r="E180" s="97">
        <v>1.2</v>
      </c>
      <c r="F180" s="97">
        <v>2</v>
      </c>
      <c r="G180" s="97">
        <v>3</v>
      </c>
      <c r="H180" s="97">
        <v>5</v>
      </c>
    </row>
    <row r="181" spans="1:8" x14ac:dyDescent="0.3">
      <c r="A181" s="96" t="s">
        <v>1099</v>
      </c>
      <c r="B181" s="96" t="s">
        <v>1098</v>
      </c>
      <c r="C181" s="96" t="s">
        <v>1097</v>
      </c>
      <c r="D181" s="97">
        <v>4.4000000000000004</v>
      </c>
      <c r="E181" s="97">
        <v>1.9</v>
      </c>
      <c r="F181" s="97">
        <v>3</v>
      </c>
      <c r="G181" s="97">
        <v>4</v>
      </c>
      <c r="H181" s="97">
        <v>6</v>
      </c>
    </row>
    <row r="182" spans="1:8" x14ac:dyDescent="0.3">
      <c r="A182" s="96" t="s">
        <v>1096</v>
      </c>
      <c r="B182" s="96" t="s">
        <v>1095</v>
      </c>
      <c r="C182" s="96" t="s">
        <v>1094</v>
      </c>
      <c r="D182" s="97">
        <v>5</v>
      </c>
      <c r="E182" s="97">
        <v>4.3</v>
      </c>
      <c r="F182" s="97">
        <v>3</v>
      </c>
      <c r="G182" s="97">
        <v>5</v>
      </c>
      <c r="H182" s="97">
        <v>7</v>
      </c>
    </row>
    <row r="183" spans="1:8" x14ac:dyDescent="0.3">
      <c r="A183" s="96" t="s">
        <v>1093</v>
      </c>
      <c r="B183" s="96" t="s">
        <v>1092</v>
      </c>
      <c r="C183" s="96" t="s">
        <v>1091</v>
      </c>
      <c r="D183" s="97">
        <v>4.9000000000000004</v>
      </c>
      <c r="E183" s="97">
        <v>1.3</v>
      </c>
      <c r="F183" s="97">
        <v>4</v>
      </c>
      <c r="G183" s="97">
        <v>5</v>
      </c>
      <c r="H183" s="97">
        <v>6</v>
      </c>
    </row>
    <row r="184" spans="1:8" x14ac:dyDescent="0.3">
      <c r="A184" s="96" t="s">
        <v>1090</v>
      </c>
      <c r="B184" s="96" t="s">
        <v>1089</v>
      </c>
      <c r="C184" s="96" t="s">
        <v>1088</v>
      </c>
      <c r="D184" s="97">
        <v>5.2</v>
      </c>
      <c r="E184" s="97">
        <v>2.2999999999999998</v>
      </c>
      <c r="F184" s="97">
        <v>3</v>
      </c>
      <c r="G184" s="97">
        <v>5</v>
      </c>
      <c r="H184" s="97">
        <v>7</v>
      </c>
    </row>
    <row r="185" spans="1:8" x14ac:dyDescent="0.3">
      <c r="A185" s="96" t="s">
        <v>1087</v>
      </c>
      <c r="B185" s="96" t="s">
        <v>1086</v>
      </c>
      <c r="C185" s="96" t="s">
        <v>1085</v>
      </c>
      <c r="D185" s="97">
        <v>6.4</v>
      </c>
      <c r="E185" s="97">
        <v>2.2000000000000002</v>
      </c>
      <c r="F185" s="97">
        <v>4</v>
      </c>
      <c r="G185" s="97">
        <v>6</v>
      </c>
      <c r="H185" s="97">
        <v>9</v>
      </c>
    </row>
    <row r="186" spans="1:8" x14ac:dyDescent="0.3">
      <c r="A186" s="96" t="s">
        <v>1084</v>
      </c>
      <c r="B186" s="96" t="s">
        <v>1083</v>
      </c>
      <c r="C186" s="96" t="s">
        <v>1082</v>
      </c>
      <c r="D186" s="97">
        <v>9</v>
      </c>
      <c r="E186" s="97">
        <v>3.4</v>
      </c>
      <c r="F186" s="97">
        <v>5</v>
      </c>
      <c r="G186" s="97">
        <v>9</v>
      </c>
      <c r="H186" s="97">
        <v>13</v>
      </c>
    </row>
    <row r="187" spans="1:8" x14ac:dyDescent="0.3">
      <c r="A187" s="96" t="s">
        <v>1081</v>
      </c>
      <c r="B187" s="96" t="s">
        <v>1080</v>
      </c>
      <c r="C187" s="96" t="s">
        <v>1079</v>
      </c>
      <c r="D187" s="97">
        <v>7.9</v>
      </c>
      <c r="E187" s="97">
        <v>1.9</v>
      </c>
      <c r="F187" s="97">
        <v>6</v>
      </c>
      <c r="G187" s="97">
        <v>8</v>
      </c>
      <c r="H187" s="97">
        <v>10</v>
      </c>
    </row>
    <row r="188" spans="1:8" x14ac:dyDescent="0.3">
      <c r="A188" s="96" t="s">
        <v>1078</v>
      </c>
      <c r="B188" s="96" t="s">
        <v>1077</v>
      </c>
      <c r="C188" s="96" t="s">
        <v>1076</v>
      </c>
      <c r="D188" s="97">
        <v>5.9</v>
      </c>
      <c r="E188" s="97">
        <v>2</v>
      </c>
      <c r="F188" s="97">
        <v>4</v>
      </c>
      <c r="G188" s="97">
        <v>6</v>
      </c>
      <c r="H188" s="97">
        <v>9</v>
      </c>
    </row>
    <row r="189" spans="1:8" x14ac:dyDescent="0.3">
      <c r="A189" s="96" t="s">
        <v>1075</v>
      </c>
      <c r="B189" s="96" t="s">
        <v>1074</v>
      </c>
      <c r="C189" s="96" t="s">
        <v>1073</v>
      </c>
      <c r="D189" s="97">
        <v>4.5</v>
      </c>
      <c r="E189" s="97">
        <v>1.3</v>
      </c>
      <c r="F189" s="97">
        <v>3</v>
      </c>
      <c r="G189" s="97">
        <v>4</v>
      </c>
      <c r="H189" s="97">
        <v>6</v>
      </c>
    </row>
    <row r="190" spans="1:8" x14ac:dyDescent="0.3">
      <c r="A190" s="96" t="s">
        <v>1072</v>
      </c>
      <c r="B190" s="96" t="s">
        <v>1071</v>
      </c>
      <c r="C190" s="96" t="s">
        <v>1070</v>
      </c>
      <c r="D190" s="97">
        <v>6.1</v>
      </c>
      <c r="E190" s="97">
        <v>1.9</v>
      </c>
      <c r="F190" s="97">
        <v>5</v>
      </c>
      <c r="G190" s="97">
        <v>6</v>
      </c>
      <c r="H190" s="97">
        <v>9</v>
      </c>
    </row>
    <row r="191" spans="1:8" x14ac:dyDescent="0.3">
      <c r="A191" s="96" t="s">
        <v>1948</v>
      </c>
      <c r="B191" s="96" t="s">
        <v>1949</v>
      </c>
      <c r="C191" s="96" t="s">
        <v>1950</v>
      </c>
      <c r="D191" s="97">
        <v>6.8</v>
      </c>
      <c r="E191" s="97">
        <v>2</v>
      </c>
      <c r="F191" s="97">
        <v>4</v>
      </c>
      <c r="G191" s="97">
        <v>7</v>
      </c>
      <c r="H191" s="97">
        <v>9</v>
      </c>
    </row>
    <row r="192" spans="1:8" x14ac:dyDescent="0.3">
      <c r="A192" s="96" t="s">
        <v>1069</v>
      </c>
      <c r="B192" s="96" t="s">
        <v>1068</v>
      </c>
      <c r="C192" s="96" t="s">
        <v>1067</v>
      </c>
      <c r="D192" s="97">
        <v>10</v>
      </c>
      <c r="E192" s="97">
        <v>2.7</v>
      </c>
      <c r="F192" s="97">
        <v>8</v>
      </c>
      <c r="G192" s="97">
        <v>9</v>
      </c>
      <c r="H192" s="97">
        <v>13</v>
      </c>
    </row>
    <row r="193" spans="1:8" x14ac:dyDescent="0.3">
      <c r="A193" s="96" t="s">
        <v>1066</v>
      </c>
      <c r="B193" s="96" t="s">
        <v>1065</v>
      </c>
      <c r="C193" s="96" t="s">
        <v>1064</v>
      </c>
      <c r="D193" s="97">
        <v>6.6</v>
      </c>
      <c r="E193" s="97">
        <v>2.1</v>
      </c>
      <c r="F193" s="97">
        <v>4</v>
      </c>
      <c r="G193" s="97">
        <v>7</v>
      </c>
      <c r="H193" s="97">
        <v>8</v>
      </c>
    </row>
    <row r="194" spans="1:8" x14ac:dyDescent="0.3">
      <c r="A194" s="96" t="s">
        <v>1063</v>
      </c>
      <c r="B194" s="96" t="s">
        <v>1062</v>
      </c>
      <c r="C194" s="96" t="s">
        <v>1061</v>
      </c>
      <c r="D194" s="97">
        <v>6.5</v>
      </c>
      <c r="E194" s="97">
        <v>2.5</v>
      </c>
      <c r="F194" s="97">
        <v>4</v>
      </c>
      <c r="G194" s="97">
        <v>6</v>
      </c>
      <c r="H194" s="97">
        <v>10</v>
      </c>
    </row>
    <row r="195" spans="1:8" x14ac:dyDescent="0.3">
      <c r="A195" s="96" t="s">
        <v>1060</v>
      </c>
      <c r="B195" s="96" t="s">
        <v>1059</v>
      </c>
      <c r="C195" s="96" t="s">
        <v>1058</v>
      </c>
      <c r="D195" s="97">
        <v>7.1</v>
      </c>
      <c r="E195" s="97">
        <v>2.7</v>
      </c>
      <c r="F195" s="97">
        <v>4</v>
      </c>
      <c r="G195" s="97">
        <v>7</v>
      </c>
      <c r="H195" s="97">
        <v>10</v>
      </c>
    </row>
    <row r="196" spans="1:8" x14ac:dyDescent="0.3">
      <c r="A196" s="96" t="s">
        <v>1057</v>
      </c>
      <c r="B196" s="96" t="s">
        <v>1056</v>
      </c>
      <c r="C196" s="96" t="s">
        <v>1055</v>
      </c>
      <c r="D196" s="97">
        <v>4.9000000000000004</v>
      </c>
      <c r="E196" s="97">
        <v>2</v>
      </c>
      <c r="F196" s="97">
        <v>2</v>
      </c>
      <c r="G196" s="97">
        <v>5</v>
      </c>
      <c r="H196" s="97">
        <v>7</v>
      </c>
    </row>
    <row r="197" spans="1:8" x14ac:dyDescent="0.3">
      <c r="A197" s="96" t="s">
        <v>1054</v>
      </c>
      <c r="B197" s="96" t="s">
        <v>1053</v>
      </c>
      <c r="C197" s="96" t="s">
        <v>1052</v>
      </c>
      <c r="D197" s="97">
        <v>4.2</v>
      </c>
      <c r="E197" s="97">
        <v>2.5</v>
      </c>
      <c r="F197" s="97">
        <v>3</v>
      </c>
      <c r="G197" s="97">
        <v>4</v>
      </c>
      <c r="H197" s="97">
        <v>6</v>
      </c>
    </row>
    <row r="198" spans="1:8" x14ac:dyDescent="0.3">
      <c r="A198" s="96" t="s">
        <v>1051</v>
      </c>
      <c r="B198" s="96" t="s">
        <v>1050</v>
      </c>
      <c r="C198" s="96" t="s">
        <v>1049</v>
      </c>
      <c r="D198" s="97">
        <v>3.3</v>
      </c>
      <c r="E198" s="97">
        <v>0.8</v>
      </c>
      <c r="F198" s="97">
        <v>2</v>
      </c>
      <c r="G198" s="97">
        <v>3</v>
      </c>
      <c r="H198" s="97">
        <v>4</v>
      </c>
    </row>
    <row r="199" spans="1:8" x14ac:dyDescent="0.3">
      <c r="A199" s="96" t="s">
        <v>1048</v>
      </c>
      <c r="B199" s="96" t="s">
        <v>1047</v>
      </c>
      <c r="C199" s="96" t="s">
        <v>1046</v>
      </c>
      <c r="D199" s="97">
        <v>3.5</v>
      </c>
      <c r="E199" s="97">
        <v>0.8</v>
      </c>
      <c r="F199" s="97">
        <v>3</v>
      </c>
      <c r="G199" s="97">
        <v>3</v>
      </c>
      <c r="H199" s="97">
        <v>4</v>
      </c>
    </row>
    <row r="200" spans="1:8" x14ac:dyDescent="0.3">
      <c r="A200" s="96" t="s">
        <v>1045</v>
      </c>
      <c r="B200" s="96" t="s">
        <v>1044</v>
      </c>
      <c r="C200" s="96" t="s">
        <v>1043</v>
      </c>
      <c r="D200" s="97">
        <v>3.6</v>
      </c>
      <c r="E200" s="97">
        <v>1.8</v>
      </c>
      <c r="F200" s="97">
        <v>3</v>
      </c>
      <c r="G200" s="97">
        <v>3</v>
      </c>
      <c r="H200" s="97">
        <v>5</v>
      </c>
    </row>
    <row r="201" spans="1:8" x14ac:dyDescent="0.3">
      <c r="A201" s="96" t="s">
        <v>1042</v>
      </c>
      <c r="B201" s="96" t="s">
        <v>1041</v>
      </c>
      <c r="C201" s="96" t="s">
        <v>1040</v>
      </c>
      <c r="D201" s="97">
        <v>4.2</v>
      </c>
      <c r="E201" s="97">
        <v>2.1</v>
      </c>
      <c r="F201" s="97">
        <v>2</v>
      </c>
      <c r="G201" s="97">
        <v>4</v>
      </c>
      <c r="H201" s="97">
        <v>6</v>
      </c>
    </row>
    <row r="202" spans="1:8" x14ac:dyDescent="0.3">
      <c r="A202" s="96" t="s">
        <v>1039</v>
      </c>
      <c r="B202" s="96" t="s">
        <v>1038</v>
      </c>
      <c r="C202" s="96" t="s">
        <v>1037</v>
      </c>
      <c r="D202" s="97">
        <v>4</v>
      </c>
      <c r="E202" s="97">
        <v>2.5</v>
      </c>
      <c r="F202" s="97">
        <v>3</v>
      </c>
      <c r="G202" s="97">
        <v>4</v>
      </c>
      <c r="H202" s="97">
        <v>5</v>
      </c>
    </row>
    <row r="203" spans="1:8" x14ac:dyDescent="0.3">
      <c r="A203" s="96" t="s">
        <v>1036</v>
      </c>
      <c r="B203" s="96" t="s">
        <v>1035</v>
      </c>
      <c r="C203" s="96" t="s">
        <v>1034</v>
      </c>
      <c r="D203" s="97">
        <v>5.2</v>
      </c>
      <c r="E203" s="97">
        <v>2.5</v>
      </c>
      <c r="F203" s="97">
        <v>3</v>
      </c>
      <c r="G203" s="97">
        <v>5</v>
      </c>
      <c r="H203" s="97">
        <v>7</v>
      </c>
    </row>
    <row r="204" spans="1:8" x14ac:dyDescent="0.3">
      <c r="A204" s="96" t="s">
        <v>1033</v>
      </c>
      <c r="B204" s="96" t="s">
        <v>1032</v>
      </c>
      <c r="C204" s="96" t="s">
        <v>1031</v>
      </c>
      <c r="D204" s="97">
        <v>3.4</v>
      </c>
      <c r="E204" s="97">
        <v>2.2000000000000002</v>
      </c>
      <c r="F204" s="97">
        <v>2</v>
      </c>
      <c r="G204" s="97">
        <v>3</v>
      </c>
      <c r="H204" s="97">
        <v>5</v>
      </c>
    </row>
    <row r="205" spans="1:8" x14ac:dyDescent="0.3">
      <c r="A205" s="96" t="s">
        <v>1030</v>
      </c>
      <c r="B205" s="96" t="s">
        <v>1029</v>
      </c>
      <c r="C205" s="96" t="s">
        <v>1028</v>
      </c>
      <c r="D205" s="97">
        <v>5</v>
      </c>
      <c r="E205" s="97">
        <v>2.7</v>
      </c>
      <c r="F205" s="97">
        <v>3</v>
      </c>
      <c r="G205" s="97">
        <v>5</v>
      </c>
      <c r="H205" s="97">
        <v>7</v>
      </c>
    </row>
    <row r="206" spans="1:8" x14ac:dyDescent="0.3">
      <c r="A206" s="96" t="s">
        <v>1027</v>
      </c>
      <c r="B206" s="96" t="s">
        <v>1026</v>
      </c>
      <c r="C206" s="96" t="s">
        <v>1025</v>
      </c>
      <c r="D206" s="97">
        <v>3.6</v>
      </c>
      <c r="E206" s="97">
        <v>3.7</v>
      </c>
      <c r="F206" s="97">
        <v>3</v>
      </c>
      <c r="G206" s="97">
        <v>3</v>
      </c>
      <c r="H206" s="97">
        <v>5</v>
      </c>
    </row>
    <row r="207" spans="1:8" x14ac:dyDescent="0.3">
      <c r="A207" s="96" t="s">
        <v>1024</v>
      </c>
      <c r="B207" s="96" t="s">
        <v>1023</v>
      </c>
      <c r="C207" s="96" t="s">
        <v>1022</v>
      </c>
      <c r="D207" s="97">
        <v>6.9</v>
      </c>
      <c r="E207" s="97">
        <v>3.9</v>
      </c>
      <c r="F207" s="97">
        <v>4</v>
      </c>
      <c r="G207" s="97">
        <v>7</v>
      </c>
      <c r="H207" s="97">
        <v>10</v>
      </c>
    </row>
    <row r="208" spans="1:8" x14ac:dyDescent="0.3">
      <c r="A208" s="96" t="s">
        <v>1021</v>
      </c>
      <c r="B208" s="96" t="s">
        <v>1020</v>
      </c>
      <c r="C208" s="96" t="s">
        <v>1019</v>
      </c>
      <c r="D208" s="97">
        <v>5</v>
      </c>
      <c r="E208" s="97">
        <v>2.2999999999999998</v>
      </c>
      <c r="F208" s="97">
        <v>4</v>
      </c>
      <c r="G208" s="97">
        <v>5</v>
      </c>
      <c r="H208" s="97">
        <v>6</v>
      </c>
    </row>
    <row r="209" spans="1:8" x14ac:dyDescent="0.3">
      <c r="A209" s="96" t="s">
        <v>1018</v>
      </c>
      <c r="B209" s="96" t="s">
        <v>1017</v>
      </c>
      <c r="C209" s="96" t="s">
        <v>1016</v>
      </c>
      <c r="D209" s="97">
        <v>6.8</v>
      </c>
      <c r="E209" s="97">
        <v>2.6</v>
      </c>
      <c r="F209" s="97">
        <v>4</v>
      </c>
      <c r="G209" s="97">
        <v>7</v>
      </c>
      <c r="H209" s="97">
        <v>10</v>
      </c>
    </row>
    <row r="210" spans="1:8" x14ac:dyDescent="0.3">
      <c r="A210" s="96" t="s">
        <v>1015</v>
      </c>
      <c r="B210" s="96" t="s">
        <v>1014</v>
      </c>
      <c r="C210" s="96" t="s">
        <v>1013</v>
      </c>
      <c r="D210" s="97">
        <v>4.5</v>
      </c>
      <c r="E210" s="97">
        <v>1.4</v>
      </c>
      <c r="F210" s="97">
        <v>3</v>
      </c>
      <c r="G210" s="97">
        <v>4</v>
      </c>
      <c r="H210" s="97">
        <v>6</v>
      </c>
    </row>
    <row r="211" spans="1:8" x14ac:dyDescent="0.3">
      <c r="A211" s="96" t="s">
        <v>1012</v>
      </c>
      <c r="B211" s="96" t="s">
        <v>1011</v>
      </c>
      <c r="C211" s="96" t="s">
        <v>1010</v>
      </c>
      <c r="D211" s="97">
        <v>5.9</v>
      </c>
      <c r="E211" s="97">
        <v>3</v>
      </c>
      <c r="F211" s="97">
        <v>3</v>
      </c>
      <c r="G211" s="97">
        <v>5</v>
      </c>
      <c r="H211" s="97">
        <v>9</v>
      </c>
    </row>
    <row r="212" spans="1:8" x14ac:dyDescent="0.3">
      <c r="A212" s="96" t="s">
        <v>1951</v>
      </c>
      <c r="B212" s="96" t="s">
        <v>1952</v>
      </c>
      <c r="C212" s="96" t="s">
        <v>1953</v>
      </c>
      <c r="D212" s="97">
        <v>5.0999999999999996</v>
      </c>
      <c r="E212" s="97">
        <v>4.8</v>
      </c>
      <c r="F212" s="97">
        <v>3</v>
      </c>
      <c r="G212" s="97">
        <v>5</v>
      </c>
      <c r="H212" s="97">
        <v>6</v>
      </c>
    </row>
    <row r="213" spans="1:8" x14ac:dyDescent="0.3">
      <c r="A213" s="96" t="s">
        <v>1009</v>
      </c>
      <c r="B213" s="96" t="s">
        <v>1008</v>
      </c>
      <c r="C213" s="96" t="s">
        <v>1007</v>
      </c>
      <c r="D213" s="97">
        <v>6</v>
      </c>
      <c r="E213" s="97">
        <v>3.2</v>
      </c>
      <c r="F213" s="97">
        <v>4</v>
      </c>
      <c r="G213" s="97">
        <v>6</v>
      </c>
      <c r="H213" s="97">
        <v>8</v>
      </c>
    </row>
    <row r="214" spans="1:8" x14ac:dyDescent="0.3">
      <c r="A214" s="96" t="s">
        <v>1006</v>
      </c>
      <c r="B214" s="96" t="s">
        <v>1005</v>
      </c>
      <c r="C214" s="96" t="s">
        <v>1004</v>
      </c>
      <c r="D214" s="97">
        <v>5.6</v>
      </c>
      <c r="E214" s="97">
        <v>2.2999999999999998</v>
      </c>
      <c r="F214" s="97">
        <v>4</v>
      </c>
      <c r="G214" s="97">
        <v>5</v>
      </c>
      <c r="H214" s="97">
        <v>8</v>
      </c>
    </row>
    <row r="215" spans="1:8" x14ac:dyDescent="0.3">
      <c r="A215" s="96" t="s">
        <v>1003</v>
      </c>
      <c r="B215" s="96" t="s">
        <v>1002</v>
      </c>
      <c r="C215" s="96" t="s">
        <v>1001</v>
      </c>
      <c r="D215" s="97">
        <v>4.5999999999999996</v>
      </c>
      <c r="E215" s="97">
        <v>1.3</v>
      </c>
      <c r="F215" s="97">
        <v>3</v>
      </c>
      <c r="G215" s="97">
        <v>4</v>
      </c>
      <c r="H215" s="97">
        <v>6</v>
      </c>
    </row>
    <row r="216" spans="1:8" x14ac:dyDescent="0.3">
      <c r="A216" s="96" t="s">
        <v>1000</v>
      </c>
      <c r="B216" s="96" t="s">
        <v>999</v>
      </c>
      <c r="C216" s="96" t="s">
        <v>998</v>
      </c>
      <c r="D216" s="97">
        <v>5</v>
      </c>
      <c r="E216" s="97">
        <v>2.8</v>
      </c>
      <c r="F216" s="97">
        <v>4</v>
      </c>
      <c r="G216" s="97">
        <v>5</v>
      </c>
      <c r="H216" s="97">
        <v>6</v>
      </c>
    </row>
    <row r="217" spans="1:8" x14ac:dyDescent="0.3">
      <c r="A217" s="96" t="s">
        <v>1954</v>
      </c>
      <c r="B217" s="96" t="s">
        <v>1955</v>
      </c>
      <c r="C217" s="96" t="s">
        <v>1956</v>
      </c>
      <c r="D217" s="97">
        <v>5.4</v>
      </c>
      <c r="E217" s="97">
        <v>3.9</v>
      </c>
      <c r="F217" s="97">
        <v>3</v>
      </c>
      <c r="G217" s="97">
        <v>4</v>
      </c>
      <c r="H217" s="97">
        <v>9</v>
      </c>
    </row>
    <row r="218" spans="1:8" x14ac:dyDescent="0.3">
      <c r="A218" s="96" t="s">
        <v>997</v>
      </c>
      <c r="B218" s="96" t="s">
        <v>996</v>
      </c>
      <c r="C218" s="96" t="s">
        <v>995</v>
      </c>
      <c r="D218" s="97">
        <v>3.6</v>
      </c>
      <c r="E218" s="97">
        <v>1.4</v>
      </c>
      <c r="F218" s="97">
        <v>2</v>
      </c>
      <c r="G218" s="97">
        <v>3</v>
      </c>
      <c r="H218" s="97">
        <v>5</v>
      </c>
    </row>
    <row r="219" spans="1:8" x14ac:dyDescent="0.3">
      <c r="A219" s="96" t="s">
        <v>994</v>
      </c>
      <c r="B219" s="96" t="s">
        <v>993</v>
      </c>
      <c r="C219" s="96" t="s">
        <v>992</v>
      </c>
      <c r="D219" s="97">
        <v>3.9</v>
      </c>
      <c r="E219" s="97">
        <v>1.6</v>
      </c>
      <c r="F219" s="97">
        <v>2</v>
      </c>
      <c r="G219" s="97">
        <v>3</v>
      </c>
      <c r="H219" s="97">
        <v>6</v>
      </c>
    </row>
    <row r="220" spans="1:8" x14ac:dyDescent="0.3">
      <c r="A220" s="96" t="s">
        <v>991</v>
      </c>
      <c r="B220" s="96" t="s">
        <v>990</v>
      </c>
      <c r="C220" s="96" t="s">
        <v>989</v>
      </c>
      <c r="D220" s="97">
        <v>12.5</v>
      </c>
      <c r="E220" s="97">
        <v>6.6</v>
      </c>
      <c r="F220" s="97">
        <v>7</v>
      </c>
      <c r="G220" s="97">
        <v>11</v>
      </c>
      <c r="H220" s="97">
        <v>18</v>
      </c>
    </row>
    <row r="221" spans="1:8" x14ac:dyDescent="0.3">
      <c r="A221" s="96" t="s">
        <v>988</v>
      </c>
      <c r="B221" s="96" t="s">
        <v>987</v>
      </c>
      <c r="C221" s="96" t="s">
        <v>986</v>
      </c>
      <c r="D221" s="97">
        <v>6.3</v>
      </c>
      <c r="E221" s="97">
        <v>2.6</v>
      </c>
      <c r="F221" s="97">
        <v>4</v>
      </c>
      <c r="G221" s="97">
        <v>6</v>
      </c>
      <c r="H221" s="97">
        <v>10</v>
      </c>
    </row>
    <row r="222" spans="1:8" x14ac:dyDescent="0.3">
      <c r="A222" s="96" t="s">
        <v>985</v>
      </c>
      <c r="B222" s="96" t="s">
        <v>984</v>
      </c>
      <c r="C222" s="96" t="s">
        <v>1957</v>
      </c>
      <c r="D222" s="97">
        <v>5.7</v>
      </c>
      <c r="E222" s="97">
        <v>1.7</v>
      </c>
      <c r="F222" s="97">
        <v>4</v>
      </c>
      <c r="G222" s="97">
        <v>5</v>
      </c>
      <c r="H222" s="97">
        <v>8</v>
      </c>
    </row>
    <row r="223" spans="1:8" x14ac:dyDescent="0.3">
      <c r="A223" s="96" t="s">
        <v>983</v>
      </c>
      <c r="B223" s="96" t="s">
        <v>982</v>
      </c>
      <c r="C223" s="96" t="s">
        <v>981</v>
      </c>
      <c r="D223" s="97">
        <v>8.6999999999999993</v>
      </c>
      <c r="E223" s="97">
        <v>3.5</v>
      </c>
      <c r="F223" s="97">
        <v>6</v>
      </c>
      <c r="G223" s="97">
        <v>8</v>
      </c>
      <c r="H223" s="97">
        <v>13</v>
      </c>
    </row>
    <row r="224" spans="1:8" x14ac:dyDescent="0.3">
      <c r="A224" s="96" t="s">
        <v>980</v>
      </c>
      <c r="B224" s="96" t="s">
        <v>979</v>
      </c>
      <c r="C224" s="96" t="s">
        <v>978</v>
      </c>
      <c r="D224" s="97">
        <v>5.5</v>
      </c>
      <c r="E224" s="97">
        <v>1.9</v>
      </c>
      <c r="F224" s="97">
        <v>4</v>
      </c>
      <c r="G224" s="97">
        <v>5</v>
      </c>
      <c r="H224" s="97">
        <v>8</v>
      </c>
    </row>
    <row r="225" spans="1:8" x14ac:dyDescent="0.3">
      <c r="A225" s="96" t="s">
        <v>977</v>
      </c>
      <c r="B225" s="96" t="s">
        <v>976</v>
      </c>
      <c r="C225" s="96" t="s">
        <v>975</v>
      </c>
      <c r="D225" s="97">
        <v>5.6</v>
      </c>
      <c r="E225" s="97">
        <v>1.6</v>
      </c>
      <c r="F225" s="97">
        <v>4</v>
      </c>
      <c r="G225" s="97">
        <v>5</v>
      </c>
      <c r="H225" s="97">
        <v>8</v>
      </c>
    </row>
    <row r="226" spans="1:8" x14ac:dyDescent="0.3">
      <c r="A226" s="96" t="s">
        <v>974</v>
      </c>
      <c r="B226" s="96" t="s">
        <v>973</v>
      </c>
      <c r="C226" s="96" t="s">
        <v>972</v>
      </c>
      <c r="D226" s="97">
        <v>5.6</v>
      </c>
      <c r="E226" s="97">
        <v>2.2999999999999998</v>
      </c>
      <c r="F226" s="97">
        <v>4</v>
      </c>
      <c r="G226" s="97">
        <v>5</v>
      </c>
      <c r="H226" s="97">
        <v>8</v>
      </c>
    </row>
    <row r="227" spans="1:8" x14ac:dyDescent="0.3">
      <c r="A227" s="96" t="s">
        <v>971</v>
      </c>
      <c r="B227" s="96" t="s">
        <v>970</v>
      </c>
      <c r="C227" s="96" t="s">
        <v>969</v>
      </c>
      <c r="D227" s="97">
        <v>10.3</v>
      </c>
      <c r="E227" s="97">
        <v>3.3</v>
      </c>
      <c r="F227" s="97">
        <v>7</v>
      </c>
      <c r="G227" s="97">
        <v>10</v>
      </c>
      <c r="H227" s="97">
        <v>13</v>
      </c>
    </row>
    <row r="228" spans="1:8" x14ac:dyDescent="0.3">
      <c r="A228" s="96" t="s">
        <v>968</v>
      </c>
      <c r="B228" s="96" t="s">
        <v>967</v>
      </c>
      <c r="C228" s="96" t="s">
        <v>966</v>
      </c>
      <c r="D228" s="97">
        <v>7.4</v>
      </c>
      <c r="E228" s="97">
        <v>2.2000000000000002</v>
      </c>
      <c r="F228" s="97">
        <v>4</v>
      </c>
      <c r="G228" s="97">
        <v>7.5</v>
      </c>
      <c r="H228" s="97">
        <v>10</v>
      </c>
    </row>
    <row r="229" spans="1:8" x14ac:dyDescent="0.3">
      <c r="A229" s="96" t="s">
        <v>962</v>
      </c>
      <c r="B229" s="96" t="s">
        <v>961</v>
      </c>
      <c r="C229" s="96" t="s">
        <v>960</v>
      </c>
      <c r="D229" s="97">
        <v>13.3</v>
      </c>
      <c r="E229" s="97">
        <v>8.1999999999999993</v>
      </c>
      <c r="F229" s="97">
        <v>7</v>
      </c>
      <c r="G229" s="97">
        <v>11</v>
      </c>
      <c r="H229" s="97">
        <v>20</v>
      </c>
    </row>
    <row r="230" spans="1:8" x14ac:dyDescent="0.3">
      <c r="A230" s="96" t="s">
        <v>959</v>
      </c>
      <c r="B230" s="96" t="s">
        <v>958</v>
      </c>
      <c r="C230" s="96" t="s">
        <v>957</v>
      </c>
      <c r="D230" s="97">
        <v>13.1</v>
      </c>
      <c r="E230" s="97">
        <v>10.3</v>
      </c>
      <c r="F230" s="97">
        <v>6</v>
      </c>
      <c r="G230" s="97">
        <v>10</v>
      </c>
      <c r="H230" s="97">
        <v>24</v>
      </c>
    </row>
    <row r="231" spans="1:8" x14ac:dyDescent="0.3">
      <c r="A231" s="96" t="s">
        <v>956</v>
      </c>
      <c r="B231" s="96" t="s">
        <v>955</v>
      </c>
      <c r="C231" s="96" t="s">
        <v>954</v>
      </c>
      <c r="D231" s="97">
        <v>14.3</v>
      </c>
      <c r="E231" s="97">
        <v>14.5</v>
      </c>
      <c r="F231" s="97">
        <v>5</v>
      </c>
      <c r="G231" s="97">
        <v>9</v>
      </c>
      <c r="H231" s="97">
        <v>33</v>
      </c>
    </row>
    <row r="232" spans="1:8" x14ac:dyDescent="0.3">
      <c r="A232" s="96" t="s">
        <v>953</v>
      </c>
      <c r="B232" s="96" t="s">
        <v>952</v>
      </c>
      <c r="C232" s="96" t="s">
        <v>951</v>
      </c>
      <c r="D232" s="97">
        <v>13.2</v>
      </c>
      <c r="E232" s="97">
        <v>9.1999999999999993</v>
      </c>
      <c r="F232" s="97">
        <v>8</v>
      </c>
      <c r="G232" s="97">
        <v>11</v>
      </c>
      <c r="H232" s="97">
        <v>20</v>
      </c>
    </row>
    <row r="233" spans="1:8" x14ac:dyDescent="0.3">
      <c r="A233" s="96" t="s">
        <v>950</v>
      </c>
      <c r="B233" s="96" t="s">
        <v>21</v>
      </c>
      <c r="C233" s="96" t="s">
        <v>949</v>
      </c>
      <c r="D233" s="97">
        <v>11.6</v>
      </c>
      <c r="E233" s="97">
        <v>7.8</v>
      </c>
      <c r="F233" s="97">
        <v>5</v>
      </c>
      <c r="G233" s="97">
        <v>9</v>
      </c>
      <c r="H233" s="97">
        <v>19</v>
      </c>
    </row>
    <row r="234" spans="1:8" x14ac:dyDescent="0.3">
      <c r="A234" s="96" t="s">
        <v>948</v>
      </c>
      <c r="B234" s="96" t="s">
        <v>947</v>
      </c>
      <c r="C234" s="96" t="s">
        <v>946</v>
      </c>
      <c r="D234" s="97">
        <v>9.1999999999999993</v>
      </c>
      <c r="E234" s="97">
        <v>2.8</v>
      </c>
      <c r="F234" s="97">
        <v>6</v>
      </c>
      <c r="G234" s="97">
        <v>9</v>
      </c>
      <c r="H234" s="97">
        <v>12</v>
      </c>
    </row>
    <row r="235" spans="1:8" x14ac:dyDescent="0.3">
      <c r="A235" s="96" t="s">
        <v>945</v>
      </c>
      <c r="B235" s="96" t="s">
        <v>944</v>
      </c>
      <c r="C235" s="96" t="s">
        <v>943</v>
      </c>
      <c r="D235" s="97">
        <v>11.1</v>
      </c>
      <c r="E235" s="97">
        <v>7.9</v>
      </c>
      <c r="F235" s="97">
        <v>6</v>
      </c>
      <c r="G235" s="97">
        <v>9</v>
      </c>
      <c r="H235" s="97">
        <v>17</v>
      </c>
    </row>
    <row r="236" spans="1:8" x14ac:dyDescent="0.3">
      <c r="A236" s="96" t="s">
        <v>942</v>
      </c>
      <c r="B236" s="96" t="s">
        <v>941</v>
      </c>
      <c r="C236" s="96" t="s">
        <v>940</v>
      </c>
      <c r="D236" s="97">
        <v>7.6</v>
      </c>
      <c r="E236" s="97">
        <v>4.7</v>
      </c>
      <c r="F236" s="97">
        <v>5</v>
      </c>
      <c r="G236" s="97">
        <v>7</v>
      </c>
      <c r="H236" s="97">
        <v>11</v>
      </c>
    </row>
    <row r="237" spans="1:8" x14ac:dyDescent="0.3">
      <c r="A237" s="96" t="s">
        <v>939</v>
      </c>
      <c r="B237" s="96" t="s">
        <v>938</v>
      </c>
      <c r="C237" s="96" t="s">
        <v>937</v>
      </c>
      <c r="D237" s="97">
        <v>8.6999999999999993</v>
      </c>
      <c r="E237" s="97">
        <v>3.8</v>
      </c>
      <c r="F237" s="97">
        <v>5</v>
      </c>
      <c r="G237" s="97">
        <v>8</v>
      </c>
      <c r="H237" s="97">
        <v>13</v>
      </c>
    </row>
    <row r="238" spans="1:8" x14ac:dyDescent="0.3">
      <c r="A238" s="96" t="s">
        <v>936</v>
      </c>
      <c r="B238" s="96" t="s">
        <v>935</v>
      </c>
      <c r="C238" s="96" t="s">
        <v>934</v>
      </c>
      <c r="D238" s="97">
        <v>15.8</v>
      </c>
      <c r="E238" s="97">
        <v>9.4</v>
      </c>
      <c r="F238" s="97">
        <v>8</v>
      </c>
      <c r="G238" s="97">
        <v>13</v>
      </c>
      <c r="H238" s="97">
        <v>26</v>
      </c>
    </row>
    <row r="239" spans="1:8" x14ac:dyDescent="0.3">
      <c r="A239" s="96" t="s">
        <v>1958</v>
      </c>
      <c r="B239" s="96" t="s">
        <v>1959</v>
      </c>
      <c r="C239" s="96" t="s">
        <v>1960</v>
      </c>
      <c r="D239" s="97">
        <v>10.6</v>
      </c>
      <c r="E239" s="97">
        <v>5.2</v>
      </c>
      <c r="F239" s="97">
        <v>7</v>
      </c>
      <c r="G239" s="97">
        <v>10</v>
      </c>
      <c r="H239" s="97">
        <v>14</v>
      </c>
    </row>
    <row r="240" spans="1:8" x14ac:dyDescent="0.3">
      <c r="A240" s="96" t="s">
        <v>933</v>
      </c>
      <c r="B240" s="96" t="s">
        <v>932</v>
      </c>
      <c r="C240" s="96" t="s">
        <v>931</v>
      </c>
      <c r="D240" s="97">
        <v>10.6</v>
      </c>
      <c r="E240" s="97">
        <v>5.6</v>
      </c>
      <c r="F240" s="97">
        <v>6</v>
      </c>
      <c r="G240" s="97">
        <v>9</v>
      </c>
      <c r="H240" s="97">
        <v>15</v>
      </c>
    </row>
    <row r="241" spans="1:8" x14ac:dyDescent="0.3">
      <c r="A241" s="96" t="s">
        <v>1961</v>
      </c>
      <c r="B241" s="96" t="s">
        <v>1962</v>
      </c>
      <c r="C241" s="96" t="s">
        <v>1963</v>
      </c>
      <c r="D241" s="97">
        <v>14.5</v>
      </c>
      <c r="E241" s="97">
        <v>7.6</v>
      </c>
      <c r="F241" s="97">
        <v>8</v>
      </c>
      <c r="G241" s="97">
        <v>13</v>
      </c>
      <c r="H241" s="97">
        <v>20</v>
      </c>
    </row>
    <row r="242" spans="1:8" x14ac:dyDescent="0.3">
      <c r="A242" s="96" t="s">
        <v>930</v>
      </c>
      <c r="B242" s="96" t="s">
        <v>929</v>
      </c>
      <c r="C242" s="96" t="s">
        <v>928</v>
      </c>
      <c r="D242" s="97">
        <v>10.3</v>
      </c>
      <c r="E242" s="97">
        <v>9</v>
      </c>
      <c r="F242" s="97">
        <v>4</v>
      </c>
      <c r="G242" s="97">
        <v>8</v>
      </c>
      <c r="H242" s="97">
        <v>18</v>
      </c>
    </row>
    <row r="243" spans="1:8" x14ac:dyDescent="0.3">
      <c r="A243" s="96" t="s">
        <v>1964</v>
      </c>
      <c r="B243" s="96" t="s">
        <v>1965</v>
      </c>
      <c r="C243" s="96" t="s">
        <v>1966</v>
      </c>
      <c r="D243" s="97">
        <v>6.7</v>
      </c>
      <c r="E243" s="97">
        <v>4.7</v>
      </c>
      <c r="F243" s="97">
        <v>3</v>
      </c>
      <c r="G243" s="97">
        <v>6</v>
      </c>
      <c r="H243" s="97">
        <v>10</v>
      </c>
    </row>
    <row r="244" spans="1:8" x14ac:dyDescent="0.3">
      <c r="A244" s="96" t="s">
        <v>927</v>
      </c>
      <c r="B244" s="96" t="s">
        <v>926</v>
      </c>
      <c r="C244" s="96" t="s">
        <v>925</v>
      </c>
      <c r="D244" s="97">
        <v>16</v>
      </c>
      <c r="E244" s="97">
        <v>8.3000000000000007</v>
      </c>
      <c r="F244" s="97">
        <v>9</v>
      </c>
      <c r="G244" s="97">
        <v>14</v>
      </c>
      <c r="H244" s="97">
        <v>24</v>
      </c>
    </row>
    <row r="245" spans="1:8" x14ac:dyDescent="0.3">
      <c r="A245" s="96" t="s">
        <v>924</v>
      </c>
      <c r="B245" s="96" t="s">
        <v>923</v>
      </c>
      <c r="C245" s="96" t="s">
        <v>922</v>
      </c>
      <c r="D245" s="97">
        <v>9.1</v>
      </c>
      <c r="E245" s="97">
        <v>8.8000000000000007</v>
      </c>
      <c r="F245" s="97">
        <v>4</v>
      </c>
      <c r="G245" s="97">
        <v>7</v>
      </c>
      <c r="H245" s="97">
        <v>15</v>
      </c>
    </row>
    <row r="246" spans="1:8" x14ac:dyDescent="0.3">
      <c r="A246" s="96" t="s">
        <v>1967</v>
      </c>
      <c r="B246" s="96" t="s">
        <v>1968</v>
      </c>
      <c r="C246" s="96" t="s">
        <v>1969</v>
      </c>
      <c r="D246" s="97">
        <v>8.1</v>
      </c>
      <c r="E246" s="97">
        <v>6</v>
      </c>
      <c r="F246" s="97">
        <v>4</v>
      </c>
      <c r="G246" s="97">
        <v>7</v>
      </c>
      <c r="H246" s="97">
        <v>11</v>
      </c>
    </row>
    <row r="247" spans="1:8" x14ac:dyDescent="0.3">
      <c r="A247" s="96" t="s">
        <v>1970</v>
      </c>
      <c r="B247" s="96" t="s">
        <v>1971</v>
      </c>
      <c r="C247" s="96" t="s">
        <v>1972</v>
      </c>
      <c r="D247" s="97">
        <v>5.2</v>
      </c>
      <c r="E247" s="97">
        <v>1.4</v>
      </c>
      <c r="F247" s="97">
        <v>4</v>
      </c>
      <c r="G247" s="97">
        <v>5</v>
      </c>
      <c r="H247" s="97">
        <v>6</v>
      </c>
    </row>
    <row r="248" spans="1:8" x14ac:dyDescent="0.3">
      <c r="A248" s="96" t="s">
        <v>921</v>
      </c>
      <c r="B248" s="96" t="s">
        <v>920</v>
      </c>
      <c r="C248" s="96" t="s">
        <v>919</v>
      </c>
      <c r="D248" s="97">
        <v>10.199999999999999</v>
      </c>
      <c r="E248" s="97">
        <v>7.2</v>
      </c>
      <c r="F248" s="97">
        <v>5</v>
      </c>
      <c r="G248" s="97">
        <v>8</v>
      </c>
      <c r="H248" s="97">
        <v>18</v>
      </c>
    </row>
    <row r="249" spans="1:8" x14ac:dyDescent="0.3">
      <c r="A249" s="96" t="s">
        <v>918</v>
      </c>
      <c r="B249" s="96" t="s">
        <v>917</v>
      </c>
      <c r="C249" s="96" t="s">
        <v>916</v>
      </c>
      <c r="D249" s="97">
        <v>11.5</v>
      </c>
      <c r="E249" s="97">
        <v>5.6</v>
      </c>
      <c r="F249" s="97">
        <v>6</v>
      </c>
      <c r="G249" s="97">
        <v>11</v>
      </c>
      <c r="H249" s="97">
        <v>17</v>
      </c>
    </row>
    <row r="250" spans="1:8" x14ac:dyDescent="0.3">
      <c r="A250" s="96" t="s">
        <v>915</v>
      </c>
      <c r="B250" s="96" t="s">
        <v>914</v>
      </c>
      <c r="C250" s="96" t="s">
        <v>913</v>
      </c>
      <c r="D250" s="97">
        <v>6.6</v>
      </c>
      <c r="E250" s="97">
        <v>3.4</v>
      </c>
      <c r="F250" s="97">
        <v>4</v>
      </c>
      <c r="G250" s="97">
        <v>6</v>
      </c>
      <c r="H250" s="97">
        <v>10</v>
      </c>
    </row>
    <row r="251" spans="1:8" x14ac:dyDescent="0.3">
      <c r="A251" s="96" t="s">
        <v>912</v>
      </c>
      <c r="B251" s="96" t="s">
        <v>911</v>
      </c>
      <c r="C251" s="96" t="s">
        <v>910</v>
      </c>
      <c r="D251" s="97">
        <v>5.3</v>
      </c>
      <c r="E251" s="97">
        <v>2.4</v>
      </c>
      <c r="F251" s="97">
        <v>3</v>
      </c>
      <c r="G251" s="97">
        <v>5</v>
      </c>
      <c r="H251" s="97">
        <v>7</v>
      </c>
    </row>
    <row r="252" spans="1:8" x14ac:dyDescent="0.3">
      <c r="A252" s="96" t="s">
        <v>1973</v>
      </c>
      <c r="B252" s="96" t="s">
        <v>1974</v>
      </c>
      <c r="C252" s="96" t="s">
        <v>1975</v>
      </c>
      <c r="D252" s="97">
        <v>5.2</v>
      </c>
      <c r="E252" s="97">
        <v>1.5</v>
      </c>
      <c r="F252" s="97">
        <v>3</v>
      </c>
      <c r="G252" s="97">
        <v>5</v>
      </c>
      <c r="H252" s="97">
        <v>7</v>
      </c>
    </row>
    <row r="253" spans="1:8" x14ac:dyDescent="0.3">
      <c r="A253" s="96" t="s">
        <v>909</v>
      </c>
      <c r="B253" s="96" t="s">
        <v>908</v>
      </c>
      <c r="C253" s="96" t="s">
        <v>907</v>
      </c>
      <c r="D253" s="97">
        <v>5.5</v>
      </c>
      <c r="E253" s="97">
        <v>2.8</v>
      </c>
      <c r="F253" s="97">
        <v>3</v>
      </c>
      <c r="G253" s="97">
        <v>5</v>
      </c>
      <c r="H253" s="97">
        <v>8</v>
      </c>
    </row>
    <row r="254" spans="1:8" x14ac:dyDescent="0.3">
      <c r="A254" s="96" t="s">
        <v>906</v>
      </c>
      <c r="B254" s="96" t="s">
        <v>905</v>
      </c>
      <c r="C254" s="96" t="s">
        <v>904</v>
      </c>
      <c r="D254" s="97">
        <v>5.5</v>
      </c>
      <c r="E254" s="97">
        <v>2</v>
      </c>
      <c r="F254" s="97">
        <v>4</v>
      </c>
      <c r="G254" s="97">
        <v>5</v>
      </c>
      <c r="H254" s="97">
        <v>7</v>
      </c>
    </row>
    <row r="255" spans="1:8" x14ac:dyDescent="0.3">
      <c r="A255" s="96" t="s">
        <v>903</v>
      </c>
      <c r="B255" s="96" t="s">
        <v>902</v>
      </c>
      <c r="C255" s="96" t="s">
        <v>901</v>
      </c>
      <c r="D255" s="97">
        <v>5</v>
      </c>
      <c r="E255" s="97">
        <v>2.2999999999999998</v>
      </c>
      <c r="F255" s="97">
        <v>3</v>
      </c>
      <c r="G255" s="97">
        <v>5</v>
      </c>
      <c r="H255" s="97">
        <v>7</v>
      </c>
    </row>
    <row r="256" spans="1:8" x14ac:dyDescent="0.3">
      <c r="A256" s="96" t="s">
        <v>900</v>
      </c>
      <c r="B256" s="96" t="s">
        <v>899</v>
      </c>
      <c r="C256" s="96" t="s">
        <v>898</v>
      </c>
      <c r="D256" s="97">
        <v>4.8</v>
      </c>
      <c r="E256" s="97">
        <v>3</v>
      </c>
      <c r="F256" s="97">
        <v>3</v>
      </c>
      <c r="G256" s="97">
        <v>4</v>
      </c>
      <c r="H256" s="97">
        <v>7</v>
      </c>
    </row>
    <row r="257" spans="1:8" x14ac:dyDescent="0.3">
      <c r="A257" s="96" t="s">
        <v>897</v>
      </c>
      <c r="B257" s="96" t="s">
        <v>896</v>
      </c>
      <c r="C257" s="96" t="s">
        <v>895</v>
      </c>
      <c r="D257" s="97">
        <v>4</v>
      </c>
      <c r="E257" s="97">
        <v>2.2999999999999998</v>
      </c>
      <c r="F257" s="97">
        <v>2</v>
      </c>
      <c r="G257" s="97">
        <v>4</v>
      </c>
      <c r="H257" s="97">
        <v>6</v>
      </c>
    </row>
    <row r="258" spans="1:8" x14ac:dyDescent="0.3">
      <c r="A258" s="96" t="s">
        <v>894</v>
      </c>
      <c r="B258" s="96" t="s">
        <v>893</v>
      </c>
      <c r="C258" s="96" t="s">
        <v>892</v>
      </c>
      <c r="D258" s="97">
        <v>4.7</v>
      </c>
      <c r="E258" s="97">
        <v>2.6</v>
      </c>
      <c r="F258" s="97">
        <v>3</v>
      </c>
      <c r="G258" s="97">
        <v>4</v>
      </c>
      <c r="H258" s="97">
        <v>6</v>
      </c>
    </row>
    <row r="259" spans="1:8" x14ac:dyDescent="0.3">
      <c r="A259" s="96" t="s">
        <v>891</v>
      </c>
      <c r="B259" s="96" t="s">
        <v>890</v>
      </c>
      <c r="C259" s="96" t="s">
        <v>889</v>
      </c>
      <c r="D259" s="97">
        <v>4.0999999999999996</v>
      </c>
      <c r="E259" s="97">
        <v>1.9</v>
      </c>
      <c r="F259" s="97">
        <v>3</v>
      </c>
      <c r="G259" s="97">
        <v>4</v>
      </c>
      <c r="H259" s="97">
        <v>6</v>
      </c>
    </row>
    <row r="260" spans="1:8" x14ac:dyDescent="0.3">
      <c r="A260" s="96" t="s">
        <v>888</v>
      </c>
      <c r="B260" s="96" t="s">
        <v>887</v>
      </c>
      <c r="C260" s="96" t="s">
        <v>886</v>
      </c>
      <c r="D260" s="97">
        <v>6.6</v>
      </c>
      <c r="E260" s="97">
        <v>3.4</v>
      </c>
      <c r="F260" s="97">
        <v>3</v>
      </c>
      <c r="G260" s="97">
        <v>6</v>
      </c>
      <c r="H260" s="97">
        <v>10</v>
      </c>
    </row>
    <row r="261" spans="1:8" x14ac:dyDescent="0.3">
      <c r="A261" s="96" t="s">
        <v>885</v>
      </c>
      <c r="B261" s="96" t="s">
        <v>884</v>
      </c>
      <c r="C261" s="96" t="s">
        <v>1976</v>
      </c>
      <c r="D261" s="97">
        <v>5.7</v>
      </c>
      <c r="E261" s="97">
        <v>3.3</v>
      </c>
      <c r="F261" s="97">
        <v>3</v>
      </c>
      <c r="G261" s="97">
        <v>5</v>
      </c>
      <c r="H261" s="97">
        <v>9</v>
      </c>
    </row>
    <row r="262" spans="1:8" x14ac:dyDescent="0.3">
      <c r="A262" s="96" t="s">
        <v>883</v>
      </c>
      <c r="B262" s="96" t="s">
        <v>882</v>
      </c>
      <c r="C262" s="96" t="s">
        <v>881</v>
      </c>
      <c r="D262" s="97">
        <v>5.0999999999999996</v>
      </c>
      <c r="E262" s="97">
        <v>2.6</v>
      </c>
      <c r="F262" s="97">
        <v>3</v>
      </c>
      <c r="G262" s="97">
        <v>5</v>
      </c>
      <c r="H262" s="97">
        <v>7</v>
      </c>
    </row>
    <row r="263" spans="1:8" x14ac:dyDescent="0.3">
      <c r="A263" s="96" t="s">
        <v>880</v>
      </c>
      <c r="B263" s="96" t="s">
        <v>879</v>
      </c>
      <c r="C263" s="96" t="s">
        <v>878</v>
      </c>
      <c r="D263" s="97">
        <v>5.5</v>
      </c>
      <c r="E263" s="97">
        <v>3</v>
      </c>
      <c r="F263" s="97">
        <v>4</v>
      </c>
      <c r="G263" s="97">
        <v>5</v>
      </c>
      <c r="H263" s="97">
        <v>7</v>
      </c>
    </row>
    <row r="264" spans="1:8" x14ac:dyDescent="0.3">
      <c r="A264" s="96" t="s">
        <v>877</v>
      </c>
      <c r="B264" s="96" t="s">
        <v>876</v>
      </c>
      <c r="C264" s="96" t="s">
        <v>875</v>
      </c>
      <c r="D264" s="97">
        <v>4.5</v>
      </c>
      <c r="E264" s="97">
        <v>1.3</v>
      </c>
      <c r="F264" s="97">
        <v>3</v>
      </c>
      <c r="G264" s="97">
        <v>4</v>
      </c>
      <c r="H264" s="97">
        <v>6</v>
      </c>
    </row>
    <row r="265" spans="1:8" x14ac:dyDescent="0.3">
      <c r="A265" s="96" t="s">
        <v>874</v>
      </c>
      <c r="B265" s="96" t="s">
        <v>873</v>
      </c>
      <c r="C265" s="96" t="s">
        <v>872</v>
      </c>
      <c r="D265" s="97">
        <v>4.9000000000000004</v>
      </c>
      <c r="E265" s="97">
        <v>1.4</v>
      </c>
      <c r="F265" s="97">
        <v>3</v>
      </c>
      <c r="G265" s="97">
        <v>5</v>
      </c>
      <c r="H265" s="97">
        <v>6</v>
      </c>
    </row>
    <row r="266" spans="1:8" x14ac:dyDescent="0.3">
      <c r="A266" s="96" t="s">
        <v>871</v>
      </c>
      <c r="B266" s="96" t="s">
        <v>15</v>
      </c>
      <c r="C266" s="96" t="s">
        <v>870</v>
      </c>
      <c r="D266" s="97">
        <v>5.5</v>
      </c>
      <c r="E266" s="97">
        <v>2.9</v>
      </c>
      <c r="F266" s="97">
        <v>3</v>
      </c>
      <c r="G266" s="97">
        <v>5</v>
      </c>
      <c r="H266" s="97">
        <v>8</v>
      </c>
    </row>
    <row r="267" spans="1:8" x14ac:dyDescent="0.3">
      <c r="A267" s="96" t="s">
        <v>869</v>
      </c>
      <c r="B267" s="96" t="s">
        <v>868</v>
      </c>
      <c r="C267" s="96" t="s">
        <v>867</v>
      </c>
      <c r="D267" s="97">
        <v>4</v>
      </c>
      <c r="E267" s="97">
        <v>1</v>
      </c>
      <c r="F267" s="97">
        <v>3</v>
      </c>
      <c r="G267" s="97">
        <v>4</v>
      </c>
      <c r="H267" s="97">
        <v>5</v>
      </c>
    </row>
    <row r="268" spans="1:8" x14ac:dyDescent="0.3">
      <c r="A268" s="96" t="s">
        <v>866</v>
      </c>
      <c r="B268" s="96" t="s">
        <v>865</v>
      </c>
      <c r="C268" s="96" t="s">
        <v>864</v>
      </c>
      <c r="D268" s="97">
        <v>4.0999999999999996</v>
      </c>
      <c r="E268" s="97">
        <v>3</v>
      </c>
      <c r="F268" s="97">
        <v>3</v>
      </c>
      <c r="G268" s="97">
        <v>4</v>
      </c>
      <c r="H268" s="97">
        <v>5</v>
      </c>
    </row>
    <row r="269" spans="1:8" x14ac:dyDescent="0.3">
      <c r="A269" s="96" t="s">
        <v>863</v>
      </c>
      <c r="B269" s="96" t="s">
        <v>862</v>
      </c>
      <c r="C269" s="96" t="s">
        <v>861</v>
      </c>
      <c r="D269" s="97">
        <v>4.5999999999999996</v>
      </c>
      <c r="E269" s="97">
        <v>2</v>
      </c>
      <c r="F269" s="97">
        <v>3</v>
      </c>
      <c r="G269" s="97">
        <v>4</v>
      </c>
      <c r="H269" s="97">
        <v>6</v>
      </c>
    </row>
    <row r="270" spans="1:8" x14ac:dyDescent="0.3">
      <c r="A270" s="96" t="s">
        <v>860</v>
      </c>
      <c r="B270" s="96" t="s">
        <v>859</v>
      </c>
      <c r="C270" s="96" t="s">
        <v>858</v>
      </c>
      <c r="D270" s="97">
        <v>4.8</v>
      </c>
      <c r="E270" s="97">
        <v>2.7</v>
      </c>
      <c r="F270" s="97">
        <v>3</v>
      </c>
      <c r="G270" s="97">
        <v>4</v>
      </c>
      <c r="H270" s="97">
        <v>7</v>
      </c>
    </row>
    <row r="271" spans="1:8" x14ac:dyDescent="0.3">
      <c r="A271" s="96" t="s">
        <v>857</v>
      </c>
      <c r="B271" s="96" t="s">
        <v>856</v>
      </c>
      <c r="C271" s="96" t="s">
        <v>855</v>
      </c>
      <c r="D271" s="97">
        <v>5.4</v>
      </c>
      <c r="E271" s="97">
        <v>2.1</v>
      </c>
      <c r="F271" s="97">
        <v>4</v>
      </c>
      <c r="G271" s="97">
        <v>5</v>
      </c>
      <c r="H271" s="97">
        <v>7</v>
      </c>
    </row>
    <row r="272" spans="1:8" x14ac:dyDescent="0.3">
      <c r="A272" s="96" t="s">
        <v>854</v>
      </c>
      <c r="B272" s="96" t="s">
        <v>14</v>
      </c>
      <c r="C272" s="96" t="s">
        <v>853</v>
      </c>
      <c r="D272" s="97">
        <v>10.1</v>
      </c>
      <c r="E272" s="97">
        <v>4.3</v>
      </c>
      <c r="F272" s="97">
        <v>5</v>
      </c>
      <c r="G272" s="97">
        <v>10</v>
      </c>
      <c r="H272" s="97">
        <v>15</v>
      </c>
    </row>
    <row r="273" spans="1:8" x14ac:dyDescent="0.3">
      <c r="A273" s="96" t="s">
        <v>852</v>
      </c>
      <c r="B273" s="96" t="s">
        <v>851</v>
      </c>
      <c r="C273" s="96" t="s">
        <v>850</v>
      </c>
      <c r="D273" s="97">
        <v>5.8</v>
      </c>
      <c r="E273" s="97">
        <v>2.5</v>
      </c>
      <c r="F273" s="97">
        <v>4</v>
      </c>
      <c r="G273" s="97">
        <v>5</v>
      </c>
      <c r="H273" s="97">
        <v>8</v>
      </c>
    </row>
    <row r="274" spans="1:8" x14ac:dyDescent="0.3">
      <c r="A274" s="96" t="s">
        <v>849</v>
      </c>
      <c r="B274" s="96" t="s">
        <v>848</v>
      </c>
      <c r="C274" s="96" t="s">
        <v>847</v>
      </c>
      <c r="D274" s="97">
        <v>4.4000000000000004</v>
      </c>
      <c r="E274" s="97">
        <v>3</v>
      </c>
      <c r="F274" s="97">
        <v>3</v>
      </c>
      <c r="G274" s="97">
        <v>4</v>
      </c>
      <c r="H274" s="97">
        <v>6</v>
      </c>
    </row>
    <row r="275" spans="1:8" x14ac:dyDescent="0.3">
      <c r="A275" s="96" t="s">
        <v>846</v>
      </c>
      <c r="B275" s="96" t="s">
        <v>845</v>
      </c>
      <c r="C275" s="96" t="s">
        <v>844</v>
      </c>
      <c r="D275" s="97">
        <v>4.5999999999999996</v>
      </c>
      <c r="E275" s="97">
        <v>2.7</v>
      </c>
      <c r="F275" s="97">
        <v>3</v>
      </c>
      <c r="G275" s="97">
        <v>4</v>
      </c>
      <c r="H275" s="97">
        <v>6</v>
      </c>
    </row>
    <row r="276" spans="1:8" x14ac:dyDescent="0.3">
      <c r="A276" s="96" t="s">
        <v>843</v>
      </c>
      <c r="B276" s="96" t="s">
        <v>842</v>
      </c>
      <c r="C276" s="96" t="s">
        <v>841</v>
      </c>
      <c r="D276" s="97">
        <v>5.6</v>
      </c>
      <c r="E276" s="97">
        <v>2.8</v>
      </c>
      <c r="F276" s="97">
        <v>3</v>
      </c>
      <c r="G276" s="97">
        <v>5</v>
      </c>
      <c r="H276" s="97">
        <v>8</v>
      </c>
    </row>
    <row r="277" spans="1:8" x14ac:dyDescent="0.3">
      <c r="A277" s="96" t="s">
        <v>840</v>
      </c>
      <c r="B277" s="96" t="s">
        <v>839</v>
      </c>
      <c r="C277" s="96" t="s">
        <v>838</v>
      </c>
      <c r="D277" s="97">
        <v>3.9</v>
      </c>
      <c r="E277" s="97">
        <v>3.1</v>
      </c>
      <c r="F277" s="97">
        <v>2</v>
      </c>
      <c r="G277" s="97">
        <v>3</v>
      </c>
      <c r="H277" s="97">
        <v>6</v>
      </c>
    </row>
    <row r="278" spans="1:8" x14ac:dyDescent="0.3">
      <c r="A278" s="96" t="s">
        <v>837</v>
      </c>
      <c r="B278" s="96" t="s">
        <v>836</v>
      </c>
      <c r="C278" s="96" t="s">
        <v>835</v>
      </c>
      <c r="D278" s="97">
        <v>4.5999999999999996</v>
      </c>
      <c r="E278" s="97">
        <v>1.7</v>
      </c>
      <c r="F278" s="97">
        <v>3</v>
      </c>
      <c r="G278" s="97">
        <v>4</v>
      </c>
      <c r="H278" s="97">
        <v>7</v>
      </c>
    </row>
    <row r="279" spans="1:8" x14ac:dyDescent="0.3">
      <c r="A279" s="96" t="s">
        <v>834</v>
      </c>
      <c r="B279" s="96" t="s">
        <v>833</v>
      </c>
      <c r="C279" s="96" t="s">
        <v>832</v>
      </c>
      <c r="D279" s="97">
        <v>5.0999999999999996</v>
      </c>
      <c r="E279" s="97">
        <v>2.4</v>
      </c>
      <c r="F279" s="97">
        <v>3</v>
      </c>
      <c r="G279" s="97">
        <v>5</v>
      </c>
      <c r="H279" s="97">
        <v>7</v>
      </c>
    </row>
    <row r="280" spans="1:8" x14ac:dyDescent="0.3">
      <c r="A280" s="96" t="s">
        <v>831</v>
      </c>
      <c r="B280" s="96" t="s">
        <v>830</v>
      </c>
      <c r="C280" s="96" t="s">
        <v>829</v>
      </c>
      <c r="D280" s="97">
        <v>4.8</v>
      </c>
      <c r="E280" s="97">
        <v>2.9</v>
      </c>
      <c r="F280" s="97">
        <v>3</v>
      </c>
      <c r="G280" s="97">
        <v>4</v>
      </c>
      <c r="H280" s="97">
        <v>7</v>
      </c>
    </row>
    <row r="281" spans="1:8" x14ac:dyDescent="0.3">
      <c r="A281" s="96" t="s">
        <v>828</v>
      </c>
      <c r="B281" s="96" t="s">
        <v>827</v>
      </c>
      <c r="C281" s="96" t="s">
        <v>826</v>
      </c>
      <c r="D281" s="97">
        <v>5.9</v>
      </c>
      <c r="E281" s="97">
        <v>4.0999999999999996</v>
      </c>
      <c r="F281" s="97">
        <v>3</v>
      </c>
      <c r="G281" s="97">
        <v>6</v>
      </c>
      <c r="H281" s="97">
        <v>8</v>
      </c>
    </row>
    <row r="282" spans="1:8" x14ac:dyDescent="0.3">
      <c r="A282" s="96" t="s">
        <v>825</v>
      </c>
      <c r="B282" s="96" t="s">
        <v>824</v>
      </c>
      <c r="C282" s="96" t="s">
        <v>823</v>
      </c>
      <c r="D282" s="97">
        <v>4.8</v>
      </c>
      <c r="E282" s="97">
        <v>2.9</v>
      </c>
      <c r="F282" s="97">
        <v>3</v>
      </c>
      <c r="G282" s="97">
        <v>5</v>
      </c>
      <c r="H282" s="97">
        <v>6</v>
      </c>
    </row>
    <row r="283" spans="1:8" x14ac:dyDescent="0.3">
      <c r="A283" s="96" t="s">
        <v>822</v>
      </c>
      <c r="B283" s="96" t="s">
        <v>821</v>
      </c>
      <c r="C283" s="96" t="s">
        <v>820</v>
      </c>
      <c r="D283" s="97">
        <v>4</v>
      </c>
      <c r="E283" s="97">
        <v>2.7</v>
      </c>
      <c r="F283" s="97">
        <v>3</v>
      </c>
      <c r="G283" s="97">
        <v>4</v>
      </c>
      <c r="H283" s="97">
        <v>5</v>
      </c>
    </row>
    <row r="284" spans="1:8" x14ac:dyDescent="0.3">
      <c r="A284" s="96" t="s">
        <v>819</v>
      </c>
      <c r="B284" s="96" t="s">
        <v>818</v>
      </c>
      <c r="C284" s="96" t="s">
        <v>817</v>
      </c>
      <c r="D284" s="97">
        <v>4.8</v>
      </c>
      <c r="E284" s="97">
        <v>4.0999999999999996</v>
      </c>
      <c r="F284" s="97">
        <v>3</v>
      </c>
      <c r="G284" s="97">
        <v>4</v>
      </c>
      <c r="H284" s="97">
        <v>6</v>
      </c>
    </row>
    <row r="285" spans="1:8" x14ac:dyDescent="0.3">
      <c r="A285" s="96" t="s">
        <v>816</v>
      </c>
      <c r="B285" s="96" t="s">
        <v>815</v>
      </c>
      <c r="C285" s="96" t="s">
        <v>814</v>
      </c>
      <c r="D285" s="97">
        <v>6.9</v>
      </c>
      <c r="E285" s="97">
        <v>4.5</v>
      </c>
      <c r="F285" s="97">
        <v>4</v>
      </c>
      <c r="G285" s="97">
        <v>6</v>
      </c>
      <c r="H285" s="97">
        <v>10</v>
      </c>
    </row>
    <row r="286" spans="1:8" x14ac:dyDescent="0.3">
      <c r="A286" s="96" t="s">
        <v>813</v>
      </c>
      <c r="B286" s="96" t="s">
        <v>812</v>
      </c>
      <c r="C286" s="96" t="s">
        <v>811</v>
      </c>
      <c r="D286" s="97">
        <v>4</v>
      </c>
      <c r="E286" s="97">
        <v>2.2999999999999998</v>
      </c>
      <c r="F286" s="97">
        <v>3</v>
      </c>
      <c r="G286" s="97">
        <v>4</v>
      </c>
      <c r="H286" s="97">
        <v>6</v>
      </c>
    </row>
    <row r="287" spans="1:8" x14ac:dyDescent="0.3">
      <c r="A287" s="96" t="s">
        <v>810</v>
      </c>
      <c r="B287" s="96" t="s">
        <v>809</v>
      </c>
      <c r="C287" s="96" t="s">
        <v>808</v>
      </c>
      <c r="D287" s="97">
        <v>4.8</v>
      </c>
      <c r="E287" s="97">
        <v>2</v>
      </c>
      <c r="F287" s="97">
        <v>3</v>
      </c>
      <c r="G287" s="97">
        <v>5</v>
      </c>
      <c r="H287" s="97">
        <v>6</v>
      </c>
    </row>
    <row r="288" spans="1:8" x14ac:dyDescent="0.3">
      <c r="A288" s="96" t="s">
        <v>807</v>
      </c>
      <c r="B288" s="96" t="s">
        <v>806</v>
      </c>
      <c r="C288" s="96" t="s">
        <v>805</v>
      </c>
      <c r="D288" s="97">
        <v>5.3</v>
      </c>
      <c r="E288" s="97">
        <v>6.2</v>
      </c>
      <c r="F288" s="97">
        <v>3</v>
      </c>
      <c r="G288" s="97">
        <v>5</v>
      </c>
      <c r="H288" s="97">
        <v>6</v>
      </c>
    </row>
    <row r="289" spans="1:8" x14ac:dyDescent="0.3">
      <c r="A289" s="96" t="s">
        <v>804</v>
      </c>
      <c r="B289" s="96" t="s">
        <v>803</v>
      </c>
      <c r="C289" s="96" t="s">
        <v>802</v>
      </c>
      <c r="D289" s="97">
        <v>5.7</v>
      </c>
      <c r="E289" s="97">
        <v>4.3</v>
      </c>
      <c r="F289" s="97">
        <v>4</v>
      </c>
      <c r="G289" s="97">
        <v>5</v>
      </c>
      <c r="H289" s="97">
        <v>7</v>
      </c>
    </row>
    <row r="290" spans="1:8" x14ac:dyDescent="0.3">
      <c r="A290" s="96" t="s">
        <v>1977</v>
      </c>
      <c r="B290" s="96" t="s">
        <v>1978</v>
      </c>
      <c r="C290" s="96" t="s">
        <v>1979</v>
      </c>
      <c r="D290" s="97">
        <v>5.3</v>
      </c>
      <c r="E290" s="97">
        <v>1.2</v>
      </c>
      <c r="F290" s="97">
        <v>4</v>
      </c>
      <c r="G290" s="97">
        <v>5</v>
      </c>
      <c r="H290" s="97">
        <v>7</v>
      </c>
    </row>
    <row r="291" spans="1:8" x14ac:dyDescent="0.3">
      <c r="A291" s="96" t="s">
        <v>801</v>
      </c>
      <c r="B291" s="96" t="s">
        <v>800</v>
      </c>
      <c r="C291" s="96" t="s">
        <v>799</v>
      </c>
      <c r="D291" s="97">
        <v>5.4</v>
      </c>
      <c r="E291" s="97">
        <v>1.3</v>
      </c>
      <c r="F291" s="97">
        <v>4</v>
      </c>
      <c r="G291" s="97">
        <v>5</v>
      </c>
      <c r="H291" s="97">
        <v>7</v>
      </c>
    </row>
    <row r="292" spans="1:8" x14ac:dyDescent="0.3">
      <c r="A292" s="96" t="s">
        <v>798</v>
      </c>
      <c r="B292" s="96" t="s">
        <v>797</v>
      </c>
      <c r="C292" s="96" t="s">
        <v>796</v>
      </c>
      <c r="D292" s="97">
        <v>4.9000000000000004</v>
      </c>
      <c r="E292" s="97">
        <v>2.1</v>
      </c>
      <c r="F292" s="97">
        <v>3</v>
      </c>
      <c r="G292" s="97">
        <v>5</v>
      </c>
      <c r="H292" s="97">
        <v>7</v>
      </c>
    </row>
    <row r="293" spans="1:8" x14ac:dyDescent="0.3">
      <c r="A293" s="96" t="s">
        <v>795</v>
      </c>
      <c r="B293" s="96" t="s">
        <v>794</v>
      </c>
      <c r="C293" s="96" t="s">
        <v>793</v>
      </c>
      <c r="D293" s="97">
        <v>4.2</v>
      </c>
      <c r="E293" s="97">
        <v>1</v>
      </c>
      <c r="F293" s="97">
        <v>3</v>
      </c>
      <c r="G293" s="97">
        <v>4</v>
      </c>
      <c r="H293" s="97">
        <v>5</v>
      </c>
    </row>
    <row r="294" spans="1:8" x14ac:dyDescent="0.3">
      <c r="A294" s="96" t="s">
        <v>792</v>
      </c>
      <c r="B294" s="96" t="s">
        <v>791</v>
      </c>
      <c r="C294" s="96" t="s">
        <v>790</v>
      </c>
      <c r="D294" s="97">
        <v>6.1</v>
      </c>
      <c r="E294" s="97">
        <v>4.4000000000000004</v>
      </c>
      <c r="F294" s="97">
        <v>4</v>
      </c>
      <c r="G294" s="97">
        <v>6</v>
      </c>
      <c r="H294" s="97">
        <v>8</v>
      </c>
    </row>
    <row r="295" spans="1:8" x14ac:dyDescent="0.3">
      <c r="A295" s="96" t="s">
        <v>789</v>
      </c>
      <c r="B295" s="96" t="s">
        <v>788</v>
      </c>
      <c r="C295" s="96" t="s">
        <v>787</v>
      </c>
      <c r="D295" s="97">
        <v>3.3</v>
      </c>
      <c r="E295" s="97">
        <v>2.5</v>
      </c>
      <c r="F295" s="97">
        <v>2</v>
      </c>
      <c r="G295" s="97">
        <v>3</v>
      </c>
      <c r="H295" s="97">
        <v>5</v>
      </c>
    </row>
    <row r="296" spans="1:8" x14ac:dyDescent="0.3">
      <c r="A296" s="96" t="s">
        <v>1980</v>
      </c>
      <c r="B296" s="96" t="s">
        <v>1981</v>
      </c>
      <c r="C296" s="96" t="s">
        <v>1982</v>
      </c>
      <c r="D296" s="97">
        <v>7.7</v>
      </c>
      <c r="E296" s="97">
        <v>11.6</v>
      </c>
      <c r="F296" s="97">
        <v>4</v>
      </c>
      <c r="G296" s="97">
        <v>5</v>
      </c>
      <c r="H296" s="97">
        <v>7</v>
      </c>
    </row>
    <row r="297" spans="1:8" x14ac:dyDescent="0.3">
      <c r="A297" s="96" t="s">
        <v>786</v>
      </c>
      <c r="B297" s="96" t="s">
        <v>785</v>
      </c>
      <c r="C297" s="96" t="s">
        <v>784</v>
      </c>
      <c r="D297" s="97">
        <v>4.4000000000000004</v>
      </c>
      <c r="E297" s="97">
        <v>1.8</v>
      </c>
      <c r="F297" s="97">
        <v>3</v>
      </c>
      <c r="G297" s="97">
        <v>4</v>
      </c>
      <c r="H297" s="97">
        <v>6</v>
      </c>
    </row>
    <row r="298" spans="1:8" x14ac:dyDescent="0.3">
      <c r="A298" s="96" t="s">
        <v>783</v>
      </c>
      <c r="B298" s="96" t="s">
        <v>782</v>
      </c>
      <c r="C298" s="96" t="s">
        <v>781</v>
      </c>
      <c r="D298" s="97">
        <v>4.4000000000000004</v>
      </c>
      <c r="E298" s="97">
        <v>1.4</v>
      </c>
      <c r="F298" s="97">
        <v>3</v>
      </c>
      <c r="G298" s="97">
        <v>4</v>
      </c>
      <c r="H298" s="97">
        <v>6</v>
      </c>
    </row>
    <row r="299" spans="1:8" x14ac:dyDescent="0.3">
      <c r="A299" s="96" t="s">
        <v>780</v>
      </c>
      <c r="B299" s="96" t="s">
        <v>779</v>
      </c>
      <c r="C299" s="96" t="s">
        <v>778</v>
      </c>
      <c r="D299" s="97">
        <v>3.4</v>
      </c>
      <c r="E299" s="97">
        <v>1.1000000000000001</v>
      </c>
      <c r="F299" s="97">
        <v>2</v>
      </c>
      <c r="G299" s="97">
        <v>3</v>
      </c>
      <c r="H299" s="97">
        <v>5</v>
      </c>
    </row>
    <row r="300" spans="1:8" x14ac:dyDescent="0.3">
      <c r="A300" s="96" t="s">
        <v>777</v>
      </c>
      <c r="B300" s="96" t="s">
        <v>776</v>
      </c>
      <c r="C300" s="96" t="s">
        <v>1983</v>
      </c>
      <c r="D300" s="97">
        <v>4.3</v>
      </c>
      <c r="E300" s="97">
        <v>3.7</v>
      </c>
      <c r="F300" s="97">
        <v>3</v>
      </c>
      <c r="G300" s="97">
        <v>4</v>
      </c>
      <c r="H300" s="97">
        <v>6</v>
      </c>
    </row>
    <row r="301" spans="1:8" x14ac:dyDescent="0.3">
      <c r="A301" s="96" t="s">
        <v>775</v>
      </c>
      <c r="B301" s="96" t="s">
        <v>774</v>
      </c>
      <c r="C301" s="96" t="s">
        <v>773</v>
      </c>
      <c r="D301" s="97">
        <v>3.8</v>
      </c>
      <c r="E301" s="97">
        <v>1.2</v>
      </c>
      <c r="F301" s="97">
        <v>3</v>
      </c>
      <c r="G301" s="97">
        <v>4</v>
      </c>
      <c r="H301" s="97">
        <v>5</v>
      </c>
    </row>
    <row r="302" spans="1:8" x14ac:dyDescent="0.3">
      <c r="A302" s="96" t="s">
        <v>772</v>
      </c>
      <c r="B302" s="96" t="s">
        <v>771</v>
      </c>
      <c r="C302" s="96" t="s">
        <v>770</v>
      </c>
      <c r="D302" s="97">
        <v>3</v>
      </c>
      <c r="E302" s="97">
        <v>1.4</v>
      </c>
      <c r="F302" s="97">
        <v>2</v>
      </c>
      <c r="G302" s="97">
        <v>3</v>
      </c>
      <c r="H302" s="97">
        <v>4</v>
      </c>
    </row>
    <row r="303" spans="1:8" x14ac:dyDescent="0.3">
      <c r="A303" s="96" t="s">
        <v>769</v>
      </c>
      <c r="B303" s="96" t="s">
        <v>768</v>
      </c>
      <c r="C303" s="96" t="s">
        <v>767</v>
      </c>
      <c r="D303" s="97">
        <v>5.5</v>
      </c>
      <c r="E303" s="97">
        <v>1.8</v>
      </c>
      <c r="F303" s="97">
        <v>4</v>
      </c>
      <c r="G303" s="97">
        <v>5</v>
      </c>
      <c r="H303" s="97">
        <v>8</v>
      </c>
    </row>
    <row r="304" spans="1:8" x14ac:dyDescent="0.3">
      <c r="A304" s="96" t="s">
        <v>766</v>
      </c>
      <c r="B304" s="96" t="s">
        <v>765</v>
      </c>
      <c r="C304" s="96" t="s">
        <v>764</v>
      </c>
      <c r="D304" s="97">
        <v>5.0999999999999996</v>
      </c>
      <c r="E304" s="97">
        <v>4</v>
      </c>
      <c r="F304" s="97">
        <v>3</v>
      </c>
      <c r="G304" s="97">
        <v>5</v>
      </c>
      <c r="H304" s="97">
        <v>7</v>
      </c>
    </row>
    <row r="305" spans="1:8" x14ac:dyDescent="0.3">
      <c r="A305" s="96" t="s">
        <v>763</v>
      </c>
      <c r="B305" s="96" t="s">
        <v>11</v>
      </c>
      <c r="C305" s="96" t="s">
        <v>762</v>
      </c>
      <c r="D305" s="97">
        <v>5.4</v>
      </c>
      <c r="E305" s="97">
        <v>2.9</v>
      </c>
      <c r="F305" s="97">
        <v>3</v>
      </c>
      <c r="G305" s="97">
        <v>5</v>
      </c>
      <c r="H305" s="97">
        <v>7</v>
      </c>
    </row>
    <row r="306" spans="1:8" x14ac:dyDescent="0.3">
      <c r="A306" s="96" t="s">
        <v>761</v>
      </c>
      <c r="B306" s="96" t="s">
        <v>760</v>
      </c>
      <c r="C306" s="96" t="s">
        <v>759</v>
      </c>
      <c r="D306" s="97">
        <v>4.7</v>
      </c>
      <c r="E306" s="97">
        <v>1.6</v>
      </c>
      <c r="F306" s="97">
        <v>3</v>
      </c>
      <c r="G306" s="97">
        <v>4</v>
      </c>
      <c r="H306" s="97">
        <v>6</v>
      </c>
    </row>
    <row r="307" spans="1:8" x14ac:dyDescent="0.3">
      <c r="A307" s="96" t="s">
        <v>758</v>
      </c>
      <c r="B307" s="96" t="s">
        <v>757</v>
      </c>
      <c r="C307" s="96" t="s">
        <v>756</v>
      </c>
      <c r="D307" s="97">
        <v>5.5</v>
      </c>
      <c r="E307" s="97">
        <v>4.5999999999999996</v>
      </c>
      <c r="F307" s="97">
        <v>3</v>
      </c>
      <c r="G307" s="97">
        <v>5</v>
      </c>
      <c r="H307" s="97">
        <v>7</v>
      </c>
    </row>
    <row r="308" spans="1:8" x14ac:dyDescent="0.3">
      <c r="A308" s="96" t="s">
        <v>755</v>
      </c>
      <c r="B308" s="96" t="s">
        <v>754</v>
      </c>
      <c r="C308" s="96" t="s">
        <v>753</v>
      </c>
      <c r="D308" s="97">
        <v>3.9</v>
      </c>
      <c r="E308" s="97">
        <v>1.2</v>
      </c>
      <c r="F308" s="97">
        <v>3</v>
      </c>
      <c r="G308" s="97">
        <v>4</v>
      </c>
      <c r="H308" s="97">
        <v>5</v>
      </c>
    </row>
    <row r="309" spans="1:8" x14ac:dyDescent="0.3">
      <c r="A309" s="96" t="s">
        <v>752</v>
      </c>
      <c r="B309" s="96" t="s">
        <v>751</v>
      </c>
      <c r="C309" s="96" t="s">
        <v>750</v>
      </c>
      <c r="D309" s="97">
        <v>4.8</v>
      </c>
      <c r="E309" s="97">
        <v>2.5</v>
      </c>
      <c r="F309" s="97">
        <v>3</v>
      </c>
      <c r="G309" s="97">
        <v>5</v>
      </c>
      <c r="H309" s="97">
        <v>6</v>
      </c>
    </row>
    <row r="310" spans="1:8" x14ac:dyDescent="0.3">
      <c r="A310" s="96" t="s">
        <v>749</v>
      </c>
      <c r="B310" s="96" t="s">
        <v>748</v>
      </c>
      <c r="C310" s="96" t="s">
        <v>747</v>
      </c>
      <c r="D310" s="97">
        <v>5.3</v>
      </c>
      <c r="E310" s="97">
        <v>4</v>
      </c>
      <c r="F310" s="97">
        <v>3</v>
      </c>
      <c r="G310" s="97">
        <v>5</v>
      </c>
      <c r="H310" s="97">
        <v>8</v>
      </c>
    </row>
    <row r="311" spans="1:8" x14ac:dyDescent="0.3">
      <c r="A311" s="96" t="s">
        <v>746</v>
      </c>
      <c r="B311" s="96" t="s">
        <v>745</v>
      </c>
      <c r="C311" s="96" t="s">
        <v>1984</v>
      </c>
      <c r="D311" s="97">
        <v>5.7</v>
      </c>
      <c r="E311" s="97">
        <v>4.8</v>
      </c>
      <c r="F311" s="97">
        <v>4</v>
      </c>
      <c r="G311" s="97">
        <v>5</v>
      </c>
      <c r="H311" s="97">
        <v>7</v>
      </c>
    </row>
    <row r="312" spans="1:8" x14ac:dyDescent="0.3">
      <c r="A312" s="96" t="s">
        <v>744</v>
      </c>
      <c r="B312" s="96" t="s">
        <v>743</v>
      </c>
      <c r="C312" s="96" t="s">
        <v>742</v>
      </c>
      <c r="D312" s="97">
        <v>5.3</v>
      </c>
      <c r="E312" s="97">
        <v>1.6</v>
      </c>
      <c r="F312" s="97">
        <v>4</v>
      </c>
      <c r="G312" s="97">
        <v>5</v>
      </c>
      <c r="H312" s="97">
        <v>7</v>
      </c>
    </row>
    <row r="313" spans="1:8" x14ac:dyDescent="0.3">
      <c r="A313" s="96" t="s">
        <v>741</v>
      </c>
      <c r="B313" s="96" t="s">
        <v>740</v>
      </c>
      <c r="C313" s="96" t="s">
        <v>739</v>
      </c>
      <c r="D313" s="97">
        <v>9.9</v>
      </c>
      <c r="E313" s="97">
        <v>3.8</v>
      </c>
      <c r="F313" s="97">
        <v>6</v>
      </c>
      <c r="G313" s="97">
        <v>9</v>
      </c>
      <c r="H313" s="97">
        <v>14</v>
      </c>
    </row>
    <row r="314" spans="1:8" x14ac:dyDescent="0.3">
      <c r="A314" s="96" t="s">
        <v>738</v>
      </c>
      <c r="B314" s="96" t="s">
        <v>737</v>
      </c>
      <c r="C314" s="96" t="s">
        <v>736</v>
      </c>
      <c r="D314" s="97">
        <v>5.7</v>
      </c>
      <c r="E314" s="97">
        <v>2.6</v>
      </c>
      <c r="F314" s="97">
        <v>3</v>
      </c>
      <c r="G314" s="97">
        <v>5</v>
      </c>
      <c r="H314" s="97">
        <v>8</v>
      </c>
    </row>
    <row r="315" spans="1:8" x14ac:dyDescent="0.3">
      <c r="A315" s="96" t="s">
        <v>735</v>
      </c>
      <c r="B315" s="96" t="s">
        <v>734</v>
      </c>
      <c r="C315" s="96" t="s">
        <v>733</v>
      </c>
      <c r="D315" s="97">
        <v>4.8</v>
      </c>
      <c r="E315" s="97">
        <v>2.6</v>
      </c>
      <c r="F315" s="97">
        <v>3</v>
      </c>
      <c r="G315" s="97">
        <v>4</v>
      </c>
      <c r="H315" s="97">
        <v>6</v>
      </c>
    </row>
    <row r="316" spans="1:8" x14ac:dyDescent="0.3">
      <c r="A316" s="96" t="s">
        <v>732</v>
      </c>
      <c r="B316" s="96" t="s">
        <v>731</v>
      </c>
      <c r="C316" s="96" t="s">
        <v>730</v>
      </c>
      <c r="D316" s="97">
        <v>2.9</v>
      </c>
      <c r="E316" s="97">
        <v>1.5</v>
      </c>
      <c r="F316" s="97">
        <v>2</v>
      </c>
      <c r="G316" s="97">
        <v>3</v>
      </c>
      <c r="H316" s="97">
        <v>4</v>
      </c>
    </row>
    <row r="317" spans="1:8" x14ac:dyDescent="0.3">
      <c r="A317" s="96" t="s">
        <v>729</v>
      </c>
      <c r="B317" s="96" t="s">
        <v>728</v>
      </c>
      <c r="C317" s="96" t="s">
        <v>727</v>
      </c>
      <c r="D317" s="97">
        <v>4.3</v>
      </c>
      <c r="E317" s="97">
        <v>1</v>
      </c>
      <c r="F317" s="97">
        <v>3</v>
      </c>
      <c r="G317" s="97">
        <v>4</v>
      </c>
      <c r="H317" s="97">
        <v>6</v>
      </c>
    </row>
    <row r="318" spans="1:8" x14ac:dyDescent="0.3">
      <c r="A318" s="96" t="s">
        <v>726</v>
      </c>
      <c r="B318" s="96" t="s">
        <v>725</v>
      </c>
      <c r="C318" s="96" t="s">
        <v>724</v>
      </c>
      <c r="D318" s="97">
        <v>3.3</v>
      </c>
      <c r="E318" s="97">
        <v>1.2</v>
      </c>
      <c r="F318" s="97">
        <v>2</v>
      </c>
      <c r="G318" s="97">
        <v>3</v>
      </c>
      <c r="H318" s="97">
        <v>5</v>
      </c>
    </row>
    <row r="319" spans="1:8" x14ac:dyDescent="0.3">
      <c r="A319" s="96" t="s">
        <v>723</v>
      </c>
      <c r="B319" s="96" t="s">
        <v>722</v>
      </c>
      <c r="C319" s="96" t="s">
        <v>721</v>
      </c>
      <c r="D319" s="97">
        <v>4.0999999999999996</v>
      </c>
      <c r="E319" s="97">
        <v>2.6</v>
      </c>
      <c r="F319" s="97">
        <v>3</v>
      </c>
      <c r="G319" s="97">
        <v>4</v>
      </c>
      <c r="H319" s="97">
        <v>6</v>
      </c>
    </row>
    <row r="320" spans="1:8" x14ac:dyDescent="0.3">
      <c r="A320" s="96" t="s">
        <v>720</v>
      </c>
      <c r="B320" s="96" t="s">
        <v>719</v>
      </c>
      <c r="C320" s="96" t="s">
        <v>718</v>
      </c>
      <c r="D320" s="97">
        <v>4.0999999999999996</v>
      </c>
      <c r="E320" s="97">
        <v>1.6</v>
      </c>
      <c r="F320" s="97">
        <v>3</v>
      </c>
      <c r="G320" s="97">
        <v>4</v>
      </c>
      <c r="H320" s="97">
        <v>6</v>
      </c>
    </row>
    <row r="321" spans="1:8" x14ac:dyDescent="0.3">
      <c r="A321" s="96" t="s">
        <v>717</v>
      </c>
      <c r="B321" s="96" t="s">
        <v>716</v>
      </c>
      <c r="C321" s="96" t="s">
        <v>715</v>
      </c>
      <c r="D321" s="97">
        <v>4.3</v>
      </c>
      <c r="E321" s="97">
        <v>1.7</v>
      </c>
      <c r="F321" s="97">
        <v>3</v>
      </c>
      <c r="G321" s="97">
        <v>4</v>
      </c>
      <c r="H321" s="97">
        <v>6</v>
      </c>
    </row>
    <row r="322" spans="1:8" x14ac:dyDescent="0.3">
      <c r="A322" s="96" t="s">
        <v>714</v>
      </c>
      <c r="B322" s="96" t="s">
        <v>713</v>
      </c>
      <c r="C322" s="96" t="s">
        <v>712</v>
      </c>
      <c r="D322" s="97">
        <v>5.5</v>
      </c>
      <c r="E322" s="97">
        <v>2</v>
      </c>
      <c r="F322" s="97">
        <v>4</v>
      </c>
      <c r="G322" s="97">
        <v>5</v>
      </c>
      <c r="H322" s="97">
        <v>7</v>
      </c>
    </row>
    <row r="323" spans="1:8" x14ac:dyDescent="0.3">
      <c r="A323" s="96" t="s">
        <v>711</v>
      </c>
      <c r="B323" s="96" t="s">
        <v>710</v>
      </c>
      <c r="C323" s="96" t="s">
        <v>709</v>
      </c>
      <c r="D323" s="97">
        <v>5</v>
      </c>
      <c r="E323" s="97">
        <v>5.8</v>
      </c>
      <c r="F323" s="97">
        <v>3</v>
      </c>
      <c r="G323" s="97">
        <v>4</v>
      </c>
      <c r="H323" s="97">
        <v>7</v>
      </c>
    </row>
    <row r="324" spans="1:8" x14ac:dyDescent="0.3">
      <c r="A324" s="96" t="s">
        <v>708</v>
      </c>
      <c r="B324" s="96" t="s">
        <v>707</v>
      </c>
      <c r="C324" s="96" t="s">
        <v>706</v>
      </c>
      <c r="D324" s="97">
        <v>4.4000000000000004</v>
      </c>
      <c r="E324" s="97">
        <v>1.6</v>
      </c>
      <c r="F324" s="97">
        <v>3</v>
      </c>
      <c r="G324" s="97">
        <v>4</v>
      </c>
      <c r="H324" s="97">
        <v>6</v>
      </c>
    </row>
    <row r="325" spans="1:8" x14ac:dyDescent="0.3">
      <c r="A325" s="96" t="s">
        <v>705</v>
      </c>
      <c r="B325" s="96" t="s">
        <v>704</v>
      </c>
      <c r="C325" s="96" t="s">
        <v>703</v>
      </c>
      <c r="D325" s="97">
        <v>6</v>
      </c>
      <c r="E325" s="97">
        <v>3.1</v>
      </c>
      <c r="F325" s="97">
        <v>3</v>
      </c>
      <c r="G325" s="97">
        <v>6</v>
      </c>
      <c r="H325" s="97">
        <v>9</v>
      </c>
    </row>
    <row r="326" spans="1:8" x14ac:dyDescent="0.3">
      <c r="A326" s="96" t="s">
        <v>702</v>
      </c>
      <c r="B326" s="96" t="s">
        <v>701</v>
      </c>
      <c r="C326" s="96" t="s">
        <v>700</v>
      </c>
      <c r="D326" s="97">
        <v>3.6</v>
      </c>
      <c r="E326" s="97">
        <v>1.9</v>
      </c>
      <c r="F326" s="97">
        <v>2</v>
      </c>
      <c r="G326" s="97">
        <v>3</v>
      </c>
      <c r="H326" s="97">
        <v>5</v>
      </c>
    </row>
    <row r="327" spans="1:8" x14ac:dyDescent="0.3">
      <c r="A327" s="96" t="s">
        <v>699</v>
      </c>
      <c r="B327" s="96" t="s">
        <v>698</v>
      </c>
      <c r="C327" s="96" t="s">
        <v>697</v>
      </c>
      <c r="D327" s="97">
        <v>3.1</v>
      </c>
      <c r="E327" s="97">
        <v>1.5</v>
      </c>
      <c r="F327" s="97">
        <v>2</v>
      </c>
      <c r="G327" s="97">
        <v>3</v>
      </c>
      <c r="H327" s="97">
        <v>5</v>
      </c>
    </row>
    <row r="328" spans="1:8" x14ac:dyDescent="0.3">
      <c r="A328" s="96" t="s">
        <v>696</v>
      </c>
      <c r="B328" s="96" t="s">
        <v>695</v>
      </c>
      <c r="C328" s="96" t="s">
        <v>694</v>
      </c>
      <c r="D328" s="97">
        <v>4.2</v>
      </c>
      <c r="E328" s="97">
        <v>1.2</v>
      </c>
      <c r="F328" s="97">
        <v>3</v>
      </c>
      <c r="G328" s="97">
        <v>4</v>
      </c>
      <c r="H328" s="97">
        <v>6</v>
      </c>
    </row>
    <row r="329" spans="1:8" x14ac:dyDescent="0.3">
      <c r="A329" s="96" t="s">
        <v>693</v>
      </c>
      <c r="B329" s="96" t="s">
        <v>692</v>
      </c>
      <c r="C329" s="96" t="s">
        <v>691</v>
      </c>
      <c r="D329" s="97">
        <v>4.0999999999999996</v>
      </c>
      <c r="E329" s="97">
        <v>2.2000000000000002</v>
      </c>
      <c r="F329" s="97">
        <v>3</v>
      </c>
      <c r="G329" s="97">
        <v>4</v>
      </c>
      <c r="H329" s="97">
        <v>5</v>
      </c>
    </row>
    <row r="330" spans="1:8" x14ac:dyDescent="0.3">
      <c r="A330" s="96" t="s">
        <v>690</v>
      </c>
      <c r="B330" s="96" t="s">
        <v>689</v>
      </c>
      <c r="C330" s="96" t="s">
        <v>1985</v>
      </c>
      <c r="D330" s="97">
        <v>3.5</v>
      </c>
      <c r="E330" s="97">
        <v>1.4</v>
      </c>
      <c r="F330" s="97">
        <v>2</v>
      </c>
      <c r="G330" s="97">
        <v>3</v>
      </c>
      <c r="H330" s="97">
        <v>5</v>
      </c>
    </row>
    <row r="331" spans="1:8" x14ac:dyDescent="0.3">
      <c r="A331" s="96" t="s">
        <v>688</v>
      </c>
      <c r="B331" s="96" t="s">
        <v>687</v>
      </c>
      <c r="C331" s="96" t="s">
        <v>1986</v>
      </c>
      <c r="D331" s="97">
        <v>4.7</v>
      </c>
      <c r="E331" s="97">
        <v>2.8</v>
      </c>
      <c r="F331" s="97">
        <v>3</v>
      </c>
      <c r="G331" s="97">
        <v>5</v>
      </c>
      <c r="H331" s="97">
        <v>6</v>
      </c>
    </row>
    <row r="332" spans="1:8" x14ac:dyDescent="0.3">
      <c r="A332" s="96" t="s">
        <v>686</v>
      </c>
      <c r="B332" s="96" t="s">
        <v>685</v>
      </c>
      <c r="C332" s="96" t="s">
        <v>684</v>
      </c>
      <c r="D332" s="97">
        <v>5.8</v>
      </c>
      <c r="E332" s="97">
        <v>2.2999999999999998</v>
      </c>
      <c r="F332" s="97">
        <v>4</v>
      </c>
      <c r="G332" s="97">
        <v>5</v>
      </c>
      <c r="H332" s="97">
        <v>8</v>
      </c>
    </row>
    <row r="333" spans="1:8" x14ac:dyDescent="0.3">
      <c r="A333" s="96" t="s">
        <v>683</v>
      </c>
      <c r="B333" s="96" t="s">
        <v>682</v>
      </c>
      <c r="C333" s="96" t="s">
        <v>681</v>
      </c>
      <c r="D333" s="97">
        <v>4.3</v>
      </c>
      <c r="E333" s="97">
        <v>2.6</v>
      </c>
      <c r="F333" s="97">
        <v>3</v>
      </c>
      <c r="G333" s="97">
        <v>4</v>
      </c>
      <c r="H333" s="97">
        <v>6</v>
      </c>
    </row>
    <row r="334" spans="1:8" x14ac:dyDescent="0.3">
      <c r="A334" s="96" t="s">
        <v>680</v>
      </c>
      <c r="B334" s="96" t="s">
        <v>679</v>
      </c>
      <c r="C334" s="96" t="s">
        <v>678</v>
      </c>
      <c r="D334" s="97">
        <v>4.7</v>
      </c>
      <c r="E334" s="97">
        <v>3.3</v>
      </c>
      <c r="F334" s="97">
        <v>3</v>
      </c>
      <c r="G334" s="97">
        <v>4</v>
      </c>
      <c r="H334" s="97">
        <v>6</v>
      </c>
    </row>
    <row r="335" spans="1:8" x14ac:dyDescent="0.3">
      <c r="A335" s="96" t="s">
        <v>677</v>
      </c>
      <c r="B335" s="96" t="s">
        <v>676</v>
      </c>
      <c r="C335" s="96" t="s">
        <v>675</v>
      </c>
      <c r="D335" s="97">
        <v>3.8</v>
      </c>
      <c r="E335" s="97">
        <v>2.1</v>
      </c>
      <c r="F335" s="97">
        <v>2</v>
      </c>
      <c r="G335" s="97">
        <v>3</v>
      </c>
      <c r="H335" s="97">
        <v>5</v>
      </c>
    </row>
    <row r="336" spans="1:8" x14ac:dyDescent="0.3">
      <c r="A336" s="96" t="s">
        <v>674</v>
      </c>
      <c r="B336" s="96" t="s">
        <v>673</v>
      </c>
      <c r="C336" s="96" t="s">
        <v>672</v>
      </c>
      <c r="D336" s="97">
        <v>4.0999999999999996</v>
      </c>
      <c r="E336" s="97">
        <v>1.4</v>
      </c>
      <c r="F336" s="97">
        <v>3</v>
      </c>
      <c r="G336" s="97">
        <v>4</v>
      </c>
      <c r="H336" s="97">
        <v>6</v>
      </c>
    </row>
    <row r="337" spans="1:8" x14ac:dyDescent="0.3">
      <c r="A337" s="96" t="s">
        <v>671</v>
      </c>
      <c r="B337" s="96" t="s">
        <v>670</v>
      </c>
      <c r="C337" s="96" t="s">
        <v>669</v>
      </c>
      <c r="D337" s="97">
        <v>4.7</v>
      </c>
      <c r="E337" s="97">
        <v>2.2999999999999998</v>
      </c>
      <c r="F337" s="97">
        <v>3</v>
      </c>
      <c r="G337" s="97">
        <v>5</v>
      </c>
      <c r="H337" s="97">
        <v>6</v>
      </c>
    </row>
    <row r="338" spans="1:8" x14ac:dyDescent="0.3">
      <c r="A338" s="96" t="s">
        <v>668</v>
      </c>
      <c r="B338" s="96" t="s">
        <v>667</v>
      </c>
      <c r="C338" s="96" t="s">
        <v>666</v>
      </c>
      <c r="D338" s="97">
        <v>4.5999999999999996</v>
      </c>
      <c r="E338" s="97">
        <v>1.3</v>
      </c>
      <c r="F338" s="97">
        <v>3</v>
      </c>
      <c r="G338" s="97">
        <v>4</v>
      </c>
      <c r="H338" s="97">
        <v>6</v>
      </c>
    </row>
    <row r="339" spans="1:8" x14ac:dyDescent="0.3">
      <c r="A339" s="96" t="s">
        <v>665</v>
      </c>
      <c r="B339" s="96" t="s">
        <v>664</v>
      </c>
      <c r="C339" s="96" t="s">
        <v>663</v>
      </c>
      <c r="D339" s="97">
        <v>3.7</v>
      </c>
      <c r="E339" s="97">
        <v>1.7</v>
      </c>
      <c r="F339" s="97">
        <v>2</v>
      </c>
      <c r="G339" s="97">
        <v>4</v>
      </c>
      <c r="H339" s="97">
        <v>5</v>
      </c>
    </row>
    <row r="340" spans="1:8" x14ac:dyDescent="0.3">
      <c r="A340" s="96" t="s">
        <v>662</v>
      </c>
      <c r="B340" s="96" t="s">
        <v>661</v>
      </c>
      <c r="C340" s="96" t="s">
        <v>660</v>
      </c>
      <c r="D340" s="97">
        <v>4</v>
      </c>
      <c r="E340" s="97">
        <v>1</v>
      </c>
      <c r="F340" s="97">
        <v>3</v>
      </c>
      <c r="G340" s="97">
        <v>4</v>
      </c>
      <c r="H340" s="97">
        <v>5</v>
      </c>
    </row>
    <row r="341" spans="1:8" x14ac:dyDescent="0.3">
      <c r="A341" s="96" t="s">
        <v>659</v>
      </c>
      <c r="B341" s="96" t="s">
        <v>658</v>
      </c>
      <c r="C341" s="96" t="s">
        <v>657</v>
      </c>
      <c r="D341" s="97">
        <v>3.3</v>
      </c>
      <c r="E341" s="97">
        <v>1.2</v>
      </c>
      <c r="F341" s="97">
        <v>2</v>
      </c>
      <c r="G341" s="97">
        <v>3</v>
      </c>
      <c r="H341" s="97">
        <v>5</v>
      </c>
    </row>
    <row r="342" spans="1:8" x14ac:dyDescent="0.3">
      <c r="A342" s="96" t="s">
        <v>656</v>
      </c>
      <c r="B342" s="96" t="s">
        <v>655</v>
      </c>
      <c r="C342" s="96" t="s">
        <v>654</v>
      </c>
      <c r="D342" s="97">
        <v>3.7</v>
      </c>
      <c r="E342" s="97">
        <v>1.4</v>
      </c>
      <c r="F342" s="97">
        <v>2</v>
      </c>
      <c r="G342" s="97">
        <v>4</v>
      </c>
      <c r="H342" s="97">
        <v>5</v>
      </c>
    </row>
    <row r="343" spans="1:8" x14ac:dyDescent="0.3">
      <c r="A343" s="96" t="s">
        <v>653</v>
      </c>
      <c r="B343" s="96" t="s">
        <v>652</v>
      </c>
      <c r="C343" s="96" t="s">
        <v>651</v>
      </c>
      <c r="D343" s="97">
        <v>4.0999999999999996</v>
      </c>
      <c r="E343" s="97">
        <v>1.7</v>
      </c>
      <c r="F343" s="97">
        <v>2</v>
      </c>
      <c r="G343" s="97">
        <v>4</v>
      </c>
      <c r="H343" s="97">
        <v>5</v>
      </c>
    </row>
    <row r="344" spans="1:8" x14ac:dyDescent="0.3">
      <c r="A344" s="96" t="s">
        <v>650</v>
      </c>
      <c r="B344" s="96" t="s">
        <v>649</v>
      </c>
      <c r="C344" s="96" t="s">
        <v>1987</v>
      </c>
      <c r="D344" s="97">
        <v>4.2</v>
      </c>
      <c r="E344" s="97">
        <v>2</v>
      </c>
      <c r="F344" s="97">
        <v>2</v>
      </c>
      <c r="G344" s="97">
        <v>4</v>
      </c>
      <c r="H344" s="97">
        <v>7</v>
      </c>
    </row>
    <row r="345" spans="1:8" x14ac:dyDescent="0.3">
      <c r="A345" s="96" t="s">
        <v>648</v>
      </c>
      <c r="B345" s="96" t="s">
        <v>647</v>
      </c>
      <c r="C345" s="96" t="s">
        <v>646</v>
      </c>
      <c r="D345" s="97">
        <v>5.3</v>
      </c>
      <c r="E345" s="97">
        <v>2.7</v>
      </c>
      <c r="F345" s="97">
        <v>3</v>
      </c>
      <c r="G345" s="97">
        <v>5</v>
      </c>
      <c r="H345" s="97">
        <v>8</v>
      </c>
    </row>
    <row r="346" spans="1:8" x14ac:dyDescent="0.3">
      <c r="A346" s="96" t="s">
        <v>645</v>
      </c>
      <c r="B346" s="96" t="s">
        <v>644</v>
      </c>
      <c r="C346" s="96" t="s">
        <v>643</v>
      </c>
      <c r="D346" s="97">
        <v>4</v>
      </c>
      <c r="E346" s="97">
        <v>2</v>
      </c>
      <c r="F346" s="97">
        <v>3</v>
      </c>
      <c r="G346" s="97">
        <v>4</v>
      </c>
      <c r="H346" s="97">
        <v>6</v>
      </c>
    </row>
    <row r="347" spans="1:8" x14ac:dyDescent="0.3">
      <c r="A347" s="96" t="s">
        <v>642</v>
      </c>
      <c r="B347" s="96" t="s">
        <v>641</v>
      </c>
      <c r="C347" s="96" t="s">
        <v>640</v>
      </c>
      <c r="D347" s="97">
        <v>3.8</v>
      </c>
      <c r="E347" s="97">
        <v>1.7</v>
      </c>
      <c r="F347" s="97">
        <v>2</v>
      </c>
      <c r="G347" s="97">
        <v>4</v>
      </c>
      <c r="H347" s="97">
        <v>5</v>
      </c>
    </row>
    <row r="348" spans="1:8" x14ac:dyDescent="0.3">
      <c r="A348" s="96" t="s">
        <v>639</v>
      </c>
      <c r="B348" s="96" t="s">
        <v>638</v>
      </c>
      <c r="C348" s="96" t="s">
        <v>637</v>
      </c>
      <c r="D348" s="97">
        <v>3.4</v>
      </c>
      <c r="E348" s="97">
        <v>2</v>
      </c>
      <c r="F348" s="97">
        <v>2</v>
      </c>
      <c r="G348" s="97">
        <v>3</v>
      </c>
      <c r="H348" s="97">
        <v>5</v>
      </c>
    </row>
    <row r="349" spans="1:8" x14ac:dyDescent="0.3">
      <c r="A349" s="96" t="s">
        <v>636</v>
      </c>
      <c r="B349" s="96" t="s">
        <v>635</v>
      </c>
      <c r="C349" s="96" t="s">
        <v>1988</v>
      </c>
      <c r="D349" s="97">
        <v>3.8</v>
      </c>
      <c r="E349" s="97">
        <v>1.9</v>
      </c>
      <c r="F349" s="97">
        <v>2</v>
      </c>
      <c r="G349" s="97">
        <v>3</v>
      </c>
      <c r="H349" s="97">
        <v>6</v>
      </c>
    </row>
    <row r="350" spans="1:8" x14ac:dyDescent="0.3">
      <c r="A350" s="96" t="s">
        <v>634</v>
      </c>
      <c r="B350" s="96" t="s">
        <v>633</v>
      </c>
      <c r="C350" s="96" t="s">
        <v>632</v>
      </c>
      <c r="D350" s="97">
        <v>3</v>
      </c>
      <c r="E350" s="97">
        <v>1.1000000000000001</v>
      </c>
      <c r="F350" s="97">
        <v>2</v>
      </c>
      <c r="G350" s="97">
        <v>3</v>
      </c>
      <c r="H350" s="97">
        <v>5</v>
      </c>
    </row>
    <row r="351" spans="1:8" x14ac:dyDescent="0.3">
      <c r="A351" s="96" t="s">
        <v>631</v>
      </c>
      <c r="B351" s="96" t="s">
        <v>630</v>
      </c>
      <c r="C351" s="96" t="s">
        <v>629</v>
      </c>
      <c r="D351" s="97">
        <v>4.7</v>
      </c>
      <c r="E351" s="97">
        <v>2.4</v>
      </c>
      <c r="F351" s="97">
        <v>3</v>
      </c>
      <c r="G351" s="97">
        <v>4</v>
      </c>
      <c r="H351" s="97">
        <v>7</v>
      </c>
    </row>
    <row r="352" spans="1:8" x14ac:dyDescent="0.3">
      <c r="A352" s="96" t="s">
        <v>628</v>
      </c>
      <c r="B352" s="96" t="s">
        <v>627</v>
      </c>
      <c r="C352" s="96" t="s">
        <v>626</v>
      </c>
      <c r="D352" s="97">
        <v>3.7</v>
      </c>
      <c r="E352" s="97">
        <v>1.8</v>
      </c>
      <c r="F352" s="97">
        <v>2</v>
      </c>
      <c r="G352" s="97">
        <v>4</v>
      </c>
      <c r="H352" s="97">
        <v>5</v>
      </c>
    </row>
    <row r="353" spans="1:8" x14ac:dyDescent="0.3">
      <c r="A353" s="96" t="s">
        <v>625</v>
      </c>
      <c r="B353" s="96" t="s">
        <v>624</v>
      </c>
      <c r="C353" s="96" t="s">
        <v>623</v>
      </c>
      <c r="D353" s="97">
        <v>5.4</v>
      </c>
      <c r="E353" s="97">
        <v>3</v>
      </c>
      <c r="F353" s="97">
        <v>3</v>
      </c>
      <c r="G353" s="97">
        <v>5</v>
      </c>
      <c r="H353" s="97">
        <v>8</v>
      </c>
    </row>
    <row r="354" spans="1:8" x14ac:dyDescent="0.3">
      <c r="A354" s="96" t="s">
        <v>622</v>
      </c>
      <c r="B354" s="96" t="s">
        <v>621</v>
      </c>
      <c r="C354" s="96" t="s">
        <v>620</v>
      </c>
      <c r="D354" s="97">
        <v>6.7</v>
      </c>
      <c r="E354" s="97">
        <v>3.1</v>
      </c>
      <c r="F354" s="97">
        <v>5</v>
      </c>
      <c r="G354" s="97">
        <v>6</v>
      </c>
      <c r="H354" s="97">
        <v>9</v>
      </c>
    </row>
    <row r="355" spans="1:8" x14ac:dyDescent="0.3">
      <c r="A355" s="96" t="s">
        <v>619</v>
      </c>
      <c r="B355" s="96" t="s">
        <v>618</v>
      </c>
      <c r="C355" s="96" t="s">
        <v>617</v>
      </c>
      <c r="D355" s="97">
        <v>5.6</v>
      </c>
      <c r="E355" s="97">
        <v>7.9</v>
      </c>
      <c r="F355" s="97">
        <v>3</v>
      </c>
      <c r="G355" s="97">
        <v>4</v>
      </c>
      <c r="H355" s="97">
        <v>6</v>
      </c>
    </row>
    <row r="356" spans="1:8" x14ac:dyDescent="0.3">
      <c r="A356" s="96" t="s">
        <v>616</v>
      </c>
      <c r="B356" s="96" t="s">
        <v>615</v>
      </c>
      <c r="C356" s="96" t="s">
        <v>614</v>
      </c>
      <c r="D356" s="97">
        <v>4.9000000000000004</v>
      </c>
      <c r="E356" s="97">
        <v>2.9</v>
      </c>
      <c r="F356" s="97">
        <v>3</v>
      </c>
      <c r="G356" s="97">
        <v>5</v>
      </c>
      <c r="H356" s="97">
        <v>7</v>
      </c>
    </row>
    <row r="357" spans="1:8" x14ac:dyDescent="0.3">
      <c r="A357" s="96" t="s">
        <v>613</v>
      </c>
      <c r="B357" s="96" t="s">
        <v>612</v>
      </c>
      <c r="C357" s="96" t="s">
        <v>611</v>
      </c>
      <c r="D357" s="97">
        <v>4.7</v>
      </c>
      <c r="E357" s="97">
        <v>4.5</v>
      </c>
      <c r="F357" s="97">
        <v>3</v>
      </c>
      <c r="G357" s="97">
        <v>4</v>
      </c>
      <c r="H357" s="97">
        <v>6</v>
      </c>
    </row>
    <row r="358" spans="1:8" x14ac:dyDescent="0.3">
      <c r="A358" s="96" t="s">
        <v>610</v>
      </c>
      <c r="B358" s="96" t="s">
        <v>609</v>
      </c>
      <c r="C358" s="96" t="s">
        <v>608</v>
      </c>
      <c r="D358" s="97">
        <v>5.5</v>
      </c>
      <c r="E358" s="97">
        <v>2.8</v>
      </c>
      <c r="F358" s="97">
        <v>3</v>
      </c>
      <c r="G358" s="97">
        <v>5</v>
      </c>
      <c r="H358" s="97">
        <v>8</v>
      </c>
    </row>
    <row r="359" spans="1:8" x14ac:dyDescent="0.3">
      <c r="A359" s="96" t="s">
        <v>607</v>
      </c>
      <c r="B359" s="96" t="s">
        <v>606</v>
      </c>
      <c r="C359" s="96" t="s">
        <v>605</v>
      </c>
      <c r="D359" s="97">
        <v>4.5999999999999996</v>
      </c>
      <c r="E359" s="97">
        <v>3.4</v>
      </c>
      <c r="F359" s="97">
        <v>3</v>
      </c>
      <c r="G359" s="97">
        <v>4</v>
      </c>
      <c r="H359" s="97">
        <v>6</v>
      </c>
    </row>
    <row r="360" spans="1:8" x14ac:dyDescent="0.3">
      <c r="A360" s="96" t="s">
        <v>604</v>
      </c>
      <c r="B360" s="96" t="s">
        <v>603</v>
      </c>
      <c r="C360" s="96" t="s">
        <v>602</v>
      </c>
      <c r="D360" s="97">
        <v>4</v>
      </c>
      <c r="E360" s="97">
        <v>1.5</v>
      </c>
      <c r="F360" s="97">
        <v>3</v>
      </c>
      <c r="G360" s="97">
        <v>3</v>
      </c>
      <c r="H360" s="97">
        <v>6</v>
      </c>
    </row>
    <row r="361" spans="1:8" x14ac:dyDescent="0.3">
      <c r="A361" s="96" t="s">
        <v>601</v>
      </c>
      <c r="B361" s="96" t="s">
        <v>600</v>
      </c>
      <c r="C361" s="96" t="s">
        <v>599</v>
      </c>
      <c r="D361" s="97">
        <v>5.8</v>
      </c>
      <c r="E361" s="97">
        <v>3.3</v>
      </c>
      <c r="F361" s="97">
        <v>3</v>
      </c>
      <c r="G361" s="97">
        <v>5</v>
      </c>
      <c r="H361" s="97">
        <v>9</v>
      </c>
    </row>
    <row r="362" spans="1:8" x14ac:dyDescent="0.3">
      <c r="A362" s="96" t="s">
        <v>598</v>
      </c>
      <c r="B362" s="96" t="s">
        <v>597</v>
      </c>
      <c r="C362" s="96" t="s">
        <v>596</v>
      </c>
      <c r="D362" s="97">
        <v>5</v>
      </c>
      <c r="E362" s="97">
        <v>1.6</v>
      </c>
      <c r="F362" s="97">
        <v>3</v>
      </c>
      <c r="G362" s="97">
        <v>5</v>
      </c>
      <c r="H362" s="97">
        <v>7</v>
      </c>
    </row>
    <row r="363" spans="1:8" x14ac:dyDescent="0.3">
      <c r="A363" s="96" t="s">
        <v>595</v>
      </c>
      <c r="B363" s="96" t="s">
        <v>594</v>
      </c>
      <c r="C363" s="96" t="s">
        <v>593</v>
      </c>
      <c r="D363" s="97">
        <v>4.8</v>
      </c>
      <c r="E363" s="97">
        <v>3</v>
      </c>
      <c r="F363" s="97">
        <v>3</v>
      </c>
      <c r="G363" s="97">
        <v>4</v>
      </c>
      <c r="H363" s="97">
        <v>7</v>
      </c>
    </row>
    <row r="364" spans="1:8" x14ac:dyDescent="0.3">
      <c r="A364" s="96" t="s">
        <v>592</v>
      </c>
      <c r="B364" s="96" t="s">
        <v>591</v>
      </c>
      <c r="C364" s="96" t="s">
        <v>590</v>
      </c>
      <c r="D364" s="97">
        <v>4.7</v>
      </c>
      <c r="E364" s="97">
        <v>4.7</v>
      </c>
      <c r="F364" s="97">
        <v>3</v>
      </c>
      <c r="G364" s="97">
        <v>4</v>
      </c>
      <c r="H364" s="97">
        <v>6</v>
      </c>
    </row>
    <row r="365" spans="1:8" x14ac:dyDescent="0.3">
      <c r="A365" s="96" t="s">
        <v>589</v>
      </c>
      <c r="B365" s="96" t="s">
        <v>588</v>
      </c>
      <c r="C365" s="96" t="s">
        <v>587</v>
      </c>
      <c r="D365" s="97">
        <v>5.2</v>
      </c>
      <c r="E365" s="97">
        <v>3.6</v>
      </c>
      <c r="F365" s="97">
        <v>3</v>
      </c>
      <c r="G365" s="97">
        <v>5</v>
      </c>
      <c r="H365" s="97">
        <v>7</v>
      </c>
    </row>
    <row r="366" spans="1:8" x14ac:dyDescent="0.3">
      <c r="A366" s="96" t="s">
        <v>586</v>
      </c>
      <c r="B366" s="96" t="s">
        <v>585</v>
      </c>
      <c r="C366" s="96" t="s">
        <v>584</v>
      </c>
      <c r="D366" s="97">
        <v>4.7</v>
      </c>
      <c r="E366" s="97">
        <v>2.7</v>
      </c>
      <c r="F366" s="97">
        <v>3</v>
      </c>
      <c r="G366" s="97">
        <v>4</v>
      </c>
      <c r="H366" s="97">
        <v>6</v>
      </c>
    </row>
    <row r="367" spans="1:8" x14ac:dyDescent="0.3">
      <c r="A367" s="96" t="s">
        <v>583</v>
      </c>
      <c r="B367" s="96" t="s">
        <v>582</v>
      </c>
      <c r="C367" s="96" t="s">
        <v>581</v>
      </c>
      <c r="D367" s="97">
        <v>4.5</v>
      </c>
      <c r="E367" s="97">
        <v>3.1</v>
      </c>
      <c r="F367" s="97">
        <v>3</v>
      </c>
      <c r="G367" s="97">
        <v>4</v>
      </c>
      <c r="H367" s="97">
        <v>6</v>
      </c>
    </row>
    <row r="368" spans="1:8" x14ac:dyDescent="0.3">
      <c r="A368" s="96" t="s">
        <v>580</v>
      </c>
      <c r="B368" s="96" t="s">
        <v>579</v>
      </c>
      <c r="C368" s="96" t="s">
        <v>578</v>
      </c>
      <c r="D368" s="97">
        <v>4.5999999999999996</v>
      </c>
      <c r="E368" s="97">
        <v>2</v>
      </c>
      <c r="F368" s="97">
        <v>3</v>
      </c>
      <c r="G368" s="97">
        <v>4</v>
      </c>
      <c r="H368" s="97">
        <v>6</v>
      </c>
    </row>
    <row r="369" spans="1:8" x14ac:dyDescent="0.3">
      <c r="A369" s="96" t="s">
        <v>577</v>
      </c>
      <c r="B369" s="96" t="s">
        <v>576</v>
      </c>
      <c r="C369" s="96" t="s">
        <v>575</v>
      </c>
      <c r="D369" s="97">
        <v>5.7</v>
      </c>
      <c r="E369" s="97">
        <v>2.9</v>
      </c>
      <c r="F369" s="97">
        <v>4</v>
      </c>
      <c r="G369" s="97">
        <v>5</v>
      </c>
      <c r="H369" s="97">
        <v>9</v>
      </c>
    </row>
    <row r="370" spans="1:8" x14ac:dyDescent="0.3">
      <c r="A370" s="96" t="s">
        <v>574</v>
      </c>
      <c r="B370" s="96" t="s">
        <v>573</v>
      </c>
      <c r="C370" s="96" t="s">
        <v>572</v>
      </c>
      <c r="D370" s="97">
        <v>4.2</v>
      </c>
      <c r="E370" s="97">
        <v>3.3</v>
      </c>
      <c r="F370" s="97">
        <v>3</v>
      </c>
      <c r="G370" s="97">
        <v>4</v>
      </c>
      <c r="H370" s="97">
        <v>6</v>
      </c>
    </row>
    <row r="371" spans="1:8" x14ac:dyDescent="0.3">
      <c r="A371" s="96" t="s">
        <v>571</v>
      </c>
      <c r="B371" s="96" t="s">
        <v>570</v>
      </c>
      <c r="C371" s="96" t="s">
        <v>569</v>
      </c>
      <c r="D371" s="97">
        <v>5.7</v>
      </c>
      <c r="E371" s="97">
        <v>3</v>
      </c>
      <c r="F371" s="97">
        <v>4</v>
      </c>
      <c r="G371" s="97">
        <v>5</v>
      </c>
      <c r="H371" s="97">
        <v>7</v>
      </c>
    </row>
    <row r="372" spans="1:8" x14ac:dyDescent="0.3">
      <c r="A372" s="96" t="s">
        <v>568</v>
      </c>
      <c r="B372" s="96" t="s">
        <v>567</v>
      </c>
      <c r="C372" s="96" t="s">
        <v>566</v>
      </c>
      <c r="D372" s="97">
        <v>5.5</v>
      </c>
      <c r="E372" s="97">
        <v>3.7</v>
      </c>
      <c r="F372" s="97">
        <v>3</v>
      </c>
      <c r="G372" s="97">
        <v>5</v>
      </c>
      <c r="H372" s="97">
        <v>7</v>
      </c>
    </row>
    <row r="373" spans="1:8" x14ac:dyDescent="0.3">
      <c r="A373" s="96" t="s">
        <v>565</v>
      </c>
      <c r="B373" s="96" t="s">
        <v>564</v>
      </c>
      <c r="C373" s="96" t="s">
        <v>563</v>
      </c>
      <c r="D373" s="97">
        <v>4.3</v>
      </c>
      <c r="E373" s="97">
        <v>1.7</v>
      </c>
      <c r="F373" s="97">
        <v>3</v>
      </c>
      <c r="G373" s="97">
        <v>4</v>
      </c>
      <c r="H373" s="97">
        <v>6</v>
      </c>
    </row>
    <row r="374" spans="1:8" x14ac:dyDescent="0.3">
      <c r="A374" s="96" t="s">
        <v>1989</v>
      </c>
      <c r="B374" s="96" t="s">
        <v>1990</v>
      </c>
      <c r="C374" s="96" t="s">
        <v>1991</v>
      </c>
      <c r="D374" s="97">
        <v>3.8</v>
      </c>
      <c r="E374" s="97">
        <v>1.7</v>
      </c>
      <c r="F374" s="97">
        <v>3</v>
      </c>
      <c r="G374" s="97">
        <v>3</v>
      </c>
      <c r="H374" s="97">
        <v>5</v>
      </c>
    </row>
    <row r="375" spans="1:8" x14ac:dyDescent="0.3">
      <c r="A375" s="96" t="s">
        <v>562</v>
      </c>
      <c r="B375" s="96" t="s">
        <v>561</v>
      </c>
      <c r="C375" s="96" t="s">
        <v>560</v>
      </c>
      <c r="D375" s="97">
        <v>4.3</v>
      </c>
      <c r="E375" s="97">
        <v>1.6</v>
      </c>
      <c r="F375" s="97">
        <v>3</v>
      </c>
      <c r="G375" s="97">
        <v>4</v>
      </c>
      <c r="H375" s="97">
        <v>6</v>
      </c>
    </row>
    <row r="376" spans="1:8" x14ac:dyDescent="0.3">
      <c r="A376" s="96" t="s">
        <v>559</v>
      </c>
      <c r="B376" s="96" t="s">
        <v>558</v>
      </c>
      <c r="C376" s="96" t="s">
        <v>557</v>
      </c>
      <c r="D376" s="97">
        <v>4.7</v>
      </c>
      <c r="E376" s="97">
        <v>3.5</v>
      </c>
      <c r="F376" s="97">
        <v>3</v>
      </c>
      <c r="G376" s="97">
        <v>4</v>
      </c>
      <c r="H376" s="97">
        <v>6</v>
      </c>
    </row>
    <row r="377" spans="1:8" x14ac:dyDescent="0.3">
      <c r="A377" s="96" t="s">
        <v>556</v>
      </c>
      <c r="B377" s="96" t="s">
        <v>555</v>
      </c>
      <c r="C377" s="96" t="s">
        <v>554</v>
      </c>
      <c r="D377" s="97">
        <v>3.9</v>
      </c>
      <c r="E377" s="97">
        <v>4.3</v>
      </c>
      <c r="F377" s="97">
        <v>3</v>
      </c>
      <c r="G377" s="97">
        <v>3</v>
      </c>
      <c r="H377" s="97">
        <v>5</v>
      </c>
    </row>
    <row r="378" spans="1:8" x14ac:dyDescent="0.3">
      <c r="A378" s="96" t="s">
        <v>1992</v>
      </c>
      <c r="B378" s="96" t="s">
        <v>1993</v>
      </c>
      <c r="C378" s="96" t="s">
        <v>1994</v>
      </c>
      <c r="D378" s="97">
        <v>4.5999999999999996</v>
      </c>
      <c r="E378" s="97">
        <v>4.5999999999999996</v>
      </c>
      <c r="F378" s="97">
        <v>3</v>
      </c>
      <c r="G378" s="97">
        <v>4</v>
      </c>
      <c r="H378" s="97">
        <v>5</v>
      </c>
    </row>
    <row r="379" spans="1:8" x14ac:dyDescent="0.3">
      <c r="A379" s="96" t="s">
        <v>553</v>
      </c>
      <c r="B379" s="96" t="s">
        <v>552</v>
      </c>
      <c r="C379" s="96" t="s">
        <v>551</v>
      </c>
      <c r="D379" s="97">
        <v>4.4000000000000004</v>
      </c>
      <c r="E379" s="97">
        <v>3.1</v>
      </c>
      <c r="F379" s="97">
        <v>3</v>
      </c>
      <c r="G379" s="97">
        <v>4</v>
      </c>
      <c r="H379" s="97">
        <v>6</v>
      </c>
    </row>
    <row r="380" spans="1:8" x14ac:dyDescent="0.3">
      <c r="A380" s="96" t="s">
        <v>550</v>
      </c>
      <c r="B380" s="96" t="s">
        <v>549</v>
      </c>
      <c r="C380" s="96" t="s">
        <v>1995</v>
      </c>
      <c r="D380" s="97">
        <v>5.8</v>
      </c>
      <c r="E380" s="97">
        <v>5.2</v>
      </c>
      <c r="F380" s="97">
        <v>4</v>
      </c>
      <c r="G380" s="97">
        <v>5</v>
      </c>
      <c r="H380" s="97">
        <v>7</v>
      </c>
    </row>
    <row r="381" spans="1:8" x14ac:dyDescent="0.3">
      <c r="A381" s="96" t="s">
        <v>548</v>
      </c>
      <c r="B381" s="96" t="s">
        <v>547</v>
      </c>
      <c r="C381" s="96" t="s">
        <v>546</v>
      </c>
      <c r="D381" s="97">
        <v>4.0999999999999996</v>
      </c>
      <c r="E381" s="97">
        <v>3.7</v>
      </c>
      <c r="F381" s="97">
        <v>3</v>
      </c>
      <c r="G381" s="97">
        <v>4</v>
      </c>
      <c r="H381" s="97">
        <v>5</v>
      </c>
    </row>
    <row r="382" spans="1:8" x14ac:dyDescent="0.3">
      <c r="A382" s="96" t="s">
        <v>545</v>
      </c>
      <c r="B382" s="96" t="s">
        <v>544</v>
      </c>
      <c r="C382" s="96" t="s">
        <v>543</v>
      </c>
      <c r="D382" s="97">
        <v>3.9</v>
      </c>
      <c r="E382" s="97">
        <v>1.6</v>
      </c>
      <c r="F382" s="97">
        <v>3</v>
      </c>
      <c r="G382" s="97">
        <v>4</v>
      </c>
      <c r="H382" s="97">
        <v>5</v>
      </c>
    </row>
    <row r="383" spans="1:8" x14ac:dyDescent="0.3">
      <c r="A383" s="96" t="s">
        <v>542</v>
      </c>
      <c r="B383" s="96" t="s">
        <v>541</v>
      </c>
      <c r="C383" s="96" t="s">
        <v>540</v>
      </c>
      <c r="D383" s="97">
        <v>5.0999999999999996</v>
      </c>
      <c r="E383" s="97">
        <v>2.4</v>
      </c>
      <c r="F383" s="97">
        <v>3</v>
      </c>
      <c r="G383" s="97">
        <v>5</v>
      </c>
      <c r="H383" s="97">
        <v>7</v>
      </c>
    </row>
    <row r="384" spans="1:8" x14ac:dyDescent="0.3">
      <c r="A384" s="96" t="s">
        <v>539</v>
      </c>
      <c r="B384" s="96" t="s">
        <v>538</v>
      </c>
      <c r="C384" s="96" t="s">
        <v>537</v>
      </c>
      <c r="D384" s="97">
        <v>5.7</v>
      </c>
      <c r="E384" s="97">
        <v>3.3</v>
      </c>
      <c r="F384" s="97">
        <v>4</v>
      </c>
      <c r="G384" s="97">
        <v>5</v>
      </c>
      <c r="H384" s="97">
        <v>8</v>
      </c>
    </row>
    <row r="385" spans="1:8" x14ac:dyDescent="0.3">
      <c r="A385" s="96" t="s">
        <v>536</v>
      </c>
      <c r="B385" s="96" t="s">
        <v>535</v>
      </c>
      <c r="C385" s="96" t="s">
        <v>534</v>
      </c>
      <c r="D385" s="97">
        <v>9.8000000000000007</v>
      </c>
      <c r="E385" s="97">
        <v>3.8</v>
      </c>
      <c r="F385" s="97">
        <v>6</v>
      </c>
      <c r="G385" s="97">
        <v>9</v>
      </c>
      <c r="H385" s="97">
        <v>14</v>
      </c>
    </row>
    <row r="386" spans="1:8" x14ac:dyDescent="0.3">
      <c r="A386" s="96" t="s">
        <v>533</v>
      </c>
      <c r="B386" s="96" t="s">
        <v>532</v>
      </c>
      <c r="C386" s="96" t="s">
        <v>531</v>
      </c>
      <c r="D386" s="97">
        <v>5</v>
      </c>
      <c r="E386" s="97">
        <v>3.2</v>
      </c>
      <c r="F386" s="97">
        <v>3</v>
      </c>
      <c r="G386" s="97">
        <v>4</v>
      </c>
      <c r="H386" s="97">
        <v>8</v>
      </c>
    </row>
    <row r="387" spans="1:8" x14ac:dyDescent="0.3">
      <c r="A387" s="96" t="s">
        <v>530</v>
      </c>
      <c r="B387" s="96" t="s">
        <v>529</v>
      </c>
      <c r="C387" s="96" t="s">
        <v>528</v>
      </c>
      <c r="D387" s="97">
        <v>5</v>
      </c>
      <c r="E387" s="97">
        <v>3.1</v>
      </c>
      <c r="F387" s="97">
        <v>3</v>
      </c>
      <c r="G387" s="97">
        <v>5</v>
      </c>
      <c r="H387" s="97">
        <v>7</v>
      </c>
    </row>
    <row r="388" spans="1:8" x14ac:dyDescent="0.3">
      <c r="A388" s="96" t="s">
        <v>527</v>
      </c>
      <c r="B388" s="96" t="s">
        <v>526</v>
      </c>
      <c r="C388" s="96" t="s">
        <v>525</v>
      </c>
      <c r="D388" s="97">
        <v>5.6</v>
      </c>
      <c r="E388" s="97">
        <v>2.7</v>
      </c>
      <c r="F388" s="97">
        <v>3</v>
      </c>
      <c r="G388" s="97">
        <v>5</v>
      </c>
      <c r="H388" s="97">
        <v>9</v>
      </c>
    </row>
    <row r="389" spans="1:8" x14ac:dyDescent="0.3">
      <c r="A389" s="96" t="s">
        <v>524</v>
      </c>
      <c r="B389" s="96" t="s">
        <v>523</v>
      </c>
      <c r="C389" s="96" t="s">
        <v>522</v>
      </c>
      <c r="D389" s="97">
        <v>6</v>
      </c>
      <c r="E389" s="97">
        <v>3.4</v>
      </c>
      <c r="F389" s="97">
        <v>4</v>
      </c>
      <c r="G389" s="97">
        <v>6</v>
      </c>
      <c r="H389" s="97">
        <v>8</v>
      </c>
    </row>
    <row r="390" spans="1:8" x14ac:dyDescent="0.3">
      <c r="A390" s="96" t="s">
        <v>521</v>
      </c>
      <c r="B390" s="96" t="s">
        <v>520</v>
      </c>
      <c r="C390" s="96" t="s">
        <v>519</v>
      </c>
      <c r="D390" s="97">
        <v>3.5</v>
      </c>
      <c r="E390" s="97">
        <v>1.6</v>
      </c>
      <c r="F390" s="97">
        <v>2</v>
      </c>
      <c r="G390" s="97">
        <v>3</v>
      </c>
      <c r="H390" s="97">
        <v>5</v>
      </c>
    </row>
    <row r="391" spans="1:8" x14ac:dyDescent="0.3">
      <c r="A391" s="96" t="s">
        <v>518</v>
      </c>
      <c r="B391" s="96" t="s">
        <v>517</v>
      </c>
      <c r="C391" s="96" t="s">
        <v>516</v>
      </c>
      <c r="D391" s="97">
        <v>4.7</v>
      </c>
      <c r="E391" s="97">
        <v>1.1000000000000001</v>
      </c>
      <c r="F391" s="97">
        <v>4</v>
      </c>
      <c r="G391" s="97">
        <v>5</v>
      </c>
      <c r="H391" s="97">
        <v>6</v>
      </c>
    </row>
    <row r="392" spans="1:8" x14ac:dyDescent="0.3">
      <c r="A392" s="96" t="s">
        <v>515</v>
      </c>
      <c r="B392" s="96" t="s">
        <v>514</v>
      </c>
      <c r="C392" s="96" t="s">
        <v>513</v>
      </c>
      <c r="D392" s="97">
        <v>5.8</v>
      </c>
      <c r="E392" s="97">
        <v>2.8</v>
      </c>
      <c r="F392" s="97">
        <v>4</v>
      </c>
      <c r="G392" s="97">
        <v>5</v>
      </c>
      <c r="H392" s="97">
        <v>8</v>
      </c>
    </row>
    <row r="393" spans="1:8" x14ac:dyDescent="0.3">
      <c r="A393" s="96" t="s">
        <v>512</v>
      </c>
      <c r="B393" s="96" t="s">
        <v>511</v>
      </c>
      <c r="C393" s="96" t="s">
        <v>510</v>
      </c>
      <c r="D393" s="97">
        <v>5.8</v>
      </c>
      <c r="E393" s="97">
        <v>4.8</v>
      </c>
      <c r="F393" s="97">
        <v>4</v>
      </c>
      <c r="G393" s="97">
        <v>5</v>
      </c>
      <c r="H393" s="97">
        <v>8</v>
      </c>
    </row>
    <row r="394" spans="1:8" x14ac:dyDescent="0.3">
      <c r="A394" s="96" t="s">
        <v>509</v>
      </c>
      <c r="B394" s="96" t="s">
        <v>508</v>
      </c>
      <c r="C394" s="96" t="s">
        <v>507</v>
      </c>
      <c r="D394" s="97">
        <v>5.7</v>
      </c>
      <c r="E394" s="97">
        <v>2.2000000000000002</v>
      </c>
      <c r="F394" s="97">
        <v>4</v>
      </c>
      <c r="G394" s="97">
        <v>5</v>
      </c>
      <c r="H394" s="97">
        <v>8</v>
      </c>
    </row>
    <row r="395" spans="1:8" x14ac:dyDescent="0.3">
      <c r="A395" s="96" t="s">
        <v>506</v>
      </c>
      <c r="B395" s="96" t="s">
        <v>505</v>
      </c>
      <c r="C395" s="96" t="s">
        <v>504</v>
      </c>
      <c r="D395" s="97">
        <v>4.7</v>
      </c>
      <c r="E395" s="97">
        <v>3.1</v>
      </c>
      <c r="F395" s="97">
        <v>3</v>
      </c>
      <c r="G395" s="97">
        <v>4</v>
      </c>
      <c r="H395" s="97">
        <v>7</v>
      </c>
    </row>
    <row r="396" spans="1:8" x14ac:dyDescent="0.3">
      <c r="A396" s="96" t="s">
        <v>503</v>
      </c>
      <c r="B396" s="96" t="s">
        <v>502</v>
      </c>
      <c r="C396" s="96" t="s">
        <v>501</v>
      </c>
      <c r="D396" s="97">
        <v>3.4</v>
      </c>
      <c r="E396" s="97">
        <v>2.2000000000000002</v>
      </c>
      <c r="F396" s="97">
        <v>2</v>
      </c>
      <c r="G396" s="97">
        <v>3</v>
      </c>
      <c r="H396" s="97">
        <v>5</v>
      </c>
    </row>
    <row r="397" spans="1:8" x14ac:dyDescent="0.3">
      <c r="A397" s="96" t="s">
        <v>500</v>
      </c>
      <c r="B397" s="96" t="s">
        <v>499</v>
      </c>
      <c r="C397" s="96" t="s">
        <v>498</v>
      </c>
      <c r="D397" s="97">
        <v>3.4</v>
      </c>
      <c r="E397" s="97">
        <v>0.8</v>
      </c>
      <c r="F397" s="97">
        <v>2</v>
      </c>
      <c r="G397" s="97">
        <v>3</v>
      </c>
      <c r="H397" s="97">
        <v>4</v>
      </c>
    </row>
    <row r="398" spans="1:8" x14ac:dyDescent="0.3">
      <c r="A398" s="96" t="s">
        <v>497</v>
      </c>
      <c r="B398" s="96" t="s">
        <v>496</v>
      </c>
      <c r="C398" s="96" t="s">
        <v>495</v>
      </c>
      <c r="D398" s="97">
        <v>4.2</v>
      </c>
      <c r="E398" s="97">
        <v>1.5</v>
      </c>
      <c r="F398" s="97">
        <v>3</v>
      </c>
      <c r="G398" s="97">
        <v>4</v>
      </c>
      <c r="H398" s="97">
        <v>6</v>
      </c>
    </row>
    <row r="399" spans="1:8" x14ac:dyDescent="0.3">
      <c r="A399" s="96" t="s">
        <v>494</v>
      </c>
      <c r="B399" s="96" t="s">
        <v>493</v>
      </c>
      <c r="C399" s="96" t="s">
        <v>492</v>
      </c>
      <c r="D399" s="97">
        <v>4.5</v>
      </c>
      <c r="E399" s="97">
        <v>1.3</v>
      </c>
      <c r="F399" s="97">
        <v>3</v>
      </c>
      <c r="G399" s="97">
        <v>4</v>
      </c>
      <c r="H399" s="97">
        <v>6</v>
      </c>
    </row>
    <row r="400" spans="1:8" x14ac:dyDescent="0.3">
      <c r="A400" s="96" t="s">
        <v>491</v>
      </c>
      <c r="B400" s="96" t="s">
        <v>490</v>
      </c>
      <c r="C400" s="96" t="s">
        <v>489</v>
      </c>
      <c r="D400" s="97">
        <v>5.9</v>
      </c>
      <c r="E400" s="97">
        <v>2.9</v>
      </c>
      <c r="F400" s="97">
        <v>3</v>
      </c>
      <c r="G400" s="97">
        <v>5</v>
      </c>
      <c r="H400" s="97">
        <v>9</v>
      </c>
    </row>
    <row r="401" spans="1:8" x14ac:dyDescent="0.3">
      <c r="A401" s="96" t="s">
        <v>488</v>
      </c>
      <c r="B401" s="96" t="s">
        <v>487</v>
      </c>
      <c r="C401" s="96" t="s">
        <v>486</v>
      </c>
      <c r="D401" s="97">
        <v>4.9000000000000004</v>
      </c>
      <c r="E401" s="97">
        <v>2.6</v>
      </c>
      <c r="F401" s="97">
        <v>3</v>
      </c>
      <c r="G401" s="97">
        <v>5</v>
      </c>
      <c r="H401" s="97">
        <v>6</v>
      </c>
    </row>
    <row r="402" spans="1:8" x14ac:dyDescent="0.3">
      <c r="A402" s="96" t="s">
        <v>485</v>
      </c>
      <c r="B402" s="96" t="s">
        <v>484</v>
      </c>
      <c r="C402" s="96" t="s">
        <v>483</v>
      </c>
      <c r="D402" s="97">
        <v>6.4</v>
      </c>
      <c r="E402" s="97">
        <v>5.2</v>
      </c>
      <c r="F402" s="97">
        <v>3</v>
      </c>
      <c r="G402" s="97">
        <v>6</v>
      </c>
      <c r="H402" s="97">
        <v>9</v>
      </c>
    </row>
    <row r="403" spans="1:8" x14ac:dyDescent="0.3">
      <c r="A403" s="96" t="s">
        <v>482</v>
      </c>
      <c r="B403" s="96" t="s">
        <v>481</v>
      </c>
      <c r="C403" s="96" t="s">
        <v>480</v>
      </c>
      <c r="D403" s="97">
        <v>3.9</v>
      </c>
      <c r="E403" s="97">
        <v>2.1</v>
      </c>
      <c r="F403" s="97">
        <v>3</v>
      </c>
      <c r="G403" s="97">
        <v>3</v>
      </c>
      <c r="H403" s="97">
        <v>6</v>
      </c>
    </row>
    <row r="404" spans="1:8" x14ac:dyDescent="0.3">
      <c r="A404" s="96" t="s">
        <v>479</v>
      </c>
      <c r="B404" s="96" t="s">
        <v>478</v>
      </c>
      <c r="C404" s="96" t="s">
        <v>477</v>
      </c>
      <c r="D404" s="97">
        <v>4.3</v>
      </c>
      <c r="E404" s="97">
        <v>3.7</v>
      </c>
      <c r="F404" s="97">
        <v>3</v>
      </c>
      <c r="G404" s="97">
        <v>3</v>
      </c>
      <c r="H404" s="97">
        <v>7</v>
      </c>
    </row>
    <row r="405" spans="1:8" x14ac:dyDescent="0.3">
      <c r="A405" s="96" t="s">
        <v>476</v>
      </c>
      <c r="B405" s="96" t="s">
        <v>475</v>
      </c>
      <c r="C405" s="96" t="s">
        <v>474</v>
      </c>
      <c r="D405" s="97">
        <v>5.6</v>
      </c>
      <c r="E405" s="97">
        <v>2.8</v>
      </c>
      <c r="F405" s="97">
        <v>3</v>
      </c>
      <c r="G405" s="97">
        <v>5</v>
      </c>
      <c r="H405" s="97">
        <v>8</v>
      </c>
    </row>
    <row r="406" spans="1:8" x14ac:dyDescent="0.3">
      <c r="A406" s="96" t="s">
        <v>473</v>
      </c>
      <c r="B406" s="96" t="s">
        <v>472</v>
      </c>
      <c r="C406" s="96" t="s">
        <v>471</v>
      </c>
      <c r="D406" s="97">
        <v>4.4000000000000004</v>
      </c>
      <c r="E406" s="97">
        <v>3.1</v>
      </c>
      <c r="F406" s="97">
        <v>2</v>
      </c>
      <c r="G406" s="97">
        <v>3</v>
      </c>
      <c r="H406" s="97">
        <v>7</v>
      </c>
    </row>
    <row r="407" spans="1:8" x14ac:dyDescent="0.3">
      <c r="A407" s="96" t="s">
        <v>470</v>
      </c>
      <c r="B407" s="96" t="s">
        <v>469</v>
      </c>
      <c r="C407" s="96" t="s">
        <v>468</v>
      </c>
      <c r="D407" s="97">
        <v>6.2</v>
      </c>
      <c r="E407" s="97">
        <v>3.3</v>
      </c>
      <c r="F407" s="97">
        <v>4</v>
      </c>
      <c r="G407" s="97">
        <v>6</v>
      </c>
      <c r="H407" s="97">
        <v>9</v>
      </c>
    </row>
    <row r="408" spans="1:8" x14ac:dyDescent="0.3">
      <c r="A408" s="96" t="s">
        <v>467</v>
      </c>
      <c r="B408" s="96" t="s">
        <v>466</v>
      </c>
      <c r="C408" s="96" t="s">
        <v>465</v>
      </c>
      <c r="D408" s="97">
        <v>3.8</v>
      </c>
      <c r="E408" s="97">
        <v>1.2</v>
      </c>
      <c r="F408" s="97">
        <v>3</v>
      </c>
      <c r="G408" s="97">
        <v>3</v>
      </c>
      <c r="H408" s="97">
        <v>5</v>
      </c>
    </row>
    <row r="409" spans="1:8" x14ac:dyDescent="0.3">
      <c r="A409" s="96" t="s">
        <v>464</v>
      </c>
      <c r="B409" s="96" t="s">
        <v>463</v>
      </c>
      <c r="C409" s="96" t="s">
        <v>462</v>
      </c>
      <c r="D409" s="97">
        <v>4</v>
      </c>
      <c r="E409" s="97">
        <v>2.2999999999999998</v>
      </c>
      <c r="F409" s="97">
        <v>3</v>
      </c>
      <c r="G409" s="97">
        <v>4</v>
      </c>
      <c r="H409" s="97">
        <v>5</v>
      </c>
    </row>
    <row r="410" spans="1:8" x14ac:dyDescent="0.3">
      <c r="A410" s="96" t="s">
        <v>461</v>
      </c>
      <c r="B410" s="96" t="s">
        <v>460</v>
      </c>
      <c r="C410" s="96" t="s">
        <v>459</v>
      </c>
      <c r="D410" s="97">
        <v>8.1</v>
      </c>
      <c r="E410" s="97">
        <v>4.7</v>
      </c>
      <c r="F410" s="97">
        <v>6</v>
      </c>
      <c r="G410" s="97">
        <v>8</v>
      </c>
      <c r="H410" s="97">
        <v>10</v>
      </c>
    </row>
    <row r="411" spans="1:8" x14ac:dyDescent="0.3">
      <c r="A411" s="96" t="s">
        <v>458</v>
      </c>
      <c r="B411" s="96" t="s">
        <v>457</v>
      </c>
      <c r="C411" s="96" t="s">
        <v>456</v>
      </c>
      <c r="D411" s="97">
        <v>5</v>
      </c>
      <c r="E411" s="97">
        <v>3.4</v>
      </c>
      <c r="F411" s="97">
        <v>3</v>
      </c>
      <c r="G411" s="97">
        <v>4</v>
      </c>
      <c r="H411" s="97">
        <v>7</v>
      </c>
    </row>
    <row r="412" spans="1:8" x14ac:dyDescent="0.3">
      <c r="A412" s="96" t="s">
        <v>455</v>
      </c>
      <c r="B412" s="96" t="s">
        <v>454</v>
      </c>
      <c r="C412" s="96" t="s">
        <v>453</v>
      </c>
      <c r="D412" s="97">
        <v>5.7</v>
      </c>
      <c r="E412" s="97">
        <v>2.9</v>
      </c>
      <c r="F412" s="97">
        <v>3</v>
      </c>
      <c r="G412" s="97">
        <v>5</v>
      </c>
      <c r="H412" s="97">
        <v>10</v>
      </c>
    </row>
    <row r="413" spans="1:8" x14ac:dyDescent="0.3">
      <c r="A413" s="96" t="s">
        <v>452</v>
      </c>
      <c r="B413" s="96" t="s">
        <v>451</v>
      </c>
      <c r="C413" s="96" t="s">
        <v>450</v>
      </c>
      <c r="D413" s="97">
        <v>7.1</v>
      </c>
      <c r="E413" s="97">
        <v>2.1</v>
      </c>
      <c r="F413" s="97">
        <v>5</v>
      </c>
      <c r="G413" s="97">
        <v>7</v>
      </c>
      <c r="H413" s="97">
        <v>9</v>
      </c>
    </row>
    <row r="414" spans="1:8" x14ac:dyDescent="0.3">
      <c r="A414" s="96" t="s">
        <v>449</v>
      </c>
      <c r="B414" s="96" t="s">
        <v>448</v>
      </c>
      <c r="C414" s="96" t="s">
        <v>447</v>
      </c>
      <c r="D414" s="97">
        <v>6.6</v>
      </c>
      <c r="E414" s="97">
        <v>3.1</v>
      </c>
      <c r="F414" s="97">
        <v>4</v>
      </c>
      <c r="G414" s="97">
        <v>6</v>
      </c>
      <c r="H414" s="97">
        <v>10</v>
      </c>
    </row>
    <row r="415" spans="1:8" x14ac:dyDescent="0.3">
      <c r="A415" s="96" t="s">
        <v>446</v>
      </c>
      <c r="B415" s="96" t="s">
        <v>445</v>
      </c>
      <c r="C415" s="96" t="s">
        <v>444</v>
      </c>
      <c r="D415" s="97">
        <v>5.8</v>
      </c>
      <c r="E415" s="97">
        <v>2.2000000000000002</v>
      </c>
      <c r="F415" s="97">
        <v>3</v>
      </c>
      <c r="G415" s="97">
        <v>5</v>
      </c>
      <c r="H415" s="97">
        <v>9</v>
      </c>
    </row>
    <row r="416" spans="1:8" x14ac:dyDescent="0.3">
      <c r="A416" s="96" t="s">
        <v>443</v>
      </c>
      <c r="B416" s="96" t="s">
        <v>442</v>
      </c>
      <c r="C416" s="96" t="s">
        <v>441</v>
      </c>
      <c r="D416" s="97">
        <v>5.8</v>
      </c>
      <c r="E416" s="97">
        <v>3.7</v>
      </c>
      <c r="F416" s="97">
        <v>3</v>
      </c>
      <c r="G416" s="97">
        <v>6</v>
      </c>
      <c r="H416" s="97">
        <v>8</v>
      </c>
    </row>
    <row r="417" spans="1:8" x14ac:dyDescent="0.3">
      <c r="A417" s="96" t="s">
        <v>440</v>
      </c>
      <c r="B417" s="96" t="s">
        <v>439</v>
      </c>
      <c r="C417" s="96" t="s">
        <v>438</v>
      </c>
      <c r="D417" s="97">
        <v>6.8</v>
      </c>
      <c r="E417" s="97">
        <v>2.4</v>
      </c>
      <c r="F417" s="97">
        <v>4</v>
      </c>
      <c r="G417" s="97">
        <v>6</v>
      </c>
      <c r="H417" s="97">
        <v>10</v>
      </c>
    </row>
    <row r="418" spans="1:8" x14ac:dyDescent="0.3">
      <c r="A418" s="96" t="s">
        <v>437</v>
      </c>
      <c r="B418" s="96" t="s">
        <v>436</v>
      </c>
      <c r="C418" s="96" t="s">
        <v>435</v>
      </c>
      <c r="D418" s="97">
        <v>7.9</v>
      </c>
      <c r="E418" s="97">
        <v>3.3</v>
      </c>
      <c r="F418" s="97">
        <v>5</v>
      </c>
      <c r="G418" s="97">
        <v>7</v>
      </c>
      <c r="H418" s="97">
        <v>12</v>
      </c>
    </row>
    <row r="419" spans="1:8" x14ac:dyDescent="0.3">
      <c r="A419" s="96" t="s">
        <v>434</v>
      </c>
      <c r="B419" s="96" t="s">
        <v>433</v>
      </c>
      <c r="C419" s="96" t="s">
        <v>432</v>
      </c>
      <c r="D419" s="97">
        <v>4.7</v>
      </c>
      <c r="E419" s="97">
        <v>2.4</v>
      </c>
      <c r="F419" s="97">
        <v>3</v>
      </c>
      <c r="G419" s="97">
        <v>4</v>
      </c>
      <c r="H419" s="97">
        <v>7</v>
      </c>
    </row>
    <row r="420" spans="1:8" x14ac:dyDescent="0.3">
      <c r="A420" s="96" t="s">
        <v>431</v>
      </c>
      <c r="B420" s="96" t="s">
        <v>430</v>
      </c>
      <c r="C420" s="96" t="s">
        <v>429</v>
      </c>
      <c r="D420" s="97">
        <v>6.9</v>
      </c>
      <c r="E420" s="97">
        <v>4.4000000000000004</v>
      </c>
      <c r="F420" s="97">
        <v>4</v>
      </c>
      <c r="G420" s="97">
        <v>6</v>
      </c>
      <c r="H420" s="97">
        <v>10</v>
      </c>
    </row>
    <row r="421" spans="1:8" x14ac:dyDescent="0.3">
      <c r="A421" s="96" t="s">
        <v>428</v>
      </c>
      <c r="B421" s="96" t="s">
        <v>427</v>
      </c>
      <c r="C421" s="96" t="s">
        <v>426</v>
      </c>
      <c r="D421" s="97">
        <v>4.2</v>
      </c>
      <c r="E421" s="97">
        <v>1.8</v>
      </c>
      <c r="F421" s="97">
        <v>3</v>
      </c>
      <c r="G421" s="97">
        <v>4</v>
      </c>
      <c r="H421" s="97">
        <v>6</v>
      </c>
    </row>
    <row r="422" spans="1:8" x14ac:dyDescent="0.3">
      <c r="A422" s="96" t="s">
        <v>425</v>
      </c>
      <c r="B422" s="96" t="s">
        <v>424</v>
      </c>
      <c r="C422" s="96" t="s">
        <v>423</v>
      </c>
      <c r="D422" s="97">
        <v>5.5</v>
      </c>
      <c r="E422" s="97">
        <v>3.1</v>
      </c>
      <c r="F422" s="97">
        <v>3</v>
      </c>
      <c r="G422" s="97">
        <v>5</v>
      </c>
      <c r="H422" s="97">
        <v>9</v>
      </c>
    </row>
    <row r="423" spans="1:8" x14ac:dyDescent="0.3">
      <c r="A423" s="96" t="s">
        <v>422</v>
      </c>
      <c r="B423" s="96" t="s">
        <v>421</v>
      </c>
      <c r="C423" s="96" t="s">
        <v>420</v>
      </c>
      <c r="D423" s="97">
        <v>3.9</v>
      </c>
      <c r="E423" s="97">
        <v>1.5</v>
      </c>
      <c r="F423" s="97">
        <v>3</v>
      </c>
      <c r="G423" s="97">
        <v>4</v>
      </c>
      <c r="H423" s="97">
        <v>6</v>
      </c>
    </row>
    <row r="424" spans="1:8" x14ac:dyDescent="0.3">
      <c r="A424" s="96" t="s">
        <v>419</v>
      </c>
      <c r="B424" s="96" t="s">
        <v>418</v>
      </c>
      <c r="C424" s="96" t="s">
        <v>417</v>
      </c>
      <c r="D424" s="97">
        <v>5.5</v>
      </c>
      <c r="E424" s="97">
        <v>2.2999999999999998</v>
      </c>
      <c r="F424" s="97">
        <v>3</v>
      </c>
      <c r="G424" s="97">
        <v>5</v>
      </c>
      <c r="H424" s="97">
        <v>8</v>
      </c>
    </row>
    <row r="425" spans="1:8" x14ac:dyDescent="0.3">
      <c r="A425" s="96" t="s">
        <v>416</v>
      </c>
      <c r="B425" s="96" t="s">
        <v>415</v>
      </c>
      <c r="C425" s="96" t="s">
        <v>414</v>
      </c>
      <c r="D425" s="97">
        <v>6.6</v>
      </c>
      <c r="E425" s="97">
        <v>2</v>
      </c>
      <c r="F425" s="97">
        <v>4</v>
      </c>
      <c r="G425" s="97">
        <v>6</v>
      </c>
      <c r="H425" s="97">
        <v>9</v>
      </c>
    </row>
    <row r="426" spans="1:8" x14ac:dyDescent="0.3">
      <c r="A426" s="96" t="s">
        <v>413</v>
      </c>
      <c r="B426" s="96" t="s">
        <v>412</v>
      </c>
      <c r="C426" s="96" t="s">
        <v>411</v>
      </c>
      <c r="D426" s="97">
        <v>5.8</v>
      </c>
      <c r="E426" s="97">
        <v>2.5</v>
      </c>
      <c r="F426" s="97">
        <v>4</v>
      </c>
      <c r="G426" s="97">
        <v>5</v>
      </c>
      <c r="H426" s="97">
        <v>9</v>
      </c>
    </row>
    <row r="427" spans="1:8" x14ac:dyDescent="0.3">
      <c r="A427" s="96" t="s">
        <v>410</v>
      </c>
      <c r="B427" s="96" t="s">
        <v>409</v>
      </c>
      <c r="C427" s="96" t="s">
        <v>408</v>
      </c>
      <c r="D427" s="97">
        <v>6.9</v>
      </c>
      <c r="E427" s="97">
        <v>2.7</v>
      </c>
      <c r="F427" s="97">
        <v>4</v>
      </c>
      <c r="G427" s="97">
        <v>6</v>
      </c>
      <c r="H427" s="97">
        <v>10</v>
      </c>
    </row>
    <row r="428" spans="1:8" x14ac:dyDescent="0.3">
      <c r="A428" s="96" t="s">
        <v>407</v>
      </c>
      <c r="B428" s="96" t="s">
        <v>406</v>
      </c>
      <c r="C428" s="96" t="s">
        <v>405</v>
      </c>
      <c r="D428" s="97">
        <v>4.8</v>
      </c>
      <c r="E428" s="97">
        <v>1.1000000000000001</v>
      </c>
      <c r="F428" s="97">
        <v>4</v>
      </c>
      <c r="G428" s="97">
        <v>5</v>
      </c>
      <c r="H428" s="97">
        <v>6</v>
      </c>
    </row>
    <row r="429" spans="1:8" x14ac:dyDescent="0.3">
      <c r="A429" s="96" t="s">
        <v>404</v>
      </c>
      <c r="B429" s="96" t="s">
        <v>403</v>
      </c>
      <c r="C429" s="96" t="s">
        <v>402</v>
      </c>
      <c r="D429" s="97">
        <v>5.0999999999999996</v>
      </c>
      <c r="E429" s="97">
        <v>1.3</v>
      </c>
      <c r="F429" s="97">
        <v>4</v>
      </c>
      <c r="G429" s="97">
        <v>5</v>
      </c>
      <c r="H429" s="97">
        <v>6</v>
      </c>
    </row>
    <row r="430" spans="1:8" x14ac:dyDescent="0.3">
      <c r="A430" s="96" t="s">
        <v>401</v>
      </c>
      <c r="B430" s="96" t="s">
        <v>400</v>
      </c>
      <c r="C430" s="96" t="s">
        <v>399</v>
      </c>
      <c r="D430" s="97">
        <v>6.6</v>
      </c>
      <c r="E430" s="97">
        <v>1.6</v>
      </c>
      <c r="F430" s="97">
        <v>5</v>
      </c>
      <c r="G430" s="97">
        <v>6</v>
      </c>
      <c r="H430" s="97">
        <v>9</v>
      </c>
    </row>
    <row r="431" spans="1:8" x14ac:dyDescent="0.3">
      <c r="A431" s="96" t="s">
        <v>398</v>
      </c>
      <c r="B431" s="96" t="s">
        <v>397</v>
      </c>
      <c r="C431" s="96" t="s">
        <v>396</v>
      </c>
      <c r="D431" s="97">
        <v>9.5</v>
      </c>
      <c r="E431" s="97">
        <v>1.3</v>
      </c>
      <c r="F431" s="97">
        <v>8</v>
      </c>
      <c r="G431" s="97">
        <v>9</v>
      </c>
      <c r="H431" s="97">
        <v>11</v>
      </c>
    </row>
    <row r="432" spans="1:8" x14ac:dyDescent="0.3">
      <c r="A432" s="96" t="s">
        <v>395</v>
      </c>
      <c r="B432" s="96" t="s">
        <v>394</v>
      </c>
      <c r="C432" s="96" t="s">
        <v>393</v>
      </c>
      <c r="D432" s="97">
        <v>6.6</v>
      </c>
      <c r="E432" s="97">
        <v>1.5</v>
      </c>
      <c r="F432" s="97">
        <v>5</v>
      </c>
      <c r="G432" s="97">
        <v>7</v>
      </c>
      <c r="H432" s="97">
        <v>8</v>
      </c>
    </row>
    <row r="433" spans="1:8" x14ac:dyDescent="0.3">
      <c r="A433" s="96" t="s">
        <v>1996</v>
      </c>
      <c r="B433" s="96" t="s">
        <v>1997</v>
      </c>
      <c r="C433" s="96" t="s">
        <v>1998</v>
      </c>
      <c r="D433" s="97">
        <v>4.0999999999999996</v>
      </c>
      <c r="E433" s="97">
        <v>3.8</v>
      </c>
      <c r="F433" s="97">
        <v>3</v>
      </c>
      <c r="G433" s="97">
        <v>4</v>
      </c>
      <c r="H433" s="97">
        <v>5</v>
      </c>
    </row>
    <row r="434" spans="1:8" x14ac:dyDescent="0.3">
      <c r="A434" s="96" t="s">
        <v>392</v>
      </c>
      <c r="B434" s="96" t="s">
        <v>391</v>
      </c>
      <c r="C434" s="96" t="s">
        <v>390</v>
      </c>
      <c r="D434" s="97">
        <v>8.4</v>
      </c>
      <c r="E434" s="97">
        <v>1.9</v>
      </c>
      <c r="F434" s="97">
        <v>6</v>
      </c>
      <c r="G434" s="97">
        <v>8</v>
      </c>
      <c r="H434" s="97">
        <v>11</v>
      </c>
    </row>
    <row r="435" spans="1:8" x14ac:dyDescent="0.3">
      <c r="A435" s="96" t="s">
        <v>389</v>
      </c>
      <c r="B435" s="96" t="s">
        <v>388</v>
      </c>
      <c r="C435" s="96" t="s">
        <v>387</v>
      </c>
      <c r="D435" s="97">
        <v>4.0999999999999996</v>
      </c>
      <c r="E435" s="97">
        <v>1.7</v>
      </c>
      <c r="F435" s="97">
        <v>3</v>
      </c>
      <c r="G435" s="97">
        <v>4</v>
      </c>
      <c r="H435" s="97">
        <v>6</v>
      </c>
    </row>
    <row r="436" spans="1:8" x14ac:dyDescent="0.3">
      <c r="A436" s="96" t="s">
        <v>1999</v>
      </c>
      <c r="B436" s="96" t="s">
        <v>2000</v>
      </c>
      <c r="C436" s="96" t="s">
        <v>2001</v>
      </c>
      <c r="D436" s="97">
        <v>6.8</v>
      </c>
      <c r="E436" s="97">
        <v>1.1000000000000001</v>
      </c>
      <c r="F436" s="97">
        <v>6</v>
      </c>
      <c r="G436" s="97">
        <v>7</v>
      </c>
      <c r="H436" s="97">
        <v>8</v>
      </c>
    </row>
    <row r="437" spans="1:8" x14ac:dyDescent="0.3">
      <c r="A437" s="96" t="s">
        <v>386</v>
      </c>
      <c r="B437" s="96" t="s">
        <v>385</v>
      </c>
      <c r="C437" s="96" t="s">
        <v>384</v>
      </c>
      <c r="D437" s="97">
        <v>5.7</v>
      </c>
      <c r="E437" s="97">
        <v>4.7</v>
      </c>
      <c r="F437" s="97">
        <v>4</v>
      </c>
      <c r="G437" s="97">
        <v>5</v>
      </c>
      <c r="H437" s="97">
        <v>9</v>
      </c>
    </row>
    <row r="438" spans="1:8" x14ac:dyDescent="0.3">
      <c r="A438" s="96" t="s">
        <v>383</v>
      </c>
      <c r="B438" s="96" t="s">
        <v>382</v>
      </c>
      <c r="C438" s="96" t="s">
        <v>381</v>
      </c>
      <c r="D438" s="97">
        <v>6.1</v>
      </c>
      <c r="E438" s="97">
        <v>1.5</v>
      </c>
      <c r="F438" s="97">
        <v>4</v>
      </c>
      <c r="G438" s="97">
        <v>6</v>
      </c>
      <c r="H438" s="97">
        <v>8</v>
      </c>
    </row>
    <row r="439" spans="1:8" x14ac:dyDescent="0.3">
      <c r="A439" s="96" t="s">
        <v>380</v>
      </c>
      <c r="B439" s="96" t="s">
        <v>379</v>
      </c>
      <c r="C439" s="96" t="s">
        <v>2002</v>
      </c>
      <c r="D439" s="97">
        <v>5.8</v>
      </c>
      <c r="E439" s="97">
        <v>2.2999999999999998</v>
      </c>
      <c r="F439" s="97">
        <v>4</v>
      </c>
      <c r="G439" s="97">
        <v>5</v>
      </c>
      <c r="H439" s="97">
        <v>9</v>
      </c>
    </row>
    <row r="440" spans="1:8" x14ac:dyDescent="0.3">
      <c r="A440" s="96" t="s">
        <v>378</v>
      </c>
      <c r="B440" s="96" t="s">
        <v>377</v>
      </c>
      <c r="C440" s="96" t="s">
        <v>376</v>
      </c>
      <c r="D440" s="97">
        <v>4.7</v>
      </c>
      <c r="E440" s="97">
        <v>1.7</v>
      </c>
      <c r="F440" s="97">
        <v>3</v>
      </c>
      <c r="G440" s="97">
        <v>4</v>
      </c>
      <c r="H440" s="97">
        <v>6</v>
      </c>
    </row>
    <row r="441" spans="1:8" x14ac:dyDescent="0.3">
      <c r="A441" s="96" t="s">
        <v>375</v>
      </c>
      <c r="B441" s="96" t="s">
        <v>374</v>
      </c>
      <c r="C441" s="96" t="s">
        <v>373</v>
      </c>
      <c r="D441" s="97">
        <v>4.4000000000000004</v>
      </c>
      <c r="E441" s="97">
        <v>4.7</v>
      </c>
      <c r="F441" s="97">
        <v>3</v>
      </c>
      <c r="G441" s="97">
        <v>4</v>
      </c>
      <c r="H441" s="97">
        <v>5</v>
      </c>
    </row>
    <row r="442" spans="1:8" x14ac:dyDescent="0.3">
      <c r="A442" s="96" t="s">
        <v>372</v>
      </c>
      <c r="B442" s="96" t="s">
        <v>371</v>
      </c>
      <c r="C442" s="96" t="s">
        <v>370</v>
      </c>
      <c r="D442" s="97">
        <v>5.3</v>
      </c>
      <c r="E442" s="97">
        <v>1.9</v>
      </c>
      <c r="F442" s="97">
        <v>3</v>
      </c>
      <c r="G442" s="97">
        <v>5</v>
      </c>
      <c r="H442" s="97">
        <v>7</v>
      </c>
    </row>
    <row r="443" spans="1:8" x14ac:dyDescent="0.3">
      <c r="A443" s="96" t="s">
        <v>369</v>
      </c>
      <c r="B443" s="96" t="s">
        <v>368</v>
      </c>
      <c r="C443" s="96" t="s">
        <v>367</v>
      </c>
      <c r="D443" s="97">
        <v>4</v>
      </c>
      <c r="E443" s="97">
        <v>1.2</v>
      </c>
      <c r="F443" s="97">
        <v>3</v>
      </c>
      <c r="G443" s="97">
        <v>4</v>
      </c>
      <c r="H443" s="97">
        <v>6</v>
      </c>
    </row>
    <row r="444" spans="1:8" x14ac:dyDescent="0.3">
      <c r="A444" s="96" t="s">
        <v>366</v>
      </c>
      <c r="B444" s="96" t="s">
        <v>365</v>
      </c>
      <c r="C444" s="96" t="s">
        <v>364</v>
      </c>
      <c r="D444" s="97">
        <v>4.2</v>
      </c>
      <c r="E444" s="97">
        <v>1.7</v>
      </c>
      <c r="F444" s="97">
        <v>3</v>
      </c>
      <c r="G444" s="97">
        <v>4</v>
      </c>
      <c r="H444" s="97">
        <v>6</v>
      </c>
    </row>
    <row r="445" spans="1:8" x14ac:dyDescent="0.3">
      <c r="A445" s="96" t="s">
        <v>363</v>
      </c>
      <c r="B445" s="96" t="s">
        <v>362</v>
      </c>
      <c r="C445" s="96" t="s">
        <v>361</v>
      </c>
      <c r="D445" s="97">
        <v>5.9</v>
      </c>
      <c r="E445" s="97">
        <v>2.2999999999999998</v>
      </c>
      <c r="F445" s="97">
        <v>4</v>
      </c>
      <c r="G445" s="97">
        <v>5</v>
      </c>
      <c r="H445" s="97">
        <v>9</v>
      </c>
    </row>
    <row r="446" spans="1:8" x14ac:dyDescent="0.3">
      <c r="A446" s="96" t="s">
        <v>360</v>
      </c>
      <c r="B446" s="96" t="s">
        <v>359</v>
      </c>
      <c r="C446" s="96" t="s">
        <v>358</v>
      </c>
      <c r="D446" s="97">
        <v>4.0999999999999996</v>
      </c>
      <c r="E446" s="97">
        <v>1.4</v>
      </c>
      <c r="F446" s="97">
        <v>3</v>
      </c>
      <c r="G446" s="97">
        <v>4</v>
      </c>
      <c r="H446" s="97">
        <v>6</v>
      </c>
    </row>
    <row r="447" spans="1:8" x14ac:dyDescent="0.3">
      <c r="A447" s="96" t="s">
        <v>357</v>
      </c>
      <c r="B447" s="96" t="s">
        <v>356</v>
      </c>
      <c r="C447" s="96" t="s">
        <v>355</v>
      </c>
      <c r="D447" s="97">
        <v>4.5</v>
      </c>
      <c r="E447" s="97">
        <v>1.8</v>
      </c>
      <c r="F447" s="97">
        <v>3</v>
      </c>
      <c r="G447" s="97">
        <v>4</v>
      </c>
      <c r="H447" s="97">
        <v>7</v>
      </c>
    </row>
    <row r="448" spans="1:8" x14ac:dyDescent="0.3">
      <c r="A448" s="96" t="s">
        <v>354</v>
      </c>
      <c r="B448" s="96" t="s">
        <v>353</v>
      </c>
      <c r="C448" s="96" t="s">
        <v>352</v>
      </c>
      <c r="D448" s="97">
        <v>6.1</v>
      </c>
      <c r="E448" s="97">
        <v>1.4</v>
      </c>
      <c r="F448" s="97">
        <v>4</v>
      </c>
      <c r="G448" s="97">
        <v>6</v>
      </c>
      <c r="H448" s="97">
        <v>8</v>
      </c>
    </row>
    <row r="449" spans="1:8" x14ac:dyDescent="0.3">
      <c r="A449" s="96" t="s">
        <v>351</v>
      </c>
      <c r="B449" s="96" t="s">
        <v>350</v>
      </c>
      <c r="C449" s="96" t="s">
        <v>349</v>
      </c>
      <c r="D449" s="97">
        <v>6.2</v>
      </c>
      <c r="E449" s="97">
        <v>2</v>
      </c>
      <c r="F449" s="97">
        <v>4</v>
      </c>
      <c r="G449" s="97">
        <v>6</v>
      </c>
      <c r="H449" s="97">
        <v>8</v>
      </c>
    </row>
    <row r="450" spans="1:8" x14ac:dyDescent="0.3">
      <c r="A450" s="96" t="s">
        <v>348</v>
      </c>
      <c r="B450" s="96" t="s">
        <v>347</v>
      </c>
      <c r="C450" s="96" t="s">
        <v>347</v>
      </c>
      <c r="D450" s="97">
        <v>4.5999999999999996</v>
      </c>
      <c r="E450" s="97">
        <v>1.7</v>
      </c>
      <c r="F450" s="97">
        <v>3</v>
      </c>
      <c r="G450" s="97">
        <v>4</v>
      </c>
      <c r="H450" s="97">
        <v>7</v>
      </c>
    </row>
    <row r="451" spans="1:8" x14ac:dyDescent="0.3">
      <c r="A451" s="96" t="s">
        <v>346</v>
      </c>
      <c r="B451" s="96" t="s">
        <v>345</v>
      </c>
      <c r="C451" s="96" t="s">
        <v>344</v>
      </c>
      <c r="D451" s="97">
        <v>5.4</v>
      </c>
      <c r="E451" s="97">
        <v>2.2000000000000002</v>
      </c>
      <c r="F451" s="97">
        <v>3</v>
      </c>
      <c r="G451" s="97">
        <v>5</v>
      </c>
      <c r="H451" s="97">
        <v>9</v>
      </c>
    </row>
    <row r="452" spans="1:8" x14ac:dyDescent="0.3">
      <c r="A452" s="96" t="s">
        <v>343</v>
      </c>
      <c r="B452" s="96" t="s">
        <v>342</v>
      </c>
      <c r="C452" s="96" t="s">
        <v>341</v>
      </c>
      <c r="D452" s="97">
        <v>4.8</v>
      </c>
      <c r="E452" s="97">
        <v>2.9</v>
      </c>
      <c r="F452" s="97">
        <v>3</v>
      </c>
      <c r="G452" s="97">
        <v>4</v>
      </c>
      <c r="H452" s="97">
        <v>6</v>
      </c>
    </row>
    <row r="453" spans="1:8" x14ac:dyDescent="0.3">
      <c r="A453" s="96" t="s">
        <v>340</v>
      </c>
      <c r="B453" s="96" t="s">
        <v>339</v>
      </c>
      <c r="C453" s="96" t="s">
        <v>2003</v>
      </c>
      <c r="D453" s="97">
        <v>4.7</v>
      </c>
      <c r="E453" s="97">
        <v>1</v>
      </c>
      <c r="F453" s="97">
        <v>4</v>
      </c>
      <c r="G453" s="97">
        <v>5</v>
      </c>
      <c r="H453" s="97">
        <v>6</v>
      </c>
    </row>
    <row r="454" spans="1:8" x14ac:dyDescent="0.3">
      <c r="A454" s="96" t="s">
        <v>338</v>
      </c>
      <c r="B454" s="96" t="s">
        <v>337</v>
      </c>
      <c r="C454" s="96" t="s">
        <v>336</v>
      </c>
      <c r="D454" s="97">
        <v>5</v>
      </c>
      <c r="E454" s="97">
        <v>1.3</v>
      </c>
      <c r="F454" s="97">
        <v>4</v>
      </c>
      <c r="G454" s="97">
        <v>5</v>
      </c>
      <c r="H454" s="97">
        <v>6</v>
      </c>
    </row>
    <row r="455" spans="1:8" x14ac:dyDescent="0.3">
      <c r="A455" s="96" t="s">
        <v>335</v>
      </c>
      <c r="B455" s="96" t="s">
        <v>334</v>
      </c>
      <c r="C455" s="96" t="s">
        <v>333</v>
      </c>
      <c r="D455" s="97">
        <v>5.6</v>
      </c>
      <c r="E455" s="97">
        <v>1.5</v>
      </c>
      <c r="F455" s="97">
        <v>3</v>
      </c>
      <c r="G455" s="97">
        <v>6</v>
      </c>
      <c r="H455" s="97">
        <v>7</v>
      </c>
    </row>
    <row r="456" spans="1:8" x14ac:dyDescent="0.3">
      <c r="A456" s="96" t="s">
        <v>332</v>
      </c>
      <c r="B456" s="96" t="s">
        <v>331</v>
      </c>
      <c r="C456" s="96" t="s">
        <v>330</v>
      </c>
      <c r="D456" s="97">
        <v>5.0999999999999996</v>
      </c>
      <c r="E456" s="97">
        <v>1.3</v>
      </c>
      <c r="F456" s="97">
        <v>3</v>
      </c>
      <c r="G456" s="97">
        <v>5</v>
      </c>
      <c r="H456" s="97">
        <v>7</v>
      </c>
    </row>
    <row r="457" spans="1:8" x14ac:dyDescent="0.3">
      <c r="A457" s="96" t="s">
        <v>329</v>
      </c>
      <c r="B457" s="96" t="s">
        <v>328</v>
      </c>
      <c r="C457" s="96" t="s">
        <v>327</v>
      </c>
      <c r="D457" s="97">
        <v>4.4000000000000004</v>
      </c>
      <c r="E457" s="97">
        <v>1.3</v>
      </c>
      <c r="F457" s="97">
        <v>3</v>
      </c>
      <c r="G457" s="97">
        <v>4</v>
      </c>
      <c r="H457" s="97">
        <v>6</v>
      </c>
    </row>
    <row r="458" spans="1:8" x14ac:dyDescent="0.3">
      <c r="A458" s="96" t="s">
        <v>326</v>
      </c>
      <c r="B458" s="96" t="s">
        <v>325</v>
      </c>
      <c r="C458" s="96" t="s">
        <v>2004</v>
      </c>
      <c r="D458" s="97">
        <v>4.2</v>
      </c>
      <c r="E458" s="97">
        <v>2.1</v>
      </c>
      <c r="F458" s="97">
        <v>3</v>
      </c>
      <c r="G458" s="97">
        <v>4</v>
      </c>
      <c r="H458" s="97">
        <v>6</v>
      </c>
    </row>
    <row r="459" spans="1:8" x14ac:dyDescent="0.3">
      <c r="A459" s="96" t="s">
        <v>324</v>
      </c>
      <c r="B459" s="96" t="s">
        <v>323</v>
      </c>
      <c r="C459" s="96" t="s">
        <v>322</v>
      </c>
      <c r="D459" s="97">
        <v>4.3</v>
      </c>
      <c r="E459" s="97">
        <v>1.3</v>
      </c>
      <c r="F459" s="97">
        <v>3</v>
      </c>
      <c r="G459" s="97">
        <v>4</v>
      </c>
      <c r="H459" s="97">
        <v>6</v>
      </c>
    </row>
    <row r="460" spans="1:8" x14ac:dyDescent="0.3">
      <c r="A460" s="96" t="s">
        <v>321</v>
      </c>
      <c r="B460" s="96" t="s">
        <v>320</v>
      </c>
      <c r="C460" s="96" t="s">
        <v>319</v>
      </c>
      <c r="D460" s="97">
        <v>5.6</v>
      </c>
      <c r="E460" s="97">
        <v>2.2000000000000002</v>
      </c>
      <c r="F460" s="97">
        <v>3</v>
      </c>
      <c r="G460" s="97">
        <v>6</v>
      </c>
      <c r="H460" s="97">
        <v>9</v>
      </c>
    </row>
    <row r="461" spans="1:8" x14ac:dyDescent="0.3">
      <c r="A461" s="96" t="s">
        <v>318</v>
      </c>
      <c r="B461" s="96" t="s">
        <v>317</v>
      </c>
      <c r="C461" s="96" t="s">
        <v>316</v>
      </c>
      <c r="D461" s="97">
        <v>5.3</v>
      </c>
      <c r="E461" s="97">
        <v>0.9</v>
      </c>
      <c r="F461" s="97">
        <v>4</v>
      </c>
      <c r="G461" s="97">
        <v>5</v>
      </c>
      <c r="H461" s="97">
        <v>6</v>
      </c>
    </row>
    <row r="462" spans="1:8" x14ac:dyDescent="0.3">
      <c r="A462" s="96" t="s">
        <v>315</v>
      </c>
      <c r="B462" s="96" t="s">
        <v>314</v>
      </c>
      <c r="C462" s="96" t="s">
        <v>313</v>
      </c>
      <c r="D462" s="97">
        <v>5.9</v>
      </c>
      <c r="E462" s="97">
        <v>1.6</v>
      </c>
      <c r="F462" s="97">
        <v>4</v>
      </c>
      <c r="G462" s="97">
        <v>6</v>
      </c>
      <c r="H462" s="97">
        <v>8</v>
      </c>
    </row>
    <row r="463" spans="1:8" x14ac:dyDescent="0.3">
      <c r="A463" s="96" t="s">
        <v>312</v>
      </c>
      <c r="B463" s="96" t="s">
        <v>311</v>
      </c>
      <c r="C463" s="96" t="s">
        <v>310</v>
      </c>
      <c r="D463" s="97">
        <v>3.8</v>
      </c>
      <c r="E463" s="97">
        <v>1.4</v>
      </c>
      <c r="F463" s="97">
        <v>3</v>
      </c>
      <c r="G463" s="97">
        <v>3</v>
      </c>
      <c r="H463" s="97">
        <v>5</v>
      </c>
    </row>
    <row r="464" spans="1:8" x14ac:dyDescent="0.3">
      <c r="A464" s="96" t="s">
        <v>309</v>
      </c>
      <c r="B464" s="96" t="s">
        <v>308</v>
      </c>
      <c r="C464" s="96" t="s">
        <v>307</v>
      </c>
      <c r="D464" s="97">
        <v>5.8</v>
      </c>
      <c r="E464" s="97">
        <v>1.4</v>
      </c>
      <c r="F464" s="97">
        <v>4</v>
      </c>
      <c r="G464" s="97">
        <v>6</v>
      </c>
      <c r="H464" s="97">
        <v>8</v>
      </c>
    </row>
    <row r="465" spans="1:8" x14ac:dyDescent="0.3">
      <c r="A465" s="96" t="s">
        <v>306</v>
      </c>
      <c r="B465" s="96" t="s">
        <v>305</v>
      </c>
      <c r="C465" s="96" t="s">
        <v>106</v>
      </c>
      <c r="D465" s="97">
        <v>5.6</v>
      </c>
      <c r="E465" s="97">
        <v>1.5</v>
      </c>
      <c r="F465" s="97">
        <v>4</v>
      </c>
      <c r="G465" s="97">
        <v>5</v>
      </c>
      <c r="H465" s="97">
        <v>7</v>
      </c>
    </row>
    <row r="466" spans="1:8" x14ac:dyDescent="0.3">
      <c r="A466" s="96" t="s">
        <v>304</v>
      </c>
      <c r="B466" s="96" t="s">
        <v>303</v>
      </c>
      <c r="C466" s="96" t="s">
        <v>2005</v>
      </c>
      <c r="D466" s="97">
        <v>5.2</v>
      </c>
      <c r="E466" s="97">
        <v>3.5</v>
      </c>
      <c r="F466" s="97">
        <v>3</v>
      </c>
      <c r="G466" s="97">
        <v>5</v>
      </c>
      <c r="H466" s="97">
        <v>7</v>
      </c>
    </row>
    <row r="467" spans="1:8" x14ac:dyDescent="0.3">
      <c r="A467" s="96" t="s">
        <v>302</v>
      </c>
      <c r="B467" s="96" t="s">
        <v>301</v>
      </c>
      <c r="C467" s="96" t="s">
        <v>300</v>
      </c>
      <c r="D467" s="97">
        <v>5.7</v>
      </c>
      <c r="E467" s="97">
        <v>1.9</v>
      </c>
      <c r="F467" s="97">
        <v>4</v>
      </c>
      <c r="G467" s="97">
        <v>5</v>
      </c>
      <c r="H467" s="97">
        <v>8</v>
      </c>
    </row>
    <row r="468" spans="1:8" x14ac:dyDescent="0.3">
      <c r="A468" s="96" t="s">
        <v>299</v>
      </c>
      <c r="B468" s="96" t="s">
        <v>298</v>
      </c>
      <c r="C468" s="96" t="s">
        <v>297</v>
      </c>
      <c r="D468" s="97">
        <v>3.5</v>
      </c>
      <c r="E468" s="97">
        <v>1.1000000000000001</v>
      </c>
      <c r="F468" s="97">
        <v>2</v>
      </c>
      <c r="G468" s="97">
        <v>3</v>
      </c>
      <c r="H468" s="97">
        <v>5</v>
      </c>
    </row>
    <row r="469" spans="1:8" x14ac:dyDescent="0.3">
      <c r="A469" s="96" t="s">
        <v>296</v>
      </c>
      <c r="B469" s="96" t="s">
        <v>295</v>
      </c>
      <c r="C469" s="96" t="s">
        <v>294</v>
      </c>
      <c r="D469" s="97">
        <v>6</v>
      </c>
      <c r="E469" s="97">
        <v>2</v>
      </c>
      <c r="F469" s="97">
        <v>3</v>
      </c>
      <c r="G469" s="97">
        <v>6</v>
      </c>
      <c r="H469" s="97">
        <v>8</v>
      </c>
    </row>
    <row r="470" spans="1:8" x14ac:dyDescent="0.3">
      <c r="A470" s="96" t="s">
        <v>293</v>
      </c>
      <c r="B470" s="96" t="s">
        <v>292</v>
      </c>
      <c r="C470" s="96" t="s">
        <v>291</v>
      </c>
      <c r="D470" s="97">
        <v>9.3000000000000007</v>
      </c>
      <c r="E470" s="97">
        <v>4.4000000000000004</v>
      </c>
      <c r="F470" s="97">
        <v>4</v>
      </c>
      <c r="G470" s="97">
        <v>10</v>
      </c>
      <c r="H470" s="97">
        <v>14</v>
      </c>
    </row>
    <row r="471" spans="1:8" x14ac:dyDescent="0.3">
      <c r="A471" s="96" t="s">
        <v>290</v>
      </c>
      <c r="B471" s="96" t="s">
        <v>289</v>
      </c>
      <c r="C471" s="96" t="s">
        <v>288</v>
      </c>
      <c r="D471" s="97">
        <v>15.6</v>
      </c>
      <c r="E471" s="97">
        <v>5.9</v>
      </c>
      <c r="F471" s="97">
        <v>9</v>
      </c>
      <c r="G471" s="97">
        <v>14</v>
      </c>
      <c r="H471" s="97">
        <v>24</v>
      </c>
    </row>
    <row r="472" spans="1:8" x14ac:dyDescent="0.3">
      <c r="A472" s="96" t="s">
        <v>2006</v>
      </c>
      <c r="B472" s="96" t="s">
        <v>2007</v>
      </c>
      <c r="C472" s="96" t="s">
        <v>2008</v>
      </c>
      <c r="D472" s="97">
        <v>5.5</v>
      </c>
      <c r="E472" s="97">
        <v>1.9</v>
      </c>
      <c r="F472" s="97">
        <v>3</v>
      </c>
      <c r="G472" s="97">
        <v>5</v>
      </c>
      <c r="H472" s="97">
        <v>8</v>
      </c>
    </row>
    <row r="473" spans="1:8" x14ac:dyDescent="0.3">
      <c r="A473" s="96" t="s">
        <v>287</v>
      </c>
      <c r="B473" s="96" t="s">
        <v>286</v>
      </c>
      <c r="C473" s="96" t="s">
        <v>285</v>
      </c>
      <c r="D473" s="97">
        <v>5.3</v>
      </c>
      <c r="E473" s="97">
        <v>3.2</v>
      </c>
      <c r="F473" s="97">
        <v>3</v>
      </c>
      <c r="G473" s="97">
        <v>5</v>
      </c>
      <c r="H473" s="97">
        <v>8</v>
      </c>
    </row>
    <row r="474" spans="1:8" x14ac:dyDescent="0.3">
      <c r="A474" s="96" t="s">
        <v>284</v>
      </c>
      <c r="B474" s="96" t="s">
        <v>283</v>
      </c>
      <c r="C474" s="96" t="s">
        <v>282</v>
      </c>
      <c r="D474" s="97">
        <v>5</v>
      </c>
      <c r="E474" s="97">
        <v>3.8</v>
      </c>
      <c r="F474" s="97">
        <v>3</v>
      </c>
      <c r="G474" s="97">
        <v>5</v>
      </c>
      <c r="H474" s="97">
        <v>6</v>
      </c>
    </row>
    <row r="475" spans="1:8" x14ac:dyDescent="0.3">
      <c r="A475" s="96" t="s">
        <v>281</v>
      </c>
      <c r="B475" s="96" t="s">
        <v>280</v>
      </c>
      <c r="C475" s="96" t="s">
        <v>279</v>
      </c>
      <c r="D475" s="97">
        <v>5.3</v>
      </c>
      <c r="E475" s="97">
        <v>2.4</v>
      </c>
      <c r="F475" s="97">
        <v>4</v>
      </c>
      <c r="G475" s="97">
        <v>5</v>
      </c>
      <c r="H475" s="97">
        <v>7</v>
      </c>
    </row>
    <row r="476" spans="1:8" x14ac:dyDescent="0.3">
      <c r="A476" s="96" t="s">
        <v>278</v>
      </c>
      <c r="B476" s="96" t="s">
        <v>277</v>
      </c>
      <c r="C476" s="96" t="s">
        <v>276</v>
      </c>
      <c r="D476" s="97">
        <v>3.8</v>
      </c>
      <c r="E476" s="97">
        <v>0.9</v>
      </c>
      <c r="F476" s="97">
        <v>3</v>
      </c>
      <c r="G476" s="97">
        <v>4</v>
      </c>
      <c r="H476" s="97">
        <v>5</v>
      </c>
    </row>
    <row r="477" spans="1:8" x14ac:dyDescent="0.3">
      <c r="A477" s="96" t="s">
        <v>275</v>
      </c>
      <c r="B477" s="96" t="s">
        <v>274</v>
      </c>
      <c r="C477" s="96" t="s">
        <v>273</v>
      </c>
      <c r="D477" s="97">
        <v>5.0999999999999996</v>
      </c>
      <c r="E477" s="97">
        <v>2</v>
      </c>
      <c r="F477" s="97">
        <v>3</v>
      </c>
      <c r="G477" s="97">
        <v>5</v>
      </c>
      <c r="H477" s="97">
        <v>7</v>
      </c>
    </row>
    <row r="478" spans="1:8" x14ac:dyDescent="0.3">
      <c r="A478" s="96" t="s">
        <v>272</v>
      </c>
      <c r="B478" s="96" t="s">
        <v>271</v>
      </c>
      <c r="C478" s="96" t="s">
        <v>270</v>
      </c>
      <c r="D478" s="97">
        <v>4.8</v>
      </c>
      <c r="E478" s="97">
        <v>2.7</v>
      </c>
      <c r="F478" s="97">
        <v>3</v>
      </c>
      <c r="G478" s="97">
        <v>4</v>
      </c>
      <c r="H478" s="97">
        <v>7</v>
      </c>
    </row>
    <row r="479" spans="1:8" x14ac:dyDescent="0.3">
      <c r="A479" s="96" t="s">
        <v>269</v>
      </c>
      <c r="B479" s="96" t="s">
        <v>268</v>
      </c>
      <c r="C479" s="96" t="s">
        <v>267</v>
      </c>
      <c r="D479" s="97">
        <v>3.9</v>
      </c>
      <c r="E479" s="97">
        <v>1.7</v>
      </c>
      <c r="F479" s="97">
        <v>3</v>
      </c>
      <c r="G479" s="97">
        <v>4</v>
      </c>
      <c r="H479" s="97">
        <v>5</v>
      </c>
    </row>
    <row r="480" spans="1:8" x14ac:dyDescent="0.3">
      <c r="A480" s="96" t="s">
        <v>266</v>
      </c>
      <c r="B480" s="96" t="s">
        <v>265</v>
      </c>
      <c r="C480" s="96" t="s">
        <v>264</v>
      </c>
      <c r="D480" s="97">
        <v>3.8</v>
      </c>
      <c r="E480" s="97">
        <v>1.2</v>
      </c>
      <c r="F480" s="97">
        <v>3</v>
      </c>
      <c r="G480" s="97">
        <v>4</v>
      </c>
      <c r="H480" s="97">
        <v>5</v>
      </c>
    </row>
    <row r="481" spans="1:8" x14ac:dyDescent="0.3">
      <c r="A481" s="96" t="s">
        <v>263</v>
      </c>
      <c r="B481" s="96" t="s">
        <v>262</v>
      </c>
      <c r="C481" s="96" t="s">
        <v>261</v>
      </c>
      <c r="D481" s="97">
        <v>4.5</v>
      </c>
      <c r="E481" s="97">
        <v>3</v>
      </c>
      <c r="F481" s="97">
        <v>3</v>
      </c>
      <c r="G481" s="97">
        <v>4</v>
      </c>
      <c r="H481" s="97">
        <v>6</v>
      </c>
    </row>
    <row r="482" spans="1:8" x14ac:dyDescent="0.3">
      <c r="A482" s="96" t="s">
        <v>260</v>
      </c>
      <c r="B482" s="96" t="s">
        <v>259</v>
      </c>
      <c r="C482" s="96" t="s">
        <v>258</v>
      </c>
      <c r="D482" s="97">
        <v>4.4000000000000004</v>
      </c>
      <c r="E482" s="97">
        <v>1.8</v>
      </c>
      <c r="F482" s="97">
        <v>3</v>
      </c>
      <c r="G482" s="97">
        <v>4</v>
      </c>
      <c r="H482" s="97">
        <v>6</v>
      </c>
    </row>
    <row r="483" spans="1:8" x14ac:dyDescent="0.3">
      <c r="A483" s="96" t="s">
        <v>257</v>
      </c>
      <c r="B483" s="96" t="s">
        <v>256</v>
      </c>
      <c r="C483" s="96" t="s">
        <v>255</v>
      </c>
      <c r="D483" s="97">
        <v>8.1999999999999993</v>
      </c>
      <c r="E483" s="97">
        <v>5.2</v>
      </c>
      <c r="F483" s="97">
        <v>5</v>
      </c>
      <c r="G483" s="97">
        <v>7</v>
      </c>
      <c r="H483" s="97">
        <v>12</v>
      </c>
    </row>
    <row r="484" spans="1:8" x14ac:dyDescent="0.3">
      <c r="A484" s="96" t="s">
        <v>254</v>
      </c>
      <c r="B484" s="96" t="s">
        <v>253</v>
      </c>
      <c r="C484" s="96" t="s">
        <v>252</v>
      </c>
      <c r="D484" s="97">
        <v>6.5</v>
      </c>
      <c r="E484" s="97">
        <v>2.9</v>
      </c>
      <c r="F484" s="97">
        <v>5</v>
      </c>
      <c r="G484" s="97">
        <v>6</v>
      </c>
      <c r="H484" s="97">
        <v>8</v>
      </c>
    </row>
    <row r="485" spans="1:8" x14ac:dyDescent="0.3">
      <c r="A485" s="96" t="s">
        <v>251</v>
      </c>
      <c r="B485" s="96" t="s">
        <v>250</v>
      </c>
      <c r="C485" s="96" t="s">
        <v>249</v>
      </c>
      <c r="D485" s="97">
        <v>7.5</v>
      </c>
      <c r="E485" s="97">
        <v>6</v>
      </c>
      <c r="F485" s="97">
        <v>5</v>
      </c>
      <c r="G485" s="97">
        <v>6</v>
      </c>
      <c r="H485" s="97">
        <v>10</v>
      </c>
    </row>
    <row r="486" spans="1:8" x14ac:dyDescent="0.3">
      <c r="A486" s="96" t="s">
        <v>248</v>
      </c>
      <c r="B486" s="96" t="s">
        <v>247</v>
      </c>
      <c r="C486" s="96" t="s">
        <v>246</v>
      </c>
      <c r="D486" s="97">
        <v>9.8000000000000007</v>
      </c>
      <c r="E486" s="97">
        <v>4</v>
      </c>
      <c r="F486" s="97">
        <v>6</v>
      </c>
      <c r="G486" s="97">
        <v>9</v>
      </c>
      <c r="H486" s="97">
        <v>14</v>
      </c>
    </row>
    <row r="487" spans="1:8" x14ac:dyDescent="0.3">
      <c r="A487" s="96" t="s">
        <v>245</v>
      </c>
      <c r="B487" s="96" t="s">
        <v>244</v>
      </c>
      <c r="C487" s="96" t="s">
        <v>243</v>
      </c>
      <c r="D487" s="97">
        <v>9.6999999999999993</v>
      </c>
      <c r="E487" s="97">
        <v>6.2</v>
      </c>
      <c r="F487" s="97">
        <v>6</v>
      </c>
      <c r="G487" s="97">
        <v>8</v>
      </c>
      <c r="H487" s="97">
        <v>14</v>
      </c>
    </row>
    <row r="488" spans="1:8" x14ac:dyDescent="0.3">
      <c r="A488" s="96" t="s">
        <v>242</v>
      </c>
      <c r="B488" s="96" t="s">
        <v>241</v>
      </c>
      <c r="C488" s="96" t="s">
        <v>240</v>
      </c>
      <c r="D488" s="97">
        <v>8.9</v>
      </c>
      <c r="E488" s="97">
        <v>5.5</v>
      </c>
      <c r="F488" s="97">
        <v>5</v>
      </c>
      <c r="G488" s="97">
        <v>7</v>
      </c>
      <c r="H488" s="97">
        <v>14</v>
      </c>
    </row>
    <row r="489" spans="1:8" x14ac:dyDescent="0.3">
      <c r="A489" s="96" t="s">
        <v>239</v>
      </c>
      <c r="B489" s="96" t="s">
        <v>238</v>
      </c>
      <c r="C489" s="96" t="s">
        <v>237</v>
      </c>
      <c r="D489" s="97">
        <v>7.6</v>
      </c>
      <c r="E489" s="97">
        <v>8.5</v>
      </c>
      <c r="F489" s="97">
        <v>3</v>
      </c>
      <c r="G489" s="97">
        <v>5</v>
      </c>
      <c r="H489" s="97">
        <v>16</v>
      </c>
    </row>
    <row r="490" spans="1:8" x14ac:dyDescent="0.3">
      <c r="A490" s="96" t="s">
        <v>236</v>
      </c>
      <c r="B490" s="96" t="s">
        <v>235</v>
      </c>
      <c r="C490" s="96" t="s">
        <v>234</v>
      </c>
      <c r="D490" s="97">
        <v>6.4</v>
      </c>
      <c r="E490" s="97">
        <v>2.9</v>
      </c>
      <c r="F490" s="97">
        <v>4</v>
      </c>
      <c r="G490" s="97">
        <v>6</v>
      </c>
      <c r="H490" s="97">
        <v>9</v>
      </c>
    </row>
    <row r="491" spans="1:8" x14ac:dyDescent="0.3">
      <c r="A491" s="96" t="s">
        <v>233</v>
      </c>
      <c r="B491" s="96" t="s">
        <v>232</v>
      </c>
      <c r="C491" s="96" t="s">
        <v>231</v>
      </c>
      <c r="D491" s="97">
        <v>5.5</v>
      </c>
      <c r="E491" s="97">
        <v>2.4</v>
      </c>
      <c r="F491" s="97">
        <v>4</v>
      </c>
      <c r="G491" s="97">
        <v>5</v>
      </c>
      <c r="H491" s="97">
        <v>7</v>
      </c>
    </row>
    <row r="492" spans="1:8" x14ac:dyDescent="0.3">
      <c r="A492" s="96" t="s">
        <v>230</v>
      </c>
      <c r="B492" s="96" t="s">
        <v>229</v>
      </c>
      <c r="C492" s="96" t="s">
        <v>228</v>
      </c>
      <c r="D492" s="97">
        <v>7.9</v>
      </c>
      <c r="E492" s="97">
        <v>4.3</v>
      </c>
      <c r="F492" s="97">
        <v>5</v>
      </c>
      <c r="G492" s="97">
        <v>7</v>
      </c>
      <c r="H492" s="97">
        <v>11</v>
      </c>
    </row>
    <row r="493" spans="1:8" x14ac:dyDescent="0.3">
      <c r="A493" s="96" t="s">
        <v>2009</v>
      </c>
      <c r="B493" s="96" t="s">
        <v>2010</v>
      </c>
      <c r="C493" s="96" t="s">
        <v>2011</v>
      </c>
      <c r="D493" s="97">
        <v>10.4</v>
      </c>
      <c r="E493" s="97">
        <v>3.9</v>
      </c>
      <c r="F493" s="97">
        <v>7</v>
      </c>
      <c r="G493" s="97">
        <v>10</v>
      </c>
      <c r="H493" s="97">
        <v>15</v>
      </c>
    </row>
    <row r="494" spans="1:8" x14ac:dyDescent="0.3">
      <c r="A494" s="96" t="s">
        <v>2012</v>
      </c>
      <c r="B494" s="96" t="s">
        <v>2013</v>
      </c>
      <c r="C494" s="96" t="s">
        <v>2014</v>
      </c>
      <c r="D494" s="97">
        <v>6.6</v>
      </c>
      <c r="E494" s="97">
        <v>2.5</v>
      </c>
      <c r="F494" s="97">
        <v>4</v>
      </c>
      <c r="G494" s="97">
        <v>6</v>
      </c>
      <c r="H494" s="97">
        <v>9</v>
      </c>
    </row>
    <row r="495" spans="1:8" x14ac:dyDescent="0.3">
      <c r="A495" s="96" t="s">
        <v>227</v>
      </c>
      <c r="B495" s="96" t="s">
        <v>226</v>
      </c>
      <c r="C495" s="96" t="s">
        <v>225</v>
      </c>
      <c r="D495" s="97">
        <v>10.8</v>
      </c>
      <c r="E495" s="97">
        <v>4.0999999999999996</v>
      </c>
      <c r="F495" s="97">
        <v>7</v>
      </c>
      <c r="G495" s="97">
        <v>10</v>
      </c>
      <c r="H495" s="97">
        <v>15</v>
      </c>
    </row>
    <row r="496" spans="1:8" x14ac:dyDescent="0.3">
      <c r="A496" s="96" t="s">
        <v>224</v>
      </c>
      <c r="B496" s="96" t="s">
        <v>223</v>
      </c>
      <c r="C496" s="96" t="s">
        <v>222</v>
      </c>
      <c r="D496" s="97">
        <v>7.8</v>
      </c>
      <c r="E496" s="97">
        <v>1.9</v>
      </c>
      <c r="F496" s="97">
        <v>6</v>
      </c>
      <c r="G496" s="97">
        <v>8</v>
      </c>
      <c r="H496" s="97">
        <v>10</v>
      </c>
    </row>
    <row r="497" spans="1:8" x14ac:dyDescent="0.3">
      <c r="A497" s="96" t="s">
        <v>221</v>
      </c>
      <c r="B497" s="96" t="s">
        <v>220</v>
      </c>
      <c r="C497" s="96" t="s">
        <v>219</v>
      </c>
      <c r="D497" s="97">
        <v>5.7</v>
      </c>
      <c r="E497" s="97">
        <v>1.5</v>
      </c>
      <c r="F497" s="97">
        <v>4</v>
      </c>
      <c r="G497" s="97">
        <v>5</v>
      </c>
      <c r="H497" s="97">
        <v>8</v>
      </c>
    </row>
    <row r="498" spans="1:8" x14ac:dyDescent="0.3">
      <c r="A498" s="96" t="s">
        <v>218</v>
      </c>
      <c r="B498" s="96" t="s">
        <v>217</v>
      </c>
      <c r="C498" s="96" t="s">
        <v>2015</v>
      </c>
      <c r="D498" s="97">
        <v>7.1</v>
      </c>
      <c r="E498" s="97">
        <v>1.7</v>
      </c>
      <c r="F498" s="97">
        <v>6</v>
      </c>
      <c r="G498" s="97">
        <v>7</v>
      </c>
      <c r="H498" s="97">
        <v>9</v>
      </c>
    </row>
    <row r="499" spans="1:8" x14ac:dyDescent="0.3">
      <c r="A499" s="96" t="s">
        <v>216</v>
      </c>
      <c r="B499" s="96" t="s">
        <v>215</v>
      </c>
      <c r="C499" s="96" t="s">
        <v>214</v>
      </c>
      <c r="D499" s="97">
        <v>6.6</v>
      </c>
      <c r="E499" s="97">
        <v>2.4</v>
      </c>
      <c r="F499" s="97">
        <v>4</v>
      </c>
      <c r="G499" s="97">
        <v>6</v>
      </c>
      <c r="H499" s="97">
        <v>10</v>
      </c>
    </row>
    <row r="500" spans="1:8" x14ac:dyDescent="0.3">
      <c r="A500" s="96" t="s">
        <v>213</v>
      </c>
      <c r="B500" s="96" t="s">
        <v>212</v>
      </c>
      <c r="C500" s="96" t="s">
        <v>211</v>
      </c>
      <c r="D500" s="97">
        <v>6.3</v>
      </c>
      <c r="E500" s="97">
        <v>2</v>
      </c>
      <c r="F500" s="97">
        <v>5</v>
      </c>
      <c r="G500" s="97">
        <v>6</v>
      </c>
      <c r="H500" s="97">
        <v>9</v>
      </c>
    </row>
    <row r="501" spans="1:8" x14ac:dyDescent="0.3">
      <c r="A501" s="96" t="s">
        <v>210</v>
      </c>
      <c r="B501" s="96" t="s">
        <v>209</v>
      </c>
      <c r="C501" s="96" t="s">
        <v>208</v>
      </c>
      <c r="D501" s="97">
        <v>8.9</v>
      </c>
      <c r="E501" s="97">
        <v>3.6</v>
      </c>
      <c r="F501" s="97">
        <v>6</v>
      </c>
      <c r="G501" s="97">
        <v>8</v>
      </c>
      <c r="H501" s="97">
        <v>12</v>
      </c>
    </row>
    <row r="502" spans="1:8" x14ac:dyDescent="0.3">
      <c r="A502" s="96" t="s">
        <v>207</v>
      </c>
      <c r="B502" s="96" t="s">
        <v>206</v>
      </c>
      <c r="C502" s="96" t="s">
        <v>205</v>
      </c>
      <c r="D502" s="97">
        <v>10.5</v>
      </c>
      <c r="E502" s="97">
        <v>4.5</v>
      </c>
      <c r="F502" s="97">
        <v>7</v>
      </c>
      <c r="G502" s="97">
        <v>10</v>
      </c>
      <c r="H502" s="97">
        <v>14</v>
      </c>
    </row>
    <row r="503" spans="1:8" x14ac:dyDescent="0.3">
      <c r="A503" s="96" t="s">
        <v>204</v>
      </c>
      <c r="B503" s="96" t="s">
        <v>203</v>
      </c>
      <c r="C503" s="96" t="s">
        <v>202</v>
      </c>
      <c r="D503" s="97">
        <v>7.6</v>
      </c>
      <c r="E503" s="97">
        <v>2.1</v>
      </c>
      <c r="F503" s="97">
        <v>5</v>
      </c>
      <c r="G503" s="97">
        <v>7</v>
      </c>
      <c r="H503" s="97">
        <v>10</v>
      </c>
    </row>
    <row r="504" spans="1:8" x14ac:dyDescent="0.3">
      <c r="A504" s="96" t="s">
        <v>201</v>
      </c>
      <c r="B504" s="96" t="s">
        <v>200</v>
      </c>
      <c r="C504" s="96" t="s">
        <v>199</v>
      </c>
      <c r="D504" s="97">
        <v>7.1</v>
      </c>
      <c r="E504" s="97">
        <v>2.1</v>
      </c>
      <c r="F504" s="97">
        <v>5</v>
      </c>
      <c r="G504" s="97">
        <v>7</v>
      </c>
      <c r="H504" s="97">
        <v>10</v>
      </c>
    </row>
    <row r="505" spans="1:8" x14ac:dyDescent="0.3">
      <c r="A505" s="96" t="s">
        <v>198</v>
      </c>
      <c r="B505" s="96" t="s">
        <v>197</v>
      </c>
      <c r="C505" s="96" t="s">
        <v>196</v>
      </c>
      <c r="D505" s="97">
        <v>8.4</v>
      </c>
      <c r="E505" s="97">
        <v>2.1</v>
      </c>
      <c r="F505" s="97">
        <v>6</v>
      </c>
      <c r="G505" s="97">
        <v>8</v>
      </c>
      <c r="H505" s="97">
        <v>10</v>
      </c>
    </row>
    <row r="506" spans="1:8" x14ac:dyDescent="0.3">
      <c r="A506" s="96" t="s">
        <v>195</v>
      </c>
      <c r="B506" s="96" t="s">
        <v>194</v>
      </c>
      <c r="C506" s="96" t="s">
        <v>193</v>
      </c>
      <c r="D506" s="97">
        <v>7.1</v>
      </c>
      <c r="E506" s="97">
        <v>2.6</v>
      </c>
      <c r="F506" s="97">
        <v>5</v>
      </c>
      <c r="G506" s="97">
        <v>7</v>
      </c>
      <c r="H506" s="97">
        <v>9</v>
      </c>
    </row>
    <row r="507" spans="1:8" x14ac:dyDescent="0.3">
      <c r="A507" s="96" t="s">
        <v>192</v>
      </c>
      <c r="B507" s="96" t="s">
        <v>191</v>
      </c>
      <c r="C507" s="96" t="s">
        <v>2016</v>
      </c>
      <c r="D507" s="97">
        <v>6.2</v>
      </c>
      <c r="E507" s="97">
        <v>2</v>
      </c>
      <c r="F507" s="97">
        <v>5</v>
      </c>
      <c r="G507" s="97">
        <v>6</v>
      </c>
      <c r="H507" s="97">
        <v>8</v>
      </c>
    </row>
    <row r="508" spans="1:8" x14ac:dyDescent="0.3">
      <c r="A508" s="96" t="s">
        <v>190</v>
      </c>
      <c r="B508" s="96" t="s">
        <v>189</v>
      </c>
      <c r="C508" s="96" t="s">
        <v>188</v>
      </c>
      <c r="D508" s="97">
        <v>6.4</v>
      </c>
      <c r="E508" s="97">
        <v>1.9</v>
      </c>
      <c r="F508" s="97">
        <v>4</v>
      </c>
      <c r="G508" s="97">
        <v>6</v>
      </c>
      <c r="H508" s="97">
        <v>9</v>
      </c>
    </row>
    <row r="509" spans="1:8" x14ac:dyDescent="0.3">
      <c r="A509" s="96" t="s">
        <v>187</v>
      </c>
      <c r="B509" s="96" t="s">
        <v>186</v>
      </c>
      <c r="C509" s="96" t="s">
        <v>185</v>
      </c>
      <c r="D509" s="97">
        <v>5.0999999999999996</v>
      </c>
      <c r="E509" s="97">
        <v>1.6</v>
      </c>
      <c r="F509" s="97">
        <v>4</v>
      </c>
      <c r="G509" s="97">
        <v>5</v>
      </c>
      <c r="H509" s="97">
        <v>6</v>
      </c>
    </row>
    <row r="510" spans="1:8" x14ac:dyDescent="0.3">
      <c r="A510" s="96" t="s">
        <v>184</v>
      </c>
      <c r="B510" s="96" t="s">
        <v>183</v>
      </c>
      <c r="C510" s="96" t="s">
        <v>182</v>
      </c>
      <c r="D510" s="97">
        <v>6.2</v>
      </c>
      <c r="E510" s="97">
        <v>2</v>
      </c>
      <c r="F510" s="97">
        <v>4</v>
      </c>
      <c r="G510" s="97">
        <v>6</v>
      </c>
      <c r="H510" s="97">
        <v>9</v>
      </c>
    </row>
    <row r="511" spans="1:8" x14ac:dyDescent="0.3">
      <c r="A511" s="96" t="s">
        <v>181</v>
      </c>
      <c r="B511" s="96" t="s">
        <v>180</v>
      </c>
      <c r="C511" s="96" t="s">
        <v>179</v>
      </c>
      <c r="D511" s="97">
        <v>7.5</v>
      </c>
      <c r="E511" s="97">
        <v>4.9000000000000004</v>
      </c>
      <c r="F511" s="97">
        <v>4</v>
      </c>
      <c r="G511" s="97">
        <v>6</v>
      </c>
      <c r="H511" s="97">
        <v>13</v>
      </c>
    </row>
    <row r="512" spans="1:8" x14ac:dyDescent="0.3">
      <c r="A512" s="96" t="s">
        <v>178</v>
      </c>
      <c r="B512" s="96" t="s">
        <v>177</v>
      </c>
      <c r="C512" s="96" t="s">
        <v>176</v>
      </c>
      <c r="D512" s="97">
        <v>14.1</v>
      </c>
      <c r="E512" s="97">
        <v>5.5</v>
      </c>
      <c r="F512" s="97">
        <v>6</v>
      </c>
      <c r="G512" s="97">
        <v>14</v>
      </c>
      <c r="H512" s="97">
        <v>21</v>
      </c>
    </row>
    <row r="513" spans="1:8" x14ac:dyDescent="0.3">
      <c r="A513" s="96" t="s">
        <v>175</v>
      </c>
      <c r="B513" s="96" t="s">
        <v>174</v>
      </c>
      <c r="C513" s="96" t="s">
        <v>173</v>
      </c>
      <c r="D513" s="97">
        <v>9.1</v>
      </c>
      <c r="E513" s="97">
        <v>3.1</v>
      </c>
      <c r="F513" s="97">
        <v>5</v>
      </c>
      <c r="G513" s="97">
        <v>9</v>
      </c>
      <c r="H513" s="97">
        <v>13</v>
      </c>
    </row>
    <row r="514" spans="1:8" x14ac:dyDescent="0.3">
      <c r="A514" s="96" t="s">
        <v>172</v>
      </c>
      <c r="B514" s="96" t="s">
        <v>171</v>
      </c>
      <c r="C514" s="96" t="s">
        <v>170</v>
      </c>
      <c r="D514" s="97">
        <v>7.6</v>
      </c>
      <c r="E514" s="97">
        <v>4.3</v>
      </c>
      <c r="F514" s="97">
        <v>4</v>
      </c>
      <c r="G514" s="97">
        <v>6</v>
      </c>
      <c r="H514" s="97">
        <v>12</v>
      </c>
    </row>
    <row r="515" spans="1:8" x14ac:dyDescent="0.3">
      <c r="A515" s="96" t="s">
        <v>169</v>
      </c>
      <c r="B515" s="96" t="s">
        <v>168</v>
      </c>
      <c r="C515" s="96" t="s">
        <v>167</v>
      </c>
      <c r="D515" s="97">
        <v>10.4</v>
      </c>
      <c r="E515" s="97">
        <v>3.7</v>
      </c>
      <c r="F515" s="97">
        <v>7</v>
      </c>
      <c r="G515" s="97">
        <v>10</v>
      </c>
      <c r="H515" s="97">
        <v>14</v>
      </c>
    </row>
    <row r="516" spans="1:8" x14ac:dyDescent="0.3">
      <c r="A516" s="96" t="s">
        <v>166</v>
      </c>
      <c r="B516" s="96" t="s">
        <v>165</v>
      </c>
      <c r="C516" s="96" t="s">
        <v>164</v>
      </c>
      <c r="D516" s="97">
        <v>19.100000000000001</v>
      </c>
      <c r="E516" s="97">
        <v>17.600000000000001</v>
      </c>
      <c r="F516" s="97">
        <v>7</v>
      </c>
      <c r="G516" s="97">
        <v>12</v>
      </c>
      <c r="H516" s="97">
        <v>43</v>
      </c>
    </row>
    <row r="517" spans="1:8" x14ac:dyDescent="0.3">
      <c r="A517" s="96" t="s">
        <v>163</v>
      </c>
      <c r="B517" s="96" t="s">
        <v>16</v>
      </c>
      <c r="C517" s="96" t="s">
        <v>162</v>
      </c>
      <c r="D517" s="97">
        <v>6.9</v>
      </c>
      <c r="E517" s="97">
        <v>3.3</v>
      </c>
      <c r="F517" s="97">
        <v>5</v>
      </c>
      <c r="G517" s="97">
        <v>6</v>
      </c>
      <c r="H517" s="97">
        <v>10</v>
      </c>
    </row>
    <row r="518" spans="1:8" x14ac:dyDescent="0.3">
      <c r="A518" s="96" t="s">
        <v>2017</v>
      </c>
      <c r="B518" s="96" t="s">
        <v>2018</v>
      </c>
      <c r="C518" s="96" t="s">
        <v>2019</v>
      </c>
      <c r="D518" s="97">
        <v>8.9</v>
      </c>
      <c r="E518" s="97">
        <v>1.9</v>
      </c>
      <c r="F518" s="97">
        <v>7</v>
      </c>
      <c r="G518" s="97">
        <v>9</v>
      </c>
      <c r="H518" s="97">
        <v>11</v>
      </c>
    </row>
    <row r="519" spans="1:8" x14ac:dyDescent="0.3">
      <c r="A519" s="96" t="s">
        <v>2020</v>
      </c>
      <c r="B519" s="96" t="s">
        <v>2021</v>
      </c>
      <c r="C519" s="96" t="s">
        <v>2022</v>
      </c>
      <c r="D519" s="97">
        <v>8.1</v>
      </c>
      <c r="E519" s="97">
        <v>1.8</v>
      </c>
      <c r="F519" s="97">
        <v>6</v>
      </c>
      <c r="G519" s="97">
        <v>8</v>
      </c>
      <c r="H519" s="97">
        <v>10</v>
      </c>
    </row>
    <row r="520" spans="1:8" x14ac:dyDescent="0.3">
      <c r="A520" s="96" t="s">
        <v>161</v>
      </c>
      <c r="B520" s="96" t="s">
        <v>160</v>
      </c>
      <c r="C520" s="96" t="s">
        <v>159</v>
      </c>
      <c r="D520" s="97">
        <v>7.5</v>
      </c>
      <c r="E520" s="97">
        <v>3.4</v>
      </c>
      <c r="F520" s="97">
        <v>5</v>
      </c>
      <c r="G520" s="97">
        <v>6</v>
      </c>
      <c r="H520" s="97">
        <v>13</v>
      </c>
    </row>
    <row r="521" spans="1:8" x14ac:dyDescent="0.3">
      <c r="A521" s="96" t="s">
        <v>158</v>
      </c>
      <c r="B521" s="96" t="s">
        <v>157</v>
      </c>
      <c r="C521" s="96" t="s">
        <v>156</v>
      </c>
      <c r="D521" s="97">
        <v>9.3000000000000007</v>
      </c>
      <c r="E521" s="97">
        <v>4.3</v>
      </c>
      <c r="F521" s="97">
        <v>6</v>
      </c>
      <c r="G521" s="97">
        <v>8</v>
      </c>
      <c r="H521" s="97">
        <v>14</v>
      </c>
    </row>
    <row r="522" spans="1:8" x14ac:dyDescent="0.3">
      <c r="A522" s="96" t="s">
        <v>155</v>
      </c>
      <c r="B522" s="96" t="s">
        <v>154</v>
      </c>
      <c r="C522" s="96" t="s">
        <v>153</v>
      </c>
      <c r="D522" s="97">
        <v>5.6</v>
      </c>
      <c r="E522" s="97">
        <v>1.6</v>
      </c>
      <c r="F522" s="97">
        <v>4</v>
      </c>
      <c r="G522" s="97">
        <v>5</v>
      </c>
      <c r="H522" s="97">
        <v>8</v>
      </c>
    </row>
    <row r="523" spans="1:8" x14ac:dyDescent="0.3">
      <c r="A523" s="96" t="s">
        <v>2023</v>
      </c>
      <c r="B523" s="96" t="s">
        <v>2024</v>
      </c>
      <c r="C523" s="96" t="s">
        <v>2025</v>
      </c>
      <c r="D523" s="97">
        <v>9.1999999999999993</v>
      </c>
      <c r="E523" s="97">
        <v>2.7</v>
      </c>
      <c r="F523" s="97">
        <v>7</v>
      </c>
      <c r="G523" s="97">
        <v>9</v>
      </c>
      <c r="H523" s="97">
        <v>12</v>
      </c>
    </row>
    <row r="524" spans="1:8" x14ac:dyDescent="0.3">
      <c r="A524" s="96" t="s">
        <v>152</v>
      </c>
      <c r="B524" s="96" t="s">
        <v>151</v>
      </c>
      <c r="C524" s="96" t="s">
        <v>150</v>
      </c>
      <c r="D524" s="97">
        <v>12</v>
      </c>
      <c r="E524" s="97">
        <v>5.7</v>
      </c>
      <c r="F524" s="97">
        <v>9</v>
      </c>
      <c r="G524" s="97">
        <v>10</v>
      </c>
      <c r="H524" s="97">
        <v>16</v>
      </c>
    </row>
    <row r="525" spans="1:8" x14ac:dyDescent="0.3">
      <c r="A525" s="96" t="s">
        <v>146</v>
      </c>
      <c r="B525" s="96" t="s">
        <v>17</v>
      </c>
      <c r="C525" s="96" t="s">
        <v>145</v>
      </c>
      <c r="D525" s="97">
        <v>7.6</v>
      </c>
      <c r="E525" s="97">
        <v>4.2</v>
      </c>
      <c r="F525" s="97">
        <v>5</v>
      </c>
      <c r="G525" s="97">
        <v>7</v>
      </c>
      <c r="H525" s="97">
        <v>11</v>
      </c>
    </row>
    <row r="526" spans="1:8" x14ac:dyDescent="0.3">
      <c r="A526" s="96" t="s">
        <v>2026</v>
      </c>
      <c r="B526" s="96" t="s">
        <v>2027</v>
      </c>
      <c r="C526" s="96" t="s">
        <v>2028</v>
      </c>
      <c r="D526" s="97">
        <v>2.9</v>
      </c>
      <c r="E526" s="97">
        <v>1.8</v>
      </c>
      <c r="F526" s="97">
        <v>2</v>
      </c>
      <c r="G526" s="97">
        <v>2</v>
      </c>
      <c r="H526" s="97">
        <v>4</v>
      </c>
    </row>
    <row r="527" spans="1:8" x14ac:dyDescent="0.3">
      <c r="A527" s="96" t="s">
        <v>144</v>
      </c>
      <c r="B527" s="96" t="s">
        <v>143</v>
      </c>
      <c r="C527" s="96" t="s">
        <v>142</v>
      </c>
      <c r="D527" s="97">
        <v>6.7</v>
      </c>
      <c r="E527" s="97">
        <v>1.8</v>
      </c>
      <c r="F527" s="97">
        <v>4</v>
      </c>
      <c r="G527" s="97">
        <v>7</v>
      </c>
      <c r="H527" s="97">
        <v>9</v>
      </c>
    </row>
    <row r="528" spans="1:8" x14ac:dyDescent="0.3">
      <c r="A528" s="96" t="s">
        <v>141</v>
      </c>
      <c r="B528" s="96" t="s">
        <v>140</v>
      </c>
      <c r="C528" s="96" t="s">
        <v>139</v>
      </c>
      <c r="D528" s="97">
        <v>5.3</v>
      </c>
      <c r="E528" s="97">
        <v>2.7</v>
      </c>
      <c r="F528" s="97">
        <v>3</v>
      </c>
      <c r="G528" s="97">
        <v>5</v>
      </c>
      <c r="H528" s="97">
        <v>8</v>
      </c>
    </row>
    <row r="529" spans="1:8" x14ac:dyDescent="0.3">
      <c r="A529" s="96" t="s">
        <v>138</v>
      </c>
      <c r="B529" s="96" t="s">
        <v>137</v>
      </c>
      <c r="C529" s="96" t="s">
        <v>136</v>
      </c>
      <c r="D529" s="97">
        <v>10.199999999999999</v>
      </c>
      <c r="E529" s="97">
        <v>3.3</v>
      </c>
      <c r="F529" s="97">
        <v>7</v>
      </c>
      <c r="G529" s="97">
        <v>9</v>
      </c>
      <c r="H529" s="97">
        <v>14</v>
      </c>
    </row>
    <row r="530" spans="1:8" x14ac:dyDescent="0.3">
      <c r="A530" s="96" t="s">
        <v>135</v>
      </c>
      <c r="B530" s="96" t="s">
        <v>134</v>
      </c>
      <c r="C530" s="96" t="s">
        <v>133</v>
      </c>
      <c r="D530" s="97">
        <v>4.5999999999999996</v>
      </c>
      <c r="E530" s="97">
        <v>2.1</v>
      </c>
      <c r="F530" s="97">
        <v>3</v>
      </c>
      <c r="G530" s="97">
        <v>4</v>
      </c>
      <c r="H530" s="97">
        <v>7</v>
      </c>
    </row>
    <row r="531" spans="1:8" x14ac:dyDescent="0.3">
      <c r="A531" s="96" t="s">
        <v>132</v>
      </c>
      <c r="B531" s="96" t="s">
        <v>131</v>
      </c>
      <c r="C531" s="96" t="s">
        <v>130</v>
      </c>
      <c r="D531" s="97">
        <v>5.5</v>
      </c>
      <c r="E531" s="97">
        <v>3.7</v>
      </c>
      <c r="F531" s="97">
        <v>4</v>
      </c>
      <c r="G531" s="97">
        <v>4</v>
      </c>
      <c r="H531" s="97">
        <v>8</v>
      </c>
    </row>
    <row r="532" spans="1:8" x14ac:dyDescent="0.3">
      <c r="A532" s="96" t="s">
        <v>129</v>
      </c>
      <c r="B532" s="96" t="s">
        <v>128</v>
      </c>
      <c r="C532" s="96" t="s">
        <v>127</v>
      </c>
      <c r="D532" s="97">
        <v>4.9000000000000004</v>
      </c>
      <c r="E532" s="97">
        <v>2.2000000000000002</v>
      </c>
      <c r="F532" s="97">
        <v>3</v>
      </c>
      <c r="G532" s="97">
        <v>5</v>
      </c>
      <c r="H532" s="97">
        <v>6</v>
      </c>
    </row>
    <row r="533" spans="1:8" x14ac:dyDescent="0.3">
      <c r="A533" s="96" t="s">
        <v>126</v>
      </c>
      <c r="B533" s="96" t="s">
        <v>125</v>
      </c>
      <c r="C533" s="96" t="s">
        <v>124</v>
      </c>
      <c r="D533" s="97">
        <v>6</v>
      </c>
      <c r="E533" s="97">
        <v>1.1000000000000001</v>
      </c>
      <c r="F533" s="97">
        <v>5</v>
      </c>
      <c r="G533" s="97">
        <v>6</v>
      </c>
      <c r="H533" s="97">
        <v>7</v>
      </c>
    </row>
    <row r="534" spans="1:8" x14ac:dyDescent="0.3">
      <c r="A534" s="96" t="s">
        <v>123</v>
      </c>
      <c r="B534" s="96" t="s">
        <v>122</v>
      </c>
      <c r="C534" s="96" t="s">
        <v>121</v>
      </c>
      <c r="D534" s="97">
        <v>10.4</v>
      </c>
      <c r="E534" s="97">
        <v>5.5</v>
      </c>
      <c r="F534" s="97">
        <v>6</v>
      </c>
      <c r="G534" s="97">
        <v>9</v>
      </c>
      <c r="H534" s="97">
        <v>16</v>
      </c>
    </row>
    <row r="535" spans="1:8" x14ac:dyDescent="0.3">
      <c r="A535" s="96" t="s">
        <v>120</v>
      </c>
      <c r="B535" s="96" t="s">
        <v>119</v>
      </c>
      <c r="C535" s="96" t="s">
        <v>118</v>
      </c>
      <c r="D535" s="97">
        <v>6.9</v>
      </c>
      <c r="E535" s="97">
        <v>4.3</v>
      </c>
      <c r="F535" s="97">
        <v>4</v>
      </c>
      <c r="G535" s="97">
        <v>6</v>
      </c>
      <c r="H535" s="97">
        <v>11</v>
      </c>
    </row>
    <row r="536" spans="1:8" x14ac:dyDescent="0.3">
      <c r="A536" s="96" t="s">
        <v>117</v>
      </c>
      <c r="B536" s="96" t="s">
        <v>116</v>
      </c>
      <c r="C536" s="96" t="s">
        <v>115</v>
      </c>
      <c r="D536" s="97">
        <v>7.7</v>
      </c>
      <c r="E536" s="97">
        <v>3.3</v>
      </c>
      <c r="F536" s="97">
        <v>5</v>
      </c>
      <c r="G536" s="97">
        <v>7</v>
      </c>
      <c r="H536" s="97">
        <v>10</v>
      </c>
    </row>
    <row r="537" spans="1:8" x14ac:dyDescent="0.3">
      <c r="A537" s="96" t="s">
        <v>114</v>
      </c>
      <c r="B537" s="96" t="s">
        <v>113</v>
      </c>
      <c r="C537" s="96" t="s">
        <v>112</v>
      </c>
      <c r="D537" s="97">
        <v>7.8</v>
      </c>
      <c r="E537" s="97">
        <v>2</v>
      </c>
      <c r="F537" s="97">
        <v>5</v>
      </c>
      <c r="G537" s="97">
        <v>8</v>
      </c>
      <c r="H537" s="97">
        <v>10</v>
      </c>
    </row>
    <row r="538" spans="1:8" x14ac:dyDescent="0.3">
      <c r="A538" s="96" t="s">
        <v>111</v>
      </c>
      <c r="B538" s="96" t="s">
        <v>110</v>
      </c>
      <c r="C538" s="96" t="s">
        <v>109</v>
      </c>
      <c r="D538" s="97">
        <v>5.8</v>
      </c>
      <c r="E538" s="97">
        <v>3.1</v>
      </c>
      <c r="F538" s="97">
        <v>3</v>
      </c>
      <c r="G538" s="97">
        <v>5</v>
      </c>
      <c r="H538" s="97">
        <v>9</v>
      </c>
    </row>
    <row r="539" spans="1:8" x14ac:dyDescent="0.3">
      <c r="A539" s="96" t="s">
        <v>108</v>
      </c>
      <c r="B539" s="96" t="s">
        <v>107</v>
      </c>
      <c r="C539" s="96" t="s">
        <v>2029</v>
      </c>
      <c r="D539" s="97">
        <v>7.6</v>
      </c>
      <c r="E539" s="97">
        <v>3.1</v>
      </c>
      <c r="F539" s="97">
        <v>5</v>
      </c>
      <c r="G539" s="97">
        <v>8</v>
      </c>
      <c r="H539" s="97">
        <v>10</v>
      </c>
    </row>
    <row r="540" spans="1:8" x14ac:dyDescent="0.3">
      <c r="A540" s="96" t="s">
        <v>105</v>
      </c>
      <c r="B540" s="96" t="s">
        <v>104</v>
      </c>
      <c r="C540" s="96" t="s">
        <v>103</v>
      </c>
      <c r="D540" s="97">
        <v>3.5</v>
      </c>
      <c r="E540" s="97">
        <v>0.9</v>
      </c>
      <c r="F540" s="97">
        <v>3</v>
      </c>
      <c r="G540" s="97">
        <v>3</v>
      </c>
      <c r="H540" s="97">
        <v>5</v>
      </c>
    </row>
    <row r="541" spans="1:8" x14ac:dyDescent="0.3">
      <c r="A541" s="96" t="s">
        <v>102</v>
      </c>
      <c r="B541" s="96" t="s">
        <v>101</v>
      </c>
      <c r="C541" s="96" t="s">
        <v>100</v>
      </c>
      <c r="D541" s="97">
        <v>7.3</v>
      </c>
      <c r="E541" s="97">
        <v>2.2999999999999998</v>
      </c>
      <c r="F541" s="97">
        <v>5</v>
      </c>
      <c r="G541" s="97">
        <v>7</v>
      </c>
      <c r="H541" s="97">
        <v>10</v>
      </c>
    </row>
    <row r="542" spans="1:8" x14ac:dyDescent="0.3">
      <c r="A542" s="96" t="s">
        <v>99</v>
      </c>
      <c r="B542" s="96" t="s">
        <v>98</v>
      </c>
      <c r="C542" s="96" t="s">
        <v>97</v>
      </c>
      <c r="D542" s="97">
        <v>7.8</v>
      </c>
      <c r="E542" s="97">
        <v>3</v>
      </c>
      <c r="F542" s="97">
        <v>5</v>
      </c>
      <c r="G542" s="97">
        <v>7</v>
      </c>
      <c r="H542" s="97">
        <v>11</v>
      </c>
    </row>
    <row r="543" spans="1:8" x14ac:dyDescent="0.3">
      <c r="A543" s="96" t="s">
        <v>2030</v>
      </c>
      <c r="B543" s="96" t="s">
        <v>2031</v>
      </c>
      <c r="C543" s="96" t="s">
        <v>2032</v>
      </c>
      <c r="D543" s="97">
        <v>7.1</v>
      </c>
      <c r="E543" s="97">
        <v>2.5</v>
      </c>
      <c r="F543" s="97">
        <v>4</v>
      </c>
      <c r="G543" s="97">
        <v>7</v>
      </c>
      <c r="H543" s="97">
        <v>10</v>
      </c>
    </row>
    <row r="544" spans="1:8" x14ac:dyDescent="0.3">
      <c r="A544" s="96" t="s">
        <v>96</v>
      </c>
      <c r="B544" s="96" t="s">
        <v>95</v>
      </c>
      <c r="C544" s="96" t="s">
        <v>94</v>
      </c>
      <c r="D544" s="97">
        <v>8.8000000000000007</v>
      </c>
      <c r="E544" s="97">
        <v>3.7</v>
      </c>
      <c r="F544" s="97">
        <v>6</v>
      </c>
      <c r="G544" s="97">
        <v>8</v>
      </c>
      <c r="H544" s="97">
        <v>12</v>
      </c>
    </row>
    <row r="545" spans="1:8" x14ac:dyDescent="0.3">
      <c r="A545" s="96" t="s">
        <v>93</v>
      </c>
      <c r="B545" s="96" t="s">
        <v>92</v>
      </c>
      <c r="C545" s="96" t="s">
        <v>91</v>
      </c>
      <c r="D545" s="97">
        <v>10.199999999999999</v>
      </c>
      <c r="E545" s="97">
        <v>3.6</v>
      </c>
      <c r="F545" s="97">
        <v>6</v>
      </c>
      <c r="G545" s="97">
        <v>10</v>
      </c>
      <c r="H545" s="97">
        <v>14</v>
      </c>
    </row>
    <row r="546" spans="1:8" x14ac:dyDescent="0.3">
      <c r="A546" s="96" t="s">
        <v>90</v>
      </c>
      <c r="B546" s="96" t="s">
        <v>89</v>
      </c>
      <c r="C546" s="96" t="s">
        <v>88</v>
      </c>
      <c r="D546" s="97">
        <v>9.1999999999999993</v>
      </c>
      <c r="E546" s="97">
        <v>3.3</v>
      </c>
      <c r="F546" s="97">
        <v>6</v>
      </c>
      <c r="G546" s="97">
        <v>9</v>
      </c>
      <c r="H546" s="97">
        <v>13</v>
      </c>
    </row>
    <row r="547" spans="1:8" x14ac:dyDescent="0.3">
      <c r="A547" s="96" t="s">
        <v>87</v>
      </c>
      <c r="B547" s="96" t="s">
        <v>86</v>
      </c>
      <c r="C547" s="96" t="s">
        <v>2033</v>
      </c>
      <c r="D547" s="97">
        <v>9.6999999999999993</v>
      </c>
      <c r="E547" s="97">
        <v>4.2</v>
      </c>
      <c r="F547" s="97">
        <v>7</v>
      </c>
      <c r="G547" s="97">
        <v>9</v>
      </c>
      <c r="H547" s="97">
        <v>13</v>
      </c>
    </row>
    <row r="548" spans="1:8" x14ac:dyDescent="0.3">
      <c r="A548" s="96" t="s">
        <v>85</v>
      </c>
      <c r="B548" s="96" t="s">
        <v>84</v>
      </c>
      <c r="C548" s="96" t="s">
        <v>83</v>
      </c>
      <c r="D548" s="97">
        <v>8.1999999999999993</v>
      </c>
      <c r="E548" s="97">
        <v>3.7</v>
      </c>
      <c r="F548" s="97">
        <v>6</v>
      </c>
      <c r="G548" s="97">
        <v>7</v>
      </c>
      <c r="H548" s="97">
        <v>11</v>
      </c>
    </row>
    <row r="549" spans="1:8" x14ac:dyDescent="0.3">
      <c r="A549" s="96" t="s">
        <v>82</v>
      </c>
      <c r="B549" s="96" t="s">
        <v>81</v>
      </c>
      <c r="C549" s="96" t="s">
        <v>80</v>
      </c>
      <c r="D549" s="97">
        <v>15</v>
      </c>
      <c r="E549" s="97">
        <v>3.7</v>
      </c>
      <c r="F549" s="97">
        <v>11</v>
      </c>
      <c r="G549" s="97">
        <v>15</v>
      </c>
      <c r="H549" s="97">
        <v>19</v>
      </c>
    </row>
    <row r="550" spans="1:8" x14ac:dyDescent="0.3">
      <c r="A550" s="96" t="s">
        <v>79</v>
      </c>
      <c r="B550" s="96" t="s">
        <v>78</v>
      </c>
      <c r="C550" s="96" t="s">
        <v>77</v>
      </c>
      <c r="D550" s="97">
        <v>15</v>
      </c>
      <c r="E550" s="97">
        <v>6.6</v>
      </c>
      <c r="F550" s="97">
        <v>8</v>
      </c>
      <c r="G550" s="97">
        <v>14</v>
      </c>
      <c r="H550" s="97">
        <v>23</v>
      </c>
    </row>
    <row r="551" spans="1:8" x14ac:dyDescent="0.3">
      <c r="A551" s="96" t="s">
        <v>76</v>
      </c>
      <c r="B551" s="96" t="s">
        <v>75</v>
      </c>
      <c r="C551" s="96" t="s">
        <v>2034</v>
      </c>
      <c r="D551" s="97">
        <v>11.6</v>
      </c>
      <c r="E551" s="97">
        <v>5.7</v>
      </c>
      <c r="F551" s="97">
        <v>6</v>
      </c>
      <c r="G551" s="97">
        <v>10</v>
      </c>
      <c r="H551" s="97">
        <v>19</v>
      </c>
    </row>
    <row r="552" spans="1:8" x14ac:dyDescent="0.3">
      <c r="A552" s="96" t="s">
        <v>2035</v>
      </c>
      <c r="B552" s="96" t="s">
        <v>2036</v>
      </c>
      <c r="C552" s="96" t="s">
        <v>2037</v>
      </c>
      <c r="D552" s="97">
        <v>6.7</v>
      </c>
      <c r="E552" s="97">
        <v>3.4</v>
      </c>
      <c r="F552" s="97">
        <v>4</v>
      </c>
      <c r="G552" s="97">
        <v>6</v>
      </c>
      <c r="H552" s="97">
        <v>10</v>
      </c>
    </row>
    <row r="553" spans="1:8" x14ac:dyDescent="0.3">
      <c r="A553" s="96" t="s">
        <v>74</v>
      </c>
      <c r="B553" s="96" t="s">
        <v>73</v>
      </c>
      <c r="C553" s="96" t="s">
        <v>72</v>
      </c>
      <c r="D553" s="97">
        <v>8.9</v>
      </c>
      <c r="E553" s="97">
        <v>3.5</v>
      </c>
      <c r="F553" s="97">
        <v>5</v>
      </c>
      <c r="G553" s="97">
        <v>9</v>
      </c>
      <c r="H553" s="97">
        <v>13</v>
      </c>
    </row>
    <row r="554" spans="1:8" x14ac:dyDescent="0.3">
      <c r="A554" s="96" t="s">
        <v>71</v>
      </c>
      <c r="B554" s="96" t="s">
        <v>70</v>
      </c>
      <c r="C554" s="96" t="s">
        <v>69</v>
      </c>
      <c r="D554" s="97">
        <v>8.3000000000000007</v>
      </c>
      <c r="E554" s="97">
        <v>2.2999999999999998</v>
      </c>
      <c r="F554" s="97">
        <v>6</v>
      </c>
      <c r="G554" s="97">
        <v>8</v>
      </c>
      <c r="H554" s="97">
        <v>11</v>
      </c>
    </row>
    <row r="555" spans="1:8" x14ac:dyDescent="0.3">
      <c r="A555" s="96" t="s">
        <v>2038</v>
      </c>
      <c r="B555" s="96" t="s">
        <v>2039</v>
      </c>
      <c r="C555" s="96" t="s">
        <v>2040</v>
      </c>
      <c r="D555" s="97">
        <v>9.8000000000000007</v>
      </c>
      <c r="E555" s="97">
        <v>2.4</v>
      </c>
      <c r="F555" s="97">
        <v>7</v>
      </c>
      <c r="G555" s="97">
        <v>9</v>
      </c>
      <c r="H555" s="97">
        <v>13</v>
      </c>
    </row>
    <row r="556" spans="1:8" x14ac:dyDescent="0.3">
      <c r="A556" s="96" t="s">
        <v>68</v>
      </c>
      <c r="B556" s="96" t="s">
        <v>19</v>
      </c>
      <c r="C556" s="96" t="s">
        <v>2041</v>
      </c>
      <c r="D556" s="97">
        <v>13.7</v>
      </c>
      <c r="E556" s="97">
        <v>3.8</v>
      </c>
      <c r="F556" s="97">
        <v>9</v>
      </c>
      <c r="G556" s="97">
        <v>14</v>
      </c>
      <c r="H556" s="97">
        <v>18</v>
      </c>
    </row>
    <row r="557" spans="1:8" x14ac:dyDescent="0.3">
      <c r="A557" s="96" t="s">
        <v>67</v>
      </c>
      <c r="B557" s="96" t="s">
        <v>66</v>
      </c>
      <c r="C557" s="96" t="s">
        <v>65</v>
      </c>
      <c r="D557" s="97">
        <v>8.1999999999999993</v>
      </c>
      <c r="E557" s="97">
        <v>3.5</v>
      </c>
      <c r="F557" s="97">
        <v>5</v>
      </c>
      <c r="G557" s="97">
        <v>7</v>
      </c>
      <c r="H557" s="97">
        <v>11</v>
      </c>
    </row>
    <row r="558" spans="1:8" x14ac:dyDescent="0.3">
      <c r="A558" s="96" t="s">
        <v>64</v>
      </c>
      <c r="B558" s="96" t="s">
        <v>63</v>
      </c>
      <c r="C558" s="96" t="s">
        <v>62</v>
      </c>
      <c r="D558" s="97">
        <v>8.1</v>
      </c>
      <c r="E558" s="97">
        <v>3.1</v>
      </c>
      <c r="F558" s="97">
        <v>5</v>
      </c>
      <c r="G558" s="97">
        <v>8</v>
      </c>
      <c r="H558" s="97">
        <v>12</v>
      </c>
    </row>
    <row r="559" spans="1:8" x14ac:dyDescent="0.3">
      <c r="A559" s="96" t="s">
        <v>61</v>
      </c>
      <c r="B559" s="96" t="s">
        <v>60</v>
      </c>
      <c r="C559" s="96" t="s">
        <v>59</v>
      </c>
      <c r="D559" s="97">
        <v>10.6</v>
      </c>
      <c r="E559" s="97">
        <v>6</v>
      </c>
      <c r="F559" s="97">
        <v>5</v>
      </c>
      <c r="G559" s="97">
        <v>9</v>
      </c>
      <c r="H559" s="97">
        <v>20</v>
      </c>
    </row>
    <row r="560" spans="1:8" x14ac:dyDescent="0.3">
      <c r="A560" s="96" t="s">
        <v>2042</v>
      </c>
      <c r="B560" s="96" t="s">
        <v>2043</v>
      </c>
      <c r="C560" s="96" t="s">
        <v>2044</v>
      </c>
      <c r="D560" s="97">
        <v>11.5</v>
      </c>
      <c r="E560" s="97">
        <v>3.3</v>
      </c>
      <c r="F560" s="97">
        <v>8</v>
      </c>
      <c r="G560" s="97">
        <v>11</v>
      </c>
      <c r="H560" s="97">
        <v>16</v>
      </c>
    </row>
    <row r="561" spans="1:13" x14ac:dyDescent="0.3">
      <c r="A561" s="96" t="s">
        <v>58</v>
      </c>
      <c r="B561" s="96" t="s">
        <v>57</v>
      </c>
      <c r="C561" s="96" t="s">
        <v>56</v>
      </c>
      <c r="D561" s="97">
        <v>14.8</v>
      </c>
      <c r="E561" s="97">
        <v>4.7</v>
      </c>
      <c r="F561" s="97">
        <v>8</v>
      </c>
      <c r="G561" s="97">
        <v>15</v>
      </c>
      <c r="H561" s="97">
        <v>21</v>
      </c>
    </row>
    <row r="562" spans="1:13" x14ac:dyDescent="0.3">
      <c r="A562" s="98"/>
      <c r="B562" s="98"/>
      <c r="C562" s="98"/>
      <c r="D562" s="98"/>
      <c r="E562" s="98"/>
      <c r="F562" s="98"/>
      <c r="G562" s="98"/>
      <c r="H562" s="98"/>
    </row>
    <row r="563" spans="1:13" x14ac:dyDescent="0.3">
      <c r="A563" s="99" t="s">
        <v>55</v>
      </c>
      <c r="B563" s="100"/>
      <c r="C563" s="101"/>
      <c r="D563" s="102"/>
      <c r="E563" s="102"/>
      <c r="F563" s="100"/>
      <c r="G563" s="100"/>
      <c r="H563" s="98"/>
    </row>
    <row r="564" spans="1:13" x14ac:dyDescent="0.3">
      <c r="A564" s="99" t="s">
        <v>54</v>
      </c>
      <c r="B564" s="100"/>
      <c r="C564" s="101"/>
      <c r="D564" s="102"/>
      <c r="E564" s="102"/>
      <c r="F564" s="100"/>
      <c r="G564" s="100"/>
      <c r="H564" s="98"/>
    </row>
    <row r="565" spans="1:13" x14ac:dyDescent="0.3">
      <c r="A565" s="101"/>
      <c r="B565" s="100"/>
      <c r="C565" s="101"/>
      <c r="D565" s="102"/>
      <c r="E565" s="102"/>
      <c r="F565" s="100"/>
      <c r="G565" s="100"/>
      <c r="H565" s="98"/>
    </row>
    <row r="566" spans="1:13" x14ac:dyDescent="0.3">
      <c r="A566" s="24" t="s">
        <v>2045</v>
      </c>
      <c r="B566" s="100"/>
      <c r="C566" s="101"/>
      <c r="D566" s="102"/>
      <c r="E566" s="102"/>
      <c r="F566" s="100"/>
      <c r="G566" s="100"/>
      <c r="H566" s="98"/>
    </row>
    <row r="567" spans="1:13" x14ac:dyDescent="0.3">
      <c r="A567" s="23" t="s">
        <v>52</v>
      </c>
      <c r="B567" s="100"/>
      <c r="C567" s="101"/>
      <c r="D567" s="102"/>
      <c r="E567" s="102"/>
      <c r="F567" s="100"/>
      <c r="G567" s="100"/>
      <c r="H567" s="98"/>
    </row>
    <row r="568" spans="1:13" x14ac:dyDescent="0.3">
      <c r="A568" s="23" t="s">
        <v>51</v>
      </c>
      <c r="B568" s="100"/>
      <c r="C568" s="101"/>
      <c r="D568" s="102"/>
      <c r="E568" s="102"/>
      <c r="F568" s="100"/>
      <c r="G568" s="100"/>
      <c r="H568" s="98"/>
    </row>
    <row r="569" spans="1:13" x14ac:dyDescent="0.3">
      <c r="A569" s="23" t="s">
        <v>50</v>
      </c>
      <c r="B569" s="100"/>
      <c r="C569" s="101"/>
      <c r="D569" s="102"/>
      <c r="E569" s="102"/>
      <c r="F569" s="100"/>
      <c r="G569" s="100"/>
      <c r="H569" s="98"/>
    </row>
    <row r="570" spans="1:13" x14ac:dyDescent="0.3">
      <c r="A570" s="23" t="s">
        <v>49</v>
      </c>
      <c r="B570" s="100"/>
      <c r="C570" s="101"/>
      <c r="D570" s="102"/>
      <c r="E570" s="102"/>
      <c r="F570" s="100"/>
      <c r="G570" s="100"/>
      <c r="H570" s="98"/>
    </row>
    <row r="571" spans="1:13" x14ac:dyDescent="0.3">
      <c r="A571" s="23" t="s">
        <v>48</v>
      </c>
      <c r="B571" s="100"/>
      <c r="C571" s="101"/>
      <c r="D571" s="102"/>
      <c r="E571" s="102"/>
      <c r="F571" s="100"/>
      <c r="G571" s="100"/>
      <c r="H571" s="98"/>
      <c r="I571"/>
      <c r="J571"/>
      <c r="K571"/>
      <c r="L571"/>
      <c r="M571"/>
    </row>
    <row r="572" spans="1:13" x14ac:dyDescent="0.3">
      <c r="A572" s="100"/>
      <c r="B572" s="100"/>
      <c r="C572" s="101"/>
      <c r="D572" s="100"/>
      <c r="E572" s="100"/>
      <c r="F572" s="100"/>
      <c r="G572" s="100"/>
      <c r="H572" s="98"/>
      <c r="I572"/>
      <c r="J572"/>
      <c r="K572"/>
      <c r="L572"/>
      <c r="M572"/>
    </row>
    <row r="573" spans="1:13" x14ac:dyDescent="0.3">
      <c r="A573" s="100"/>
      <c r="B573" s="100"/>
      <c r="C573" s="101"/>
      <c r="D573" s="100"/>
      <c r="E573" s="100"/>
      <c r="F573" s="100"/>
      <c r="G573" s="100"/>
      <c r="H573" s="98"/>
      <c r="I573"/>
      <c r="J573"/>
      <c r="K573"/>
      <c r="L573"/>
      <c r="M573"/>
    </row>
    <row r="574" spans="1:13" x14ac:dyDescent="0.3">
      <c r="A574" s="24" t="s">
        <v>53</v>
      </c>
      <c r="D574" s="18"/>
      <c r="E574" s="18"/>
      <c r="G574" s="22"/>
      <c r="H574" s="22"/>
      <c r="I574"/>
      <c r="J574"/>
      <c r="K574"/>
      <c r="L574"/>
      <c r="M574"/>
    </row>
    <row r="575" spans="1:13" x14ac:dyDescent="0.3">
      <c r="A575" s="23" t="s">
        <v>52</v>
      </c>
      <c r="D575" s="18"/>
      <c r="E575" s="18"/>
      <c r="G575" s="22"/>
      <c r="H575" s="22"/>
      <c r="I575"/>
      <c r="J575"/>
      <c r="K575"/>
      <c r="L575"/>
      <c r="M575"/>
    </row>
    <row r="576" spans="1:13" x14ac:dyDescent="0.3">
      <c r="A576" s="23" t="s">
        <v>51</v>
      </c>
      <c r="D576" s="18"/>
      <c r="E576" s="18"/>
      <c r="G576" s="22"/>
      <c r="H576" s="22"/>
      <c r="I576"/>
      <c r="J576"/>
      <c r="K576"/>
      <c r="L576"/>
      <c r="M576"/>
    </row>
    <row r="577" spans="1:13" x14ac:dyDescent="0.3">
      <c r="A577" s="23" t="s">
        <v>50</v>
      </c>
      <c r="D577" s="18"/>
      <c r="E577" s="18"/>
      <c r="G577" s="22"/>
      <c r="H577" s="22"/>
      <c r="I577"/>
      <c r="J577"/>
      <c r="K577"/>
      <c r="L577"/>
      <c r="M577"/>
    </row>
    <row r="578" spans="1:13" x14ac:dyDescent="0.3">
      <c r="A578" s="23" t="s">
        <v>49</v>
      </c>
      <c r="D578" s="18"/>
      <c r="E578" s="18"/>
      <c r="G578" s="22"/>
      <c r="H578" s="22"/>
      <c r="I578"/>
      <c r="J578"/>
      <c r="K578"/>
      <c r="L578"/>
      <c r="M578"/>
    </row>
    <row r="579" spans="1:13" x14ac:dyDescent="0.3">
      <c r="A579" s="23" t="s">
        <v>48</v>
      </c>
      <c r="D579" s="18"/>
      <c r="E579" s="18"/>
      <c r="G579" s="22"/>
      <c r="H579" s="22"/>
      <c r="I579"/>
      <c r="J579"/>
      <c r="K579"/>
      <c r="L579"/>
      <c r="M579"/>
    </row>
    <row r="580" spans="1:13" x14ac:dyDescent="0.3">
      <c r="A580" s="17"/>
      <c r="B580" s="17"/>
      <c r="D580" s="18"/>
      <c r="E580" s="18"/>
      <c r="G580" s="22"/>
      <c r="H580" s="22"/>
      <c r="I580"/>
      <c r="J580"/>
      <c r="K580"/>
      <c r="L580"/>
      <c r="M580"/>
    </row>
    <row r="581" spans="1:13" x14ac:dyDescent="0.3">
      <c r="A581" s="17"/>
      <c r="B581" s="17"/>
      <c r="D581" s="18"/>
      <c r="E581" s="18"/>
      <c r="G581" s="22"/>
      <c r="H581" s="22"/>
      <c r="I581"/>
      <c r="J581"/>
      <c r="K581"/>
      <c r="L581"/>
      <c r="M581"/>
    </row>
    <row r="582" spans="1:13" x14ac:dyDescent="0.3">
      <c r="A582" s="17"/>
      <c r="B582" s="17"/>
      <c r="D582" s="18"/>
      <c r="E582" s="18"/>
      <c r="G582" s="22"/>
      <c r="H582" s="22"/>
      <c r="I582"/>
      <c r="J582"/>
      <c r="K582"/>
      <c r="L582"/>
      <c r="M582"/>
    </row>
    <row r="583" spans="1:13" x14ac:dyDescent="0.3">
      <c r="A583" s="17"/>
      <c r="B583" s="17"/>
      <c r="D583" s="18"/>
      <c r="E583" s="18"/>
      <c r="G583" s="22"/>
      <c r="H583" s="22"/>
      <c r="I583"/>
      <c r="J583"/>
      <c r="K583"/>
      <c r="L583"/>
      <c r="M583"/>
    </row>
    <row r="584" spans="1:13" x14ac:dyDescent="0.3">
      <c r="A584" s="17"/>
      <c r="B584" s="17"/>
      <c r="D584" s="18"/>
      <c r="E584" s="18"/>
      <c r="G584" s="22"/>
      <c r="H584" s="22"/>
      <c r="I584"/>
      <c r="J584"/>
      <c r="K584"/>
      <c r="L584"/>
      <c r="M584"/>
    </row>
  </sheetData>
  <pageMargins left="0.7" right="0.7" top="0.75" bottom="0.75" header="0.3" footer="0.3"/>
  <pageSetup paperSize="9" orientation="portrait" r:id="rId1"/>
  <ignoredErrors>
    <ignoredError sqref="J23 J5:J2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CE8C-C2E5-41F2-80AA-E7081B6B6114}">
  <dimension ref="A2:Q33"/>
  <sheetViews>
    <sheetView zoomScale="115" zoomScaleNormal="115" workbookViewId="0">
      <selection activeCell="G4" sqref="G4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4.5546875" customWidth="1"/>
    <col min="4" max="4" width="12.5546875" bestFit="1" customWidth="1"/>
    <col min="5" max="5" width="10.88671875" customWidth="1"/>
    <col min="6" max="6" width="11" bestFit="1" customWidth="1"/>
    <col min="7" max="7" width="8.6640625" customWidth="1"/>
    <col min="8" max="8" width="10" customWidth="1"/>
    <col min="9" max="9" width="25.44140625" bestFit="1" customWidth="1"/>
    <col min="10" max="17" width="9.77734375" customWidth="1"/>
  </cols>
  <sheetData>
    <row r="2" spans="1:17" x14ac:dyDescent="0.3">
      <c r="A2" s="229" t="s">
        <v>2091</v>
      </c>
      <c r="B2" s="229"/>
      <c r="C2" s="229"/>
      <c r="D2" s="229"/>
      <c r="F2" s="229" t="s">
        <v>2090</v>
      </c>
      <c r="G2" s="229"/>
      <c r="H2" s="229"/>
    </row>
    <row r="3" spans="1:17" x14ac:dyDescent="0.3">
      <c r="A3" t="s">
        <v>2089</v>
      </c>
      <c r="B3" t="s">
        <v>2088</v>
      </c>
      <c r="C3" s="119">
        <v>288</v>
      </c>
      <c r="D3" t="s">
        <v>2063</v>
      </c>
      <c r="G3" s="120">
        <v>2025</v>
      </c>
      <c r="H3" s="120">
        <v>2050</v>
      </c>
    </row>
    <row r="4" spans="1:17" x14ac:dyDescent="0.3">
      <c r="B4" t="s">
        <v>2087</v>
      </c>
      <c r="C4" s="119">
        <v>10000</v>
      </c>
      <c r="D4" t="s">
        <v>2086</v>
      </c>
      <c r="F4" t="s">
        <v>2085</v>
      </c>
      <c r="G4" s="25">
        <f>'balance sheet'!D18/1000</f>
        <v>299.88798550732798</v>
      </c>
      <c r="H4" s="25">
        <f>'balance sheet'!J18/1000</f>
        <v>496.88798550732798</v>
      </c>
      <c r="I4" t="s">
        <v>2080</v>
      </c>
    </row>
    <row r="5" spans="1:17" x14ac:dyDescent="0.3">
      <c r="B5" t="s">
        <v>2084</v>
      </c>
      <c r="C5" s="119">
        <v>20</v>
      </c>
      <c r="D5" t="s">
        <v>2061</v>
      </c>
      <c r="F5" t="s">
        <v>2083</v>
      </c>
      <c r="G5" s="25">
        <f>'balance sheet'!F18/1000</f>
        <v>343.76</v>
      </c>
      <c r="H5" s="25">
        <f>'balance sheet'!L18/1000</f>
        <v>343.76</v>
      </c>
      <c r="I5" t="s">
        <v>2080</v>
      </c>
      <c r="J5" s="210"/>
      <c r="K5" s="210"/>
      <c r="L5" s="210"/>
      <c r="M5" s="210"/>
    </row>
    <row r="6" spans="1:17" x14ac:dyDescent="0.3">
      <c r="B6" t="s">
        <v>2082</v>
      </c>
      <c r="C6" s="119">
        <v>12</v>
      </c>
      <c r="D6" t="s">
        <v>2075</v>
      </c>
      <c r="F6" t="s">
        <v>2081</v>
      </c>
      <c r="G6" s="25">
        <f>G5-G4</f>
        <v>43.872014492672008</v>
      </c>
      <c r="H6" s="25">
        <f>H5-H4</f>
        <v>-153.12798550732799</v>
      </c>
      <c r="I6" t="s">
        <v>2080</v>
      </c>
      <c r="K6" s="118"/>
    </row>
    <row r="7" spans="1:17" x14ac:dyDescent="0.3">
      <c r="B7" t="s">
        <v>2079</v>
      </c>
      <c r="C7" s="119">
        <v>0</v>
      </c>
      <c r="D7" t="s">
        <v>2063</v>
      </c>
      <c r="F7" t="s">
        <v>2078</v>
      </c>
      <c r="G7" s="25">
        <f>(G5-G4)/G5*100</f>
        <v>12.762396582694906</v>
      </c>
      <c r="H7" s="25">
        <f>(H5-H4)/H5*100</f>
        <v>-44.545027201340467</v>
      </c>
      <c r="I7" t="s">
        <v>2077</v>
      </c>
    </row>
    <row r="8" spans="1:17" x14ac:dyDescent="0.3">
      <c r="B8" t="s">
        <v>2076</v>
      </c>
      <c r="C8" s="119">
        <v>0</v>
      </c>
      <c r="D8" t="s">
        <v>2075</v>
      </c>
      <c r="L8" s="121"/>
    </row>
    <row r="9" spans="1:17" x14ac:dyDescent="0.3">
      <c r="A9" t="s">
        <v>2074</v>
      </c>
      <c r="B9" t="s">
        <v>2074</v>
      </c>
      <c r="C9" s="119">
        <v>100</v>
      </c>
      <c r="D9" t="s">
        <v>2061</v>
      </c>
    </row>
    <row r="10" spans="1:17" x14ac:dyDescent="0.3">
      <c r="B10" t="s">
        <v>2073</v>
      </c>
      <c r="C10" s="119">
        <v>0</v>
      </c>
      <c r="D10" t="s">
        <v>2072</v>
      </c>
      <c r="L10" s="118"/>
      <c r="M10" s="118"/>
      <c r="N10" s="118"/>
      <c r="O10" s="118"/>
      <c r="P10" s="118"/>
      <c r="Q10" s="118"/>
    </row>
    <row r="11" spans="1:17" x14ac:dyDescent="0.3">
      <c r="B11" t="s">
        <v>2071</v>
      </c>
      <c r="C11" s="119">
        <f>(1-C10)*C9</f>
        <v>100</v>
      </c>
      <c r="D11" t="s">
        <v>2061</v>
      </c>
      <c r="L11" s="118"/>
      <c r="M11" s="118"/>
      <c r="N11" s="118"/>
      <c r="O11" s="118"/>
      <c r="P11" s="118"/>
      <c r="Q11" s="118"/>
    </row>
    <row r="12" spans="1:17" x14ac:dyDescent="0.3">
      <c r="B12" t="s">
        <v>1630</v>
      </c>
      <c r="C12" s="119">
        <f>C10*C9</f>
        <v>0</v>
      </c>
      <c r="D12" t="s">
        <v>2061</v>
      </c>
    </row>
    <row r="13" spans="1:17" x14ac:dyDescent="0.3">
      <c r="B13" t="s">
        <v>2070</v>
      </c>
      <c r="C13" s="119">
        <v>0</v>
      </c>
      <c r="D13" t="s">
        <v>2061</v>
      </c>
    </row>
    <row r="14" spans="1:17" x14ac:dyDescent="0.3">
      <c r="B14" t="s">
        <v>2069</v>
      </c>
      <c r="C14" s="119">
        <v>0</v>
      </c>
      <c r="D14" t="s">
        <v>2061</v>
      </c>
    </row>
    <row r="15" spans="1:17" x14ac:dyDescent="0.3">
      <c r="B15" t="s">
        <v>2068</v>
      </c>
      <c r="C15" s="119">
        <v>0</v>
      </c>
      <c r="D15" t="s">
        <v>2067</v>
      </c>
    </row>
    <row r="16" spans="1:17" x14ac:dyDescent="0.3">
      <c r="A16" t="s">
        <v>2066</v>
      </c>
      <c r="B16" t="s">
        <v>2065</v>
      </c>
      <c r="C16" s="119">
        <v>4</v>
      </c>
      <c r="D16" t="s">
        <v>2063</v>
      </c>
      <c r="I16" s="120"/>
      <c r="J16" s="118"/>
    </row>
    <row r="17" spans="1:11" x14ac:dyDescent="0.3">
      <c r="B17" t="s">
        <v>2064</v>
      </c>
      <c r="C17" s="119">
        <v>10</v>
      </c>
      <c r="D17" t="s">
        <v>2063</v>
      </c>
      <c r="K17" s="118"/>
    </row>
    <row r="18" spans="1:11" x14ac:dyDescent="0.3">
      <c r="A18" t="s">
        <v>2062</v>
      </c>
      <c r="B18" t="s">
        <v>1664</v>
      </c>
      <c r="C18" s="119">
        <f>C11*3.14+C12*3.14*0.2</f>
        <v>314</v>
      </c>
      <c r="D18" t="s">
        <v>2061</v>
      </c>
    </row>
    <row r="19" spans="1:11" x14ac:dyDescent="0.3">
      <c r="A19" t="s">
        <v>2060</v>
      </c>
      <c r="B19" t="s">
        <v>2059</v>
      </c>
      <c r="C19" s="119">
        <v>1200</v>
      </c>
      <c r="D19" t="s">
        <v>2058</v>
      </c>
    </row>
    <row r="20" spans="1:11" x14ac:dyDescent="0.3">
      <c r="B20" t="s">
        <v>2057</v>
      </c>
      <c r="C20" s="119">
        <v>2.5</v>
      </c>
      <c r="D20" t="s">
        <v>2056</v>
      </c>
    </row>
    <row r="21" spans="1:11" x14ac:dyDescent="0.3">
      <c r="K21" s="118"/>
    </row>
    <row r="25" spans="1:11" x14ac:dyDescent="0.3">
      <c r="F25" s="118"/>
      <c r="I25" s="118"/>
    </row>
    <row r="26" spans="1:11" x14ac:dyDescent="0.3">
      <c r="G26" s="116"/>
      <c r="I26" s="117"/>
    </row>
    <row r="33" spans="13:13" x14ac:dyDescent="0.3">
      <c r="M33" s="116"/>
    </row>
  </sheetData>
  <mergeCells count="4">
    <mergeCell ref="J5:K5"/>
    <mergeCell ref="L5:M5"/>
    <mergeCell ref="F2:H2"/>
    <mergeCell ref="A2:D2"/>
  </mergeCells>
  <conditionalFormatting sqref="L12:Q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9F07-6906-4B8A-AA02-87AFF2406F73}">
  <dimension ref="B3:T43"/>
  <sheetViews>
    <sheetView tabSelected="1" zoomScale="90" zoomScaleNormal="90" workbookViewId="0">
      <selection activeCell="F18" sqref="F18"/>
    </sheetView>
  </sheetViews>
  <sheetFormatPr defaultColWidth="8.88671875" defaultRowHeight="14.4" x14ac:dyDescent="0.3"/>
  <cols>
    <col min="1" max="1" width="8.88671875" style="122"/>
    <col min="2" max="2" width="10.88671875" style="122" customWidth="1"/>
    <col min="3" max="3" width="32.44140625" style="122" customWidth="1"/>
    <col min="4" max="4" width="11.33203125" style="122" customWidth="1"/>
    <col min="5" max="5" width="18.33203125" style="122" bestFit="1" customWidth="1"/>
    <col min="6" max="6" width="13.33203125" style="122" bestFit="1" customWidth="1"/>
    <col min="7" max="7" width="15.109375" style="122" bestFit="1" customWidth="1"/>
    <col min="8" max="8" width="8.88671875" style="122"/>
    <col min="9" max="9" width="35.5546875" style="122" customWidth="1"/>
    <col min="10" max="10" width="17.5546875" style="122" bestFit="1" customWidth="1"/>
    <col min="11" max="11" width="18.5546875" style="122" customWidth="1"/>
    <col min="12" max="12" width="10.44140625" style="122" bestFit="1" customWidth="1"/>
    <col min="13" max="13" width="7.5546875" style="122" bestFit="1" customWidth="1"/>
    <col min="14" max="15" width="8.88671875" style="122"/>
    <col min="16" max="16" width="29.88671875" style="122" customWidth="1"/>
    <col min="17" max="17" width="19.5546875" style="122" customWidth="1"/>
    <col min="18" max="18" width="20.5546875" style="122" customWidth="1"/>
    <col min="19" max="16384" width="8.88671875" style="122"/>
  </cols>
  <sheetData>
    <row r="3" spans="3:19" ht="21" x14ac:dyDescent="0.4">
      <c r="E3" s="132">
        <v>2025</v>
      </c>
      <c r="K3" s="132">
        <v>2050</v>
      </c>
      <c r="R3" s="132">
        <v>2050</v>
      </c>
    </row>
    <row r="4" spans="3:19" x14ac:dyDescent="0.3">
      <c r="C4" s="128" t="s">
        <v>2108</v>
      </c>
      <c r="D4" s="127"/>
      <c r="E4" s="127" t="s">
        <v>2107</v>
      </c>
      <c r="I4" s="128" t="s">
        <v>2108</v>
      </c>
      <c r="J4" s="127"/>
      <c r="K4" s="127" t="s">
        <v>2107</v>
      </c>
      <c r="P4" s="128" t="s">
        <v>2108</v>
      </c>
      <c r="Q4" s="127"/>
      <c r="R4" s="127" t="s">
        <v>2107</v>
      </c>
    </row>
    <row r="5" spans="3:19" x14ac:dyDescent="0.3">
      <c r="C5" s="122" t="s">
        <v>2071</v>
      </c>
      <c r="D5" s="130">
        <f>main!C11*1000*assumptions!C7</f>
        <v>90000</v>
      </c>
      <c r="E5" s="122" t="s">
        <v>2106</v>
      </c>
      <c r="F5" s="130">
        <f>main!C3*assumptions!C6*main!C19</f>
        <v>293760</v>
      </c>
      <c r="I5" s="122" t="s">
        <v>2071</v>
      </c>
      <c r="J5" s="131">
        <f>main!C11*assumptions!D7*1000</f>
        <v>130000</v>
      </c>
      <c r="K5" s="122" t="s">
        <v>2106</v>
      </c>
      <c r="L5" s="130">
        <f>main!C3*assumptions!D6*main!C19</f>
        <v>293760</v>
      </c>
      <c r="P5" s="122" t="s">
        <v>2071</v>
      </c>
      <c r="Q5" s="131">
        <v>0</v>
      </c>
      <c r="R5" s="122" t="s">
        <v>2106</v>
      </c>
      <c r="S5" s="130">
        <f>L5</f>
        <v>293760</v>
      </c>
    </row>
    <row r="6" spans="3:19" x14ac:dyDescent="0.3">
      <c r="C6" s="122" t="s">
        <v>1630</v>
      </c>
      <c r="D6" s="130">
        <f>main!C12*assumptions!C8*1000</f>
        <v>0</v>
      </c>
      <c r="E6" s="122" t="s">
        <v>2105</v>
      </c>
      <c r="F6" s="130">
        <f>main!C5*1000*main!C20</f>
        <v>50000</v>
      </c>
      <c r="I6" s="122" t="s">
        <v>1630</v>
      </c>
      <c r="J6" s="130">
        <f>main!C12*assumptions!D8*1000</f>
        <v>0</v>
      </c>
      <c r="K6" s="122" t="s">
        <v>2105</v>
      </c>
      <c r="L6" s="130">
        <f>main!C5*main!C20*1000</f>
        <v>50000</v>
      </c>
      <c r="P6" s="122" t="s">
        <v>1630</v>
      </c>
      <c r="Q6" s="130">
        <f>main!C11*assumptions!D8*1000</f>
        <v>130000</v>
      </c>
      <c r="R6" s="122" t="s">
        <v>2105</v>
      </c>
      <c r="S6" s="130">
        <f>L6</f>
        <v>50000</v>
      </c>
    </row>
    <row r="7" spans="3:19" x14ac:dyDescent="0.3">
      <c r="C7" s="122" t="s">
        <v>2070</v>
      </c>
      <c r="D7" s="130">
        <f>main!C13*assumptions!C9*1000</f>
        <v>0</v>
      </c>
      <c r="F7" s="130"/>
      <c r="I7" s="122" t="s">
        <v>2070</v>
      </c>
      <c r="J7" s="130">
        <f>main!C13*assumptions!D9*1000</f>
        <v>0</v>
      </c>
      <c r="L7" s="130"/>
      <c r="P7" s="122" t="s">
        <v>2070</v>
      </c>
      <c r="Q7" s="130">
        <v>0</v>
      </c>
      <c r="S7" s="130"/>
    </row>
    <row r="8" spans="3:19" x14ac:dyDescent="0.3">
      <c r="C8" s="122" t="s">
        <v>2104</v>
      </c>
      <c r="D8" s="130">
        <f>main!C15*assumptions!C11</f>
        <v>0</v>
      </c>
      <c r="F8" s="130"/>
      <c r="I8" s="122" t="s">
        <v>2104</v>
      </c>
      <c r="J8" s="131">
        <f>main!C15*assumptions!D11</f>
        <v>0</v>
      </c>
      <c r="L8" s="130"/>
      <c r="P8" s="122" t="s">
        <v>2104</v>
      </c>
      <c r="Q8" s="131">
        <v>0</v>
      </c>
      <c r="S8" s="130"/>
    </row>
    <row r="9" spans="3:19" x14ac:dyDescent="0.3">
      <c r="C9" s="122" t="s">
        <v>2103</v>
      </c>
      <c r="D9" s="130">
        <f>main!C14*assumptions!C10*1000</f>
        <v>0</v>
      </c>
      <c r="F9" s="130"/>
      <c r="I9" s="122" t="s">
        <v>2103</v>
      </c>
      <c r="J9" s="131">
        <f>main!C14*assumptions!D10*1000</f>
        <v>0</v>
      </c>
      <c r="L9" s="130"/>
      <c r="P9" s="122" t="s">
        <v>2103</v>
      </c>
      <c r="Q9" s="131">
        <v>0</v>
      </c>
      <c r="S9" s="130"/>
    </row>
    <row r="10" spans="3:19" x14ac:dyDescent="0.3">
      <c r="C10" s="122" t="s">
        <v>1664</v>
      </c>
      <c r="D10" s="130">
        <f>main!C18*assumptions!C14</f>
        <v>0</v>
      </c>
      <c r="F10" s="130"/>
      <c r="I10" s="122" t="s">
        <v>1664</v>
      </c>
      <c r="J10" s="131">
        <f>main!C18*assumptions!D14</f>
        <v>157000</v>
      </c>
      <c r="L10" s="130"/>
      <c r="P10" s="122" t="s">
        <v>1664</v>
      </c>
      <c r="Q10" s="131"/>
      <c r="S10" s="130"/>
    </row>
    <row r="11" spans="3:19" x14ac:dyDescent="0.3">
      <c r="C11" s="122" t="s">
        <v>2066</v>
      </c>
      <c r="D11" s="130">
        <f>main!C16*main!C6/1000*assumptions!C15+main!C17*main!C6/1000*assumptions!C16</f>
        <v>13200</v>
      </c>
      <c r="F11" s="130"/>
      <c r="I11" s="122" t="s">
        <v>2066</v>
      </c>
      <c r="J11" s="131">
        <f>main!C16*main!C6/1000*assumptions!D15+main!C17*main!C6/1000*assumptions!D16</f>
        <v>13200</v>
      </c>
      <c r="L11" s="130"/>
      <c r="P11" s="122" t="s">
        <v>2066</v>
      </c>
      <c r="Q11" s="131">
        <f t="shared" ref="Q11:Q17" si="0">J11</f>
        <v>13200</v>
      </c>
      <c r="S11" s="130"/>
    </row>
    <row r="12" spans="3:19" x14ac:dyDescent="0.3">
      <c r="C12" s="122" t="s">
        <v>2102</v>
      </c>
      <c r="D12" s="131">
        <f>assumptions!C13*main!C4+(2+main!C7)*main!C3*assumptions!C12*assumptions!C6</f>
        <v>27744.288</v>
      </c>
      <c r="F12" s="130"/>
      <c r="I12" s="122" t="s">
        <v>2101</v>
      </c>
      <c r="J12" s="131">
        <f>assumptions!C13*main!C4+(2+main!C7)*main!C3*assumptions!C12*assumptions!C6</f>
        <v>27744.288</v>
      </c>
      <c r="L12" s="130"/>
      <c r="P12" s="122" t="s">
        <v>2101</v>
      </c>
      <c r="Q12" s="131">
        <f t="shared" si="0"/>
        <v>27744.288</v>
      </c>
      <c r="S12" s="130"/>
    </row>
    <row r="13" spans="3:19" x14ac:dyDescent="0.3">
      <c r="C13" s="122" t="s">
        <v>2100</v>
      </c>
      <c r="D13" s="130">
        <f>main!C6*assumptions!C18</f>
        <v>96000</v>
      </c>
      <c r="F13" s="130"/>
      <c r="I13" s="122" t="s">
        <v>2100</v>
      </c>
      <c r="J13" s="131">
        <f>main!C6*assumptions!D18</f>
        <v>96000</v>
      </c>
      <c r="L13" s="130"/>
      <c r="P13" s="122" t="s">
        <v>2100</v>
      </c>
      <c r="Q13" s="131">
        <f t="shared" si="0"/>
        <v>96000</v>
      </c>
      <c r="S13" s="130"/>
    </row>
    <row r="14" spans="3:19" x14ac:dyDescent="0.3">
      <c r="C14" s="122" t="s">
        <v>2099</v>
      </c>
      <c r="D14" s="130">
        <f>main!C6*assumptions!C17</f>
        <v>24000</v>
      </c>
      <c r="F14" s="130"/>
      <c r="I14" s="122" t="s">
        <v>2099</v>
      </c>
      <c r="J14" s="131">
        <f>D14</f>
        <v>24000</v>
      </c>
      <c r="L14" s="130"/>
      <c r="P14" s="122" t="s">
        <v>2099</v>
      </c>
      <c r="Q14" s="131">
        <f t="shared" si="0"/>
        <v>24000</v>
      </c>
      <c r="S14" s="130"/>
    </row>
    <row r="15" spans="3:19" x14ac:dyDescent="0.3">
      <c r="C15" s="122" t="s">
        <v>2098</v>
      </c>
      <c r="D15" s="131">
        <f>main!C3*assumptions!D20*(1-assumptions!D22)/assumptions!D21/assumptions!D23*1000000*main!C6</f>
        <v>21600.000000000004</v>
      </c>
      <c r="F15" s="130"/>
      <c r="I15" s="122" t="s">
        <v>2098</v>
      </c>
      <c r="J15" s="131">
        <f>main!C3*assumptions!D20*(1-assumptions!D22)/assumptions!D21/assumptions!D23*1000000*main!C6</f>
        <v>21600.000000000004</v>
      </c>
      <c r="L15" s="130"/>
      <c r="P15" s="122" t="s">
        <v>2098</v>
      </c>
      <c r="Q15" s="131">
        <f t="shared" si="0"/>
        <v>21600.000000000004</v>
      </c>
      <c r="S15" s="130"/>
    </row>
    <row r="16" spans="3:19" x14ac:dyDescent="0.3">
      <c r="C16" s="122" t="s">
        <v>2097</v>
      </c>
      <c r="D16" s="130">
        <f>main!C3*assumptions!C6*assumptions!C19</f>
        <v>7343.9999999999991</v>
      </c>
      <c r="F16" s="130"/>
      <c r="I16" s="122" t="s">
        <v>2097</v>
      </c>
      <c r="J16" s="131">
        <f>main!C3*assumptions!D6*assumptions!D19</f>
        <v>7343.9999999999991</v>
      </c>
      <c r="L16" s="130"/>
      <c r="P16" s="122" t="s">
        <v>2097</v>
      </c>
      <c r="Q16" s="131">
        <f t="shared" si="0"/>
        <v>7343.9999999999991</v>
      </c>
      <c r="S16" s="130"/>
    </row>
    <row r="17" spans="3:20" x14ac:dyDescent="0.3">
      <c r="C17" s="122" t="s">
        <v>2096</v>
      </c>
      <c r="D17" s="131">
        <f>0.071456*SUM(D5:D16)</f>
        <v>19999.697507328001</v>
      </c>
      <c r="F17" s="130"/>
      <c r="I17" s="122" t="s">
        <v>2096</v>
      </c>
      <c r="J17" s="131">
        <f>0.071456*SUM(D5:D16)</f>
        <v>19999.697507328001</v>
      </c>
      <c r="L17" s="130"/>
      <c r="P17" s="122" t="s">
        <v>2096</v>
      </c>
      <c r="Q17" s="131">
        <f t="shared" si="0"/>
        <v>19999.697507328001</v>
      </c>
      <c r="S17" s="130"/>
    </row>
    <row r="18" spans="3:20" x14ac:dyDescent="0.3">
      <c r="C18" s="126" t="s">
        <v>2095</v>
      </c>
      <c r="D18" s="129">
        <f>SUM(D5:D17)</f>
        <v>299887.98550732801</v>
      </c>
      <c r="E18" s="126" t="s">
        <v>2095</v>
      </c>
      <c r="F18" s="128">
        <f>SUM(F5:F17)</f>
        <v>343760</v>
      </c>
      <c r="I18" s="126" t="s">
        <v>2095</v>
      </c>
      <c r="J18" s="129">
        <f>SUM(J5:J17)</f>
        <v>496887.98550732801</v>
      </c>
      <c r="K18" s="126" t="s">
        <v>2095</v>
      </c>
      <c r="L18" s="128">
        <f>SUM(L5:L17)</f>
        <v>343760</v>
      </c>
      <c r="P18" s="126" t="s">
        <v>2095</v>
      </c>
      <c r="Q18" s="129">
        <f>SUM(Q5:Q17)</f>
        <v>339887.98550732801</v>
      </c>
      <c r="R18" s="126" t="s">
        <v>2095</v>
      </c>
      <c r="S18" s="128">
        <f>SUM(S5:S17)</f>
        <v>343760</v>
      </c>
    </row>
    <row r="19" spans="3:20" x14ac:dyDescent="0.3">
      <c r="C19" s="126" t="s">
        <v>2094</v>
      </c>
      <c r="D19" s="125">
        <f>D18/288/10000*100</f>
        <v>10.41277727456</v>
      </c>
      <c r="E19" s="126" t="s">
        <v>2093</v>
      </c>
      <c r="F19" s="125">
        <f>F18/288/10000*100</f>
        <v>11.936111111111112</v>
      </c>
      <c r="G19" s="127" t="s">
        <v>2092</v>
      </c>
      <c r="I19" s="126" t="s">
        <v>2094</v>
      </c>
      <c r="J19" s="125">
        <f>J18/288/10000*100</f>
        <v>17.253055052337775</v>
      </c>
      <c r="K19" s="126" t="s">
        <v>2093</v>
      </c>
      <c r="L19" s="125">
        <f>L18/288/10000*100</f>
        <v>11.936111111111112</v>
      </c>
      <c r="M19" s="124" t="s">
        <v>2092</v>
      </c>
      <c r="P19" s="126" t="s">
        <v>2094</v>
      </c>
      <c r="Q19" s="125">
        <f>Q18/288/10000*100</f>
        <v>11.801666163448891</v>
      </c>
      <c r="R19" s="126" t="s">
        <v>2093</v>
      </c>
      <c r="S19" s="125">
        <f>S18/288/10000*100</f>
        <v>11.936111111111112</v>
      </c>
      <c r="T19" s="124" t="s">
        <v>2092</v>
      </c>
    </row>
    <row r="20" spans="3:20" x14ac:dyDescent="0.3">
      <c r="C20" s="126"/>
      <c r="D20" s="125"/>
      <c r="E20" s="126"/>
      <c r="F20" s="125"/>
      <c r="G20" s="127"/>
      <c r="I20" s="126"/>
      <c r="J20" s="125"/>
      <c r="K20" s="126"/>
      <c r="L20" s="125"/>
      <c r="M20" s="124"/>
    </row>
    <row r="21" spans="3:20" x14ac:dyDescent="0.3">
      <c r="C21" s="126"/>
      <c r="D21" s="125"/>
      <c r="E21" s="126"/>
      <c r="F21" s="125"/>
      <c r="G21" s="127"/>
      <c r="I21" s="126"/>
      <c r="J21" s="125"/>
      <c r="K21" s="126"/>
      <c r="L21" s="125"/>
      <c r="M21" s="124"/>
    </row>
    <row r="22" spans="3:20" x14ac:dyDescent="0.3">
      <c r="C22" s="126"/>
      <c r="D22" s="125">
        <f>F18-D18</f>
        <v>43872.014492671995</v>
      </c>
      <c r="E22" s="158">
        <f>D22/F18</f>
        <v>0.12762396582694902</v>
      </c>
      <c r="F22" s="125"/>
      <c r="G22" s="127"/>
      <c r="I22" s="126"/>
      <c r="J22" s="125">
        <f>L18-J18</f>
        <v>-153127.98550732801</v>
      </c>
      <c r="K22" s="158">
        <f>J22/L18</f>
        <v>-0.4454502720134047</v>
      </c>
      <c r="L22" s="125"/>
      <c r="M22" s="124"/>
      <c r="Q22" s="125">
        <f>S18-Q18</f>
        <v>3872.014492671995</v>
      </c>
      <c r="R22" s="158">
        <f>Q22/S18</f>
        <v>1.1263714488806129E-2</v>
      </c>
    </row>
    <row r="23" spans="3:20" x14ac:dyDescent="0.3">
      <c r="C23" s="126"/>
      <c r="D23" s="125"/>
      <c r="E23" s="126"/>
      <c r="F23" s="125"/>
      <c r="G23" s="127"/>
      <c r="I23" s="126"/>
      <c r="J23" s="125"/>
      <c r="K23" s="126"/>
      <c r="L23" s="125"/>
      <c r="M23" s="124"/>
    </row>
    <row r="24" spans="3:20" x14ac:dyDescent="0.3">
      <c r="C24" s="126"/>
      <c r="D24" s="125"/>
      <c r="E24" s="126"/>
      <c r="F24" s="125"/>
      <c r="G24" s="127"/>
      <c r="I24" s="126"/>
      <c r="J24" s="125"/>
      <c r="K24" s="126"/>
      <c r="L24" s="125"/>
      <c r="M24" s="124"/>
    </row>
    <row r="25" spans="3:20" x14ac:dyDescent="0.3">
      <c r="C25" s="126"/>
      <c r="D25" s="125"/>
      <c r="E25" s="126"/>
      <c r="F25" s="125"/>
      <c r="G25" s="127"/>
      <c r="I25" s="126"/>
      <c r="J25" s="125"/>
      <c r="K25" s="126"/>
      <c r="L25" s="125"/>
      <c r="M25" s="124"/>
    </row>
    <row r="26" spans="3:20" x14ac:dyDescent="0.3">
      <c r="C26" s="126"/>
      <c r="D26" s="125"/>
      <c r="E26" s="126"/>
      <c r="F26" s="125"/>
      <c r="G26" s="127"/>
      <c r="I26" s="126"/>
      <c r="J26" s="125"/>
      <c r="K26" s="126"/>
      <c r="L26" s="125"/>
      <c r="M26" s="124"/>
    </row>
    <row r="27" spans="3:20" x14ac:dyDescent="0.3">
      <c r="C27" s="126"/>
      <c r="D27" s="125"/>
      <c r="E27" s="126"/>
      <c r="F27" s="125"/>
      <c r="G27" s="127"/>
      <c r="I27" s="126"/>
      <c r="J27" s="125"/>
      <c r="K27" s="126"/>
      <c r="L27" s="125"/>
      <c r="M27" s="124"/>
    </row>
    <row r="28" spans="3:20" x14ac:dyDescent="0.3">
      <c r="C28" s="126"/>
      <c r="D28" s="125"/>
      <c r="E28" s="126"/>
      <c r="F28" s="125"/>
      <c r="G28" s="127"/>
      <c r="I28" s="126"/>
      <c r="J28" s="125"/>
      <c r="K28" s="126"/>
      <c r="L28" s="125"/>
      <c r="M28" s="124"/>
    </row>
    <row r="29" spans="3:20" x14ac:dyDescent="0.3">
      <c r="C29" s="126"/>
      <c r="D29" s="125"/>
      <c r="E29" s="126"/>
      <c r="F29" s="125"/>
      <c r="G29" s="127"/>
      <c r="I29" s="126"/>
      <c r="J29" s="125"/>
      <c r="K29" s="126"/>
      <c r="L29" s="125"/>
      <c r="M29" s="124"/>
    </row>
    <row r="30" spans="3:20" x14ac:dyDescent="0.3">
      <c r="C30" s="126"/>
      <c r="D30" s="125"/>
      <c r="E30" s="126"/>
      <c r="F30" s="125"/>
      <c r="G30" s="127"/>
      <c r="I30" s="126"/>
      <c r="J30" s="125"/>
      <c r="K30" s="126"/>
      <c r="L30" s="125"/>
      <c r="M30" s="124"/>
    </row>
    <row r="31" spans="3:20" x14ac:dyDescent="0.3">
      <c r="C31" s="126"/>
      <c r="D31" s="125"/>
      <c r="E31" s="126"/>
      <c r="F31" s="125"/>
      <c r="G31" s="127"/>
      <c r="I31" s="126"/>
      <c r="J31" s="125"/>
      <c r="K31" s="126"/>
      <c r="L31" s="125"/>
      <c r="M31" s="124"/>
    </row>
    <row r="33" spans="2:13" x14ac:dyDescent="0.3">
      <c r="C33" s="122" t="s">
        <v>2133</v>
      </c>
    </row>
    <row r="34" spans="2:13" x14ac:dyDescent="0.3">
      <c r="C34" s="122" t="s">
        <v>2134</v>
      </c>
    </row>
    <row r="35" spans="2:13" x14ac:dyDescent="0.3">
      <c r="B35" s="122" t="s">
        <v>1626</v>
      </c>
      <c r="C35" s="135">
        <f>Dashboard!D6*(2/3)</f>
        <v>341.10764877573331</v>
      </c>
      <c r="D35" s="122" t="s">
        <v>2135</v>
      </c>
      <c r="E35" s="122" t="s">
        <v>2141</v>
      </c>
      <c r="G35" s="122">
        <f>C35*1000000/10628</f>
        <v>32095.187126056953</v>
      </c>
      <c r="H35" s="122">
        <f>G35*K35</f>
        <v>193519.38964870249</v>
      </c>
      <c r="I35" s="122" t="s">
        <v>2157</v>
      </c>
      <c r="J35" s="122">
        <f>H35*10628/1000</f>
        <v>2056724.0731864099</v>
      </c>
      <c r="K35" s="122">
        <f>795.9/132</f>
        <v>6.0295454545454543</v>
      </c>
      <c r="L35" s="122" t="s">
        <v>2156</v>
      </c>
    </row>
    <row r="36" spans="2:13" x14ac:dyDescent="0.3">
      <c r="B36" s="122" t="s">
        <v>2132</v>
      </c>
      <c r="C36" s="136">
        <v>5.194</v>
      </c>
      <c r="D36" s="122" t="s">
        <v>2143</v>
      </c>
      <c r="F36" s="123"/>
      <c r="G36" s="123"/>
      <c r="H36" s="122">
        <f>75%*13438</f>
        <v>10078.5</v>
      </c>
      <c r="I36" s="122" t="s">
        <v>2158</v>
      </c>
    </row>
    <row r="37" spans="2:13" x14ac:dyDescent="0.3">
      <c r="B37" s="122" t="s">
        <v>2136</v>
      </c>
      <c r="C37" s="139">
        <f>C36*C35*1000000</f>
        <v>1771713127.7411587</v>
      </c>
      <c r="E37" s="123" t="s">
        <v>2149</v>
      </c>
      <c r="F37" s="139">
        <f>C37/10628</f>
        <v>166702.4019327398</v>
      </c>
      <c r="G37" s="122" t="s">
        <v>2150</v>
      </c>
      <c r="J37" s="139">
        <f>J38*10628</f>
        <v>411177260.28695905</v>
      </c>
    </row>
    <row r="38" spans="2:13" x14ac:dyDescent="0.3">
      <c r="B38" s="122" t="s">
        <v>2137</v>
      </c>
      <c r="C38" s="138"/>
      <c r="E38" s="123"/>
      <c r="F38" s="139">
        <f>F37+J18-157000-H36</f>
        <v>496511.88744006783</v>
      </c>
      <c r="G38" s="122" t="s">
        <v>2151</v>
      </c>
      <c r="H38" s="122">
        <v>535200</v>
      </c>
      <c r="I38" s="122" t="s">
        <v>2152</v>
      </c>
      <c r="J38" s="139">
        <f>H38-F38</f>
        <v>38688.112559932168</v>
      </c>
      <c r="K38" s="122" t="s">
        <v>2153</v>
      </c>
      <c r="L38" s="142">
        <f>J38/H38</f>
        <v>7.2287205829469667E-2</v>
      </c>
      <c r="M38" s="122" t="s">
        <v>2154</v>
      </c>
    </row>
    <row r="39" spans="2:13" ht="115.2" x14ac:dyDescent="0.3">
      <c r="B39" s="137" t="s">
        <v>2139</v>
      </c>
      <c r="L39" s="122" t="s">
        <v>2155</v>
      </c>
    </row>
    <row r="40" spans="2:13" x14ac:dyDescent="0.3">
      <c r="B40" s="55" t="s">
        <v>2138</v>
      </c>
    </row>
    <row r="41" spans="2:13" x14ac:dyDescent="0.3">
      <c r="B41" s="55" t="s">
        <v>2140</v>
      </c>
    </row>
    <row r="43" spans="2:13" x14ac:dyDescent="0.3">
      <c r="B43" s="55" t="s">
        <v>2142</v>
      </c>
    </row>
  </sheetData>
  <hyperlinks>
    <hyperlink ref="B40" r:id="rId1" xr:uid="{FFE2F3A3-337E-45AD-853C-07B743E32D4B}"/>
    <hyperlink ref="B41" r:id="rId2" xr:uid="{1971F63B-A4B7-49BF-834A-5052CA777917}"/>
    <hyperlink ref="B43" r:id="rId3" location="price" xr:uid="{8080BCA9-45CE-4776-8FA7-6769C17251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FE2A-95A5-4B6A-A222-D109E3B478CA}">
  <dimension ref="B2:G23"/>
  <sheetViews>
    <sheetView zoomScale="115" zoomScaleNormal="115" workbookViewId="0">
      <selection activeCell="H18" sqref="H18"/>
    </sheetView>
  </sheetViews>
  <sheetFormatPr defaultRowHeight="14.4" x14ac:dyDescent="0.3"/>
  <cols>
    <col min="2" max="2" width="33.33203125" bestFit="1" customWidth="1"/>
    <col min="3" max="3" width="10" bestFit="1" customWidth="1"/>
    <col min="5" max="5" width="16.88671875" customWidth="1"/>
    <col min="6" max="6" width="14.6640625" bestFit="1" customWidth="1"/>
    <col min="7" max="7" width="8.5546875" customWidth="1"/>
  </cols>
  <sheetData>
    <row r="2" spans="2:7" x14ac:dyDescent="0.3">
      <c r="B2" s="118"/>
    </row>
    <row r="5" spans="2:7" x14ac:dyDescent="0.3">
      <c r="B5" s="118"/>
      <c r="C5" s="118">
        <v>2025</v>
      </c>
      <c r="D5" s="118">
        <v>2050</v>
      </c>
      <c r="F5" s="118"/>
    </row>
    <row r="6" spans="2:7" x14ac:dyDescent="0.3">
      <c r="B6" t="s">
        <v>2130</v>
      </c>
      <c r="C6">
        <v>0.85</v>
      </c>
      <c r="D6">
        <v>0.85</v>
      </c>
      <c r="E6" t="s">
        <v>1682</v>
      </c>
    </row>
    <row r="7" spans="2:7" x14ac:dyDescent="0.3">
      <c r="B7" s="87" t="s">
        <v>2129</v>
      </c>
      <c r="C7" s="87">
        <v>0.9</v>
      </c>
      <c r="D7" s="87">
        <v>1.3</v>
      </c>
      <c r="E7" s="87" t="s">
        <v>2128</v>
      </c>
      <c r="F7" s="55"/>
    </row>
    <row r="8" spans="2:7" x14ac:dyDescent="0.3">
      <c r="B8" s="87" t="s">
        <v>1630</v>
      </c>
      <c r="C8" s="133">
        <v>1.8</v>
      </c>
      <c r="D8" s="87">
        <v>1.3</v>
      </c>
      <c r="E8" s="87" t="s">
        <v>2128</v>
      </c>
    </row>
    <row r="9" spans="2:7" x14ac:dyDescent="0.3">
      <c r="B9" s="87" t="s">
        <v>2070</v>
      </c>
      <c r="C9" s="133">
        <v>5.0999999999999996</v>
      </c>
      <c r="D9" s="87">
        <v>3.2</v>
      </c>
      <c r="E9" s="87" t="s">
        <v>2128</v>
      </c>
    </row>
    <row r="10" spans="2:7" x14ac:dyDescent="0.3">
      <c r="B10" s="87" t="s">
        <v>2103</v>
      </c>
      <c r="C10" s="87">
        <v>3.2</v>
      </c>
      <c r="D10" s="87">
        <v>1.5</v>
      </c>
      <c r="E10" s="87" t="s">
        <v>2128</v>
      </c>
      <c r="G10" s="87" t="str">
        <f>"changed"</f>
        <v>changed</v>
      </c>
    </row>
    <row r="11" spans="2:7" x14ac:dyDescent="0.3">
      <c r="B11" t="s">
        <v>2104</v>
      </c>
      <c r="C11">
        <v>95</v>
      </c>
      <c r="D11">
        <v>95</v>
      </c>
      <c r="E11" t="s">
        <v>2127</v>
      </c>
    </row>
    <row r="12" spans="2:7" x14ac:dyDescent="0.3">
      <c r="B12" t="s">
        <v>2101</v>
      </c>
      <c r="C12" s="59">
        <v>26.03</v>
      </c>
      <c r="D12" s="59">
        <v>26.03</v>
      </c>
      <c r="E12" t="s">
        <v>2117</v>
      </c>
    </row>
    <row r="13" spans="2:7" x14ac:dyDescent="0.3">
      <c r="B13" t="s">
        <v>2126</v>
      </c>
      <c r="C13" s="59">
        <v>1.5</v>
      </c>
      <c r="D13" s="59">
        <v>1.5</v>
      </c>
      <c r="E13" t="s">
        <v>2125</v>
      </c>
    </row>
    <row r="14" spans="2:7" x14ac:dyDescent="0.3">
      <c r="B14" s="87" t="s">
        <v>2124</v>
      </c>
      <c r="C14" s="87">
        <v>0</v>
      </c>
      <c r="D14" s="87">
        <v>500</v>
      </c>
      <c r="E14" s="87" t="s">
        <v>2123</v>
      </c>
    </row>
    <row r="15" spans="2:7" x14ac:dyDescent="0.3">
      <c r="B15" t="s">
        <v>2122</v>
      </c>
      <c r="C15">
        <v>150000</v>
      </c>
      <c r="D15">
        <v>150000</v>
      </c>
      <c r="E15" t="s">
        <v>2120</v>
      </c>
    </row>
    <row r="16" spans="2:7" x14ac:dyDescent="0.3">
      <c r="B16" t="s">
        <v>2121</v>
      </c>
      <c r="C16">
        <v>50000</v>
      </c>
      <c r="D16">
        <v>50000</v>
      </c>
      <c r="E16" t="s">
        <v>2120</v>
      </c>
    </row>
    <row r="17" spans="2:5" x14ac:dyDescent="0.3">
      <c r="B17" t="s">
        <v>2099</v>
      </c>
      <c r="C17">
        <v>2000</v>
      </c>
      <c r="D17">
        <v>2000</v>
      </c>
      <c r="E17" t="s">
        <v>2119</v>
      </c>
    </row>
    <row r="18" spans="2:5" x14ac:dyDescent="0.3">
      <c r="B18" t="s">
        <v>2100</v>
      </c>
      <c r="C18">
        <v>8000</v>
      </c>
      <c r="D18">
        <v>8000</v>
      </c>
      <c r="E18" t="s">
        <v>2119</v>
      </c>
    </row>
    <row r="19" spans="2:5" x14ac:dyDescent="0.3">
      <c r="B19" t="s">
        <v>2118</v>
      </c>
      <c r="C19">
        <v>30</v>
      </c>
      <c r="D19">
        <v>30</v>
      </c>
      <c r="E19" t="s">
        <v>2117</v>
      </c>
    </row>
    <row r="20" spans="2:5" x14ac:dyDescent="0.3">
      <c r="B20" t="s">
        <v>2116</v>
      </c>
      <c r="C20">
        <v>1</v>
      </c>
      <c r="D20">
        <v>1</v>
      </c>
      <c r="E20" t="s">
        <v>2115</v>
      </c>
    </row>
    <row r="21" spans="2:5" x14ac:dyDescent="0.3">
      <c r="B21" t="s">
        <v>2114</v>
      </c>
      <c r="C21">
        <v>25</v>
      </c>
      <c r="D21">
        <v>25</v>
      </c>
      <c r="E21" t="s">
        <v>2113</v>
      </c>
    </row>
    <row r="22" spans="2:5" x14ac:dyDescent="0.3">
      <c r="B22" t="s">
        <v>2112</v>
      </c>
      <c r="C22">
        <v>0.2</v>
      </c>
      <c r="D22">
        <v>0.2</v>
      </c>
      <c r="E22" t="s">
        <v>2111</v>
      </c>
    </row>
    <row r="23" spans="2:5" x14ac:dyDescent="0.3">
      <c r="B23" t="s">
        <v>2110</v>
      </c>
      <c r="C23">
        <v>5120</v>
      </c>
      <c r="D23">
        <v>5120</v>
      </c>
      <c r="E23" t="s">
        <v>2109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7E78-44C5-448B-9451-B88D19F7DF39}">
  <dimension ref="A1:T149"/>
  <sheetViews>
    <sheetView topLeftCell="E1" zoomScale="75" workbookViewId="0">
      <selection activeCell="M3" sqref="M3"/>
    </sheetView>
  </sheetViews>
  <sheetFormatPr defaultRowHeight="14.4" x14ac:dyDescent="0.3"/>
  <cols>
    <col min="1" max="1" width="9.21875" customWidth="1"/>
    <col min="2" max="2" width="14" bestFit="1" customWidth="1"/>
    <col min="3" max="3" width="9.5546875" customWidth="1"/>
    <col min="4" max="4" width="13.33203125" customWidth="1"/>
    <col min="5" max="5" width="23.21875" bestFit="1" customWidth="1"/>
    <col min="6" max="6" width="22.5546875" bestFit="1" customWidth="1"/>
    <col min="7" max="7" width="21.33203125" bestFit="1" customWidth="1"/>
    <col min="8" max="8" width="13.33203125" customWidth="1"/>
    <col min="9" max="9" width="22.109375" bestFit="1" customWidth="1"/>
    <col min="10" max="10" width="21.44140625" bestFit="1" customWidth="1"/>
    <col min="11" max="11" width="22.5546875" bestFit="1" customWidth="1"/>
    <col min="12" max="12" width="13.88671875" customWidth="1"/>
    <col min="13" max="13" width="21.44140625" bestFit="1" customWidth="1"/>
    <col min="14" max="14" width="20.44140625" bestFit="1" customWidth="1"/>
    <col min="15" max="15" width="42.77734375" customWidth="1"/>
    <col min="16" max="16" width="12" bestFit="1" customWidth="1"/>
    <col min="17" max="17" width="22" customWidth="1"/>
    <col min="18" max="18" width="11.5546875" bestFit="1" customWidth="1"/>
    <col min="19" max="19" width="18.21875" bestFit="1" customWidth="1"/>
    <col min="20" max="20" width="12.21875" customWidth="1"/>
  </cols>
  <sheetData>
    <row r="1" spans="1:20" x14ac:dyDescent="0.3">
      <c r="A1" t="s">
        <v>2184</v>
      </c>
      <c r="B1" t="s">
        <v>2185</v>
      </c>
      <c r="C1" t="s">
        <v>2161</v>
      </c>
      <c r="D1" t="s">
        <v>2162</v>
      </c>
      <c r="E1" t="s">
        <v>2189</v>
      </c>
      <c r="F1" t="s">
        <v>2192</v>
      </c>
      <c r="G1" t="s">
        <v>2190</v>
      </c>
      <c r="H1" t="s">
        <v>2191</v>
      </c>
      <c r="I1" t="s">
        <v>2159</v>
      </c>
      <c r="J1" t="s">
        <v>2160</v>
      </c>
      <c r="K1" t="s">
        <v>2163</v>
      </c>
      <c r="L1" t="s">
        <v>2164</v>
      </c>
      <c r="M1" t="s">
        <v>2165</v>
      </c>
      <c r="N1" t="s">
        <v>2166</v>
      </c>
      <c r="O1" t="s">
        <v>2167</v>
      </c>
      <c r="P1" t="s">
        <v>2168</v>
      </c>
      <c r="Q1" t="s">
        <v>2169</v>
      </c>
      <c r="R1" t="s">
        <v>2170</v>
      </c>
      <c r="S1" t="s">
        <v>2171</v>
      </c>
      <c r="T1" t="s">
        <v>2172</v>
      </c>
    </row>
    <row r="2" spans="1:20" x14ac:dyDescent="0.3">
      <c r="A2">
        <v>0</v>
      </c>
      <c r="B2" s="68">
        <f>((KPI´s!$J$28*(A2/100*'CO2 calculations'!$C$36)+KPI´s!$J$28*((1-A2/100)*'CO2 calculations'!$C$35))/1000000)+KPI´s!J$29/1000000</f>
        <v>675.8324356591304</v>
      </c>
      <c r="C2" s="68">
        <f>B2-D2</f>
        <v>337.91743565913038</v>
      </c>
      <c r="D2">
        <v>337.91500000000002</v>
      </c>
      <c r="E2" s="143">
        <f>(KPI´s!$J$28*(1-A2/100))*'CO2 calculations'!E$35</f>
        <v>521376564.42619991</v>
      </c>
      <c r="F2" s="143">
        <f t="shared" ref="F2:F33" si="0">E2/10628</f>
        <v>49056.884119890849</v>
      </c>
      <c r="G2" s="143">
        <f>(KPI´s!$J$28*(A2/100))*'CO2 calculations'!E$36</f>
        <v>0</v>
      </c>
      <c r="H2" s="143">
        <f t="shared" ref="H2:H33" si="1">G2/10628</f>
        <v>0</v>
      </c>
      <c r="I2" s="143">
        <f>C2*'balance sheet'!C$36*1000000</f>
        <v>1755143160.8135231</v>
      </c>
      <c r="J2" s="143">
        <f>I2/KPI´s!I$23</f>
        <v>165143.31584621029</v>
      </c>
      <c r="K2" s="143">
        <f t="shared" ref="K2:K33" si="2">500*D2*1000</f>
        <v>168957500</v>
      </c>
      <c r="L2" s="143">
        <f>K2/KPI´s!I$23</f>
        <v>15897.393677079413</v>
      </c>
      <c r="M2" s="143">
        <f t="shared" ref="M2:M33" si="3">K2+I2+G2+E2</f>
        <v>2445477225.2397232</v>
      </c>
      <c r="N2" s="143">
        <f>M2/KPI´s!I$23</f>
        <v>230097.59364318059</v>
      </c>
      <c r="O2" s="145">
        <f>'balance sheet'!K$35*'Lithium Carbon Offsetting'!C2/3.6*1000000</f>
        <v>565969038.38615704</v>
      </c>
      <c r="P2">
        <f t="shared" ref="P2:P33" si="4">O2/10628</f>
        <v>53252.638162039613</v>
      </c>
      <c r="Q2" s="144">
        <f t="shared" ref="Q2:Q33" si="5">0.33*O2</f>
        <v>186769782.66743183</v>
      </c>
      <c r="R2" s="144">
        <f t="shared" ref="R2:R33" si="6">Q2/10628</f>
        <v>17573.370593473075</v>
      </c>
      <c r="S2" s="144">
        <f t="shared" ref="S2:S33" si="7">M2-Q2</f>
        <v>2258707442.5722914</v>
      </c>
      <c r="T2" s="144">
        <f t="shared" ref="T2:T33" si="8">S2/10628</f>
        <v>212524.22304970751</v>
      </c>
    </row>
    <row r="3" spans="1:20" x14ac:dyDescent="0.3">
      <c r="A3">
        <v>14</v>
      </c>
      <c r="B3" s="68">
        <f>((KPI´s!$J$28*(A3/100*'CO2 calculations'!$C$36)+KPI´s!$J$28*((1-A3/100)*'CO2 calculations'!$C$35))/1000000)+KPI´s!J$29/1000000</f>
        <v>618.25432810945438</v>
      </c>
      <c r="C3" s="68">
        <f t="shared" ref="C3:C66" si="9">B3-D3</f>
        <v>280.33932810945436</v>
      </c>
      <c r="D3">
        <v>337.91500000000002</v>
      </c>
      <c r="E3" s="143">
        <f>(KPI´s!$J$28*(1-A3/100))*'CO2 calculations'!E$35</f>
        <v>448383845.40653193</v>
      </c>
      <c r="F3" s="143">
        <f t="shared" si="0"/>
        <v>42188.920343106125</v>
      </c>
      <c r="G3" s="143">
        <f>(KPI´s!$J$28*(A3/100))*'CO2 calculations'!E$36</f>
        <v>44203665.244829997</v>
      </c>
      <c r="H3" s="143">
        <f t="shared" si="1"/>
        <v>4159.1706101646596</v>
      </c>
      <c r="I3" s="143">
        <f>C3*'balance sheet'!C$36*1000000</f>
        <v>1456082470.200506</v>
      </c>
      <c r="J3" s="143">
        <f>I3/KPI´s!I$23</f>
        <v>137004.37243136112</v>
      </c>
      <c r="K3" s="143">
        <f t="shared" si="2"/>
        <v>168957500</v>
      </c>
      <c r="L3" s="143">
        <f>K3/KPI´s!I$23</f>
        <v>15897.393677079413</v>
      </c>
      <c r="M3" s="143">
        <f t="shared" si="3"/>
        <v>2117627480.8518677</v>
      </c>
      <c r="N3" s="143">
        <f>M3/KPI´s!I$23</f>
        <v>199249.85706171129</v>
      </c>
      <c r="O3" s="145">
        <f>'balance sheet'!K$35*'Lithium Carbon Offsetting'!C3/3.6*1000000</f>
        <v>469532978.20352423</v>
      </c>
      <c r="P3">
        <f t="shared" si="4"/>
        <v>44178.865092540858</v>
      </c>
      <c r="Q3" s="144">
        <f t="shared" si="5"/>
        <v>154945882.807163</v>
      </c>
      <c r="R3" s="144">
        <f t="shared" si="6"/>
        <v>14579.025480538483</v>
      </c>
      <c r="S3" s="144">
        <f t="shared" si="7"/>
        <v>1962681598.0447047</v>
      </c>
      <c r="T3" s="144">
        <f t="shared" si="8"/>
        <v>184670.83158117282</v>
      </c>
    </row>
    <row r="4" spans="1:20" x14ac:dyDescent="0.3">
      <c r="A4">
        <f>A3+1</f>
        <v>15</v>
      </c>
      <c r="B4" s="68">
        <f>((KPI´s!$J$28*(A4/100*'CO2 calculations'!$C$36)+KPI´s!$J$28*((1-A4/100)*'CO2 calculations'!$C$35))/1000000)+KPI´s!J$29/1000000</f>
        <v>614.14160614162029</v>
      </c>
      <c r="C4" s="68">
        <f t="shared" si="9"/>
        <v>276.22660614162027</v>
      </c>
      <c r="D4">
        <v>337.91500000000002</v>
      </c>
      <c r="E4" s="143">
        <f>(KPI´s!$J$28*(1-A4/100))*'CO2 calculations'!E$35</f>
        <v>443170079.76226985</v>
      </c>
      <c r="F4" s="143">
        <f t="shared" si="0"/>
        <v>41698.351501907215</v>
      </c>
      <c r="G4" s="143">
        <f>(KPI´s!$J$28*(A4/100))*'CO2 calculations'!E$36</f>
        <v>47361069.905175</v>
      </c>
      <c r="H4" s="143">
        <f t="shared" si="1"/>
        <v>4456.2542251764207</v>
      </c>
      <c r="I4" s="143">
        <f>C4*'balance sheet'!C$36*1000000</f>
        <v>1434720992.2995758</v>
      </c>
      <c r="J4" s="143">
        <f>I4/KPI´s!I$23</f>
        <v>134994.447901729</v>
      </c>
      <c r="K4" s="143">
        <f t="shared" si="2"/>
        <v>168957500</v>
      </c>
      <c r="L4" s="143">
        <f>K4/KPI´s!I$23</f>
        <v>15897.393677079413</v>
      </c>
      <c r="M4" s="143">
        <f t="shared" si="3"/>
        <v>2094209641.9670205</v>
      </c>
      <c r="N4" s="143">
        <f>M4/KPI´s!I$23</f>
        <v>197046.44730589204</v>
      </c>
      <c r="O4" s="145">
        <f>'balance sheet'!K$35*'Lithium Carbon Offsetting'!C4/3.6*1000000</f>
        <v>462644688.19047886</v>
      </c>
      <c r="P4">
        <f t="shared" si="4"/>
        <v>43530.7384447195</v>
      </c>
      <c r="Q4" s="144">
        <f t="shared" si="5"/>
        <v>152672747.10285804</v>
      </c>
      <c r="R4" s="144">
        <f t="shared" si="6"/>
        <v>14365.143686757438</v>
      </c>
      <c r="S4" s="144">
        <f t="shared" si="7"/>
        <v>1941536894.8641624</v>
      </c>
      <c r="T4" s="144">
        <f t="shared" si="8"/>
        <v>182681.30361913459</v>
      </c>
    </row>
    <row r="5" spans="1:20" x14ac:dyDescent="0.3">
      <c r="A5">
        <f t="shared" ref="A5:A68" si="10">A4+1</f>
        <v>16</v>
      </c>
      <c r="B5" s="68">
        <f>((KPI´s!$J$28*(A5/100*'CO2 calculations'!$C$36)+KPI´s!$J$28*((1-A5/100)*'CO2 calculations'!$C$35))/1000000)+KPI´s!J$29/1000000</f>
        <v>610.02888417378631</v>
      </c>
      <c r="C5" s="68">
        <f t="shared" si="9"/>
        <v>272.11388417378629</v>
      </c>
      <c r="D5">
        <v>337.91500000000002</v>
      </c>
      <c r="E5" s="143">
        <f>(KPI´s!$J$28*(1-A5/100))*'CO2 calculations'!E$35</f>
        <v>437956314.1180079</v>
      </c>
      <c r="F5" s="143">
        <f t="shared" si="0"/>
        <v>41207.782660708312</v>
      </c>
      <c r="G5" s="143">
        <f>(KPI´s!$J$28*(A5/100))*'CO2 calculations'!E$36</f>
        <v>50518474.565520003</v>
      </c>
      <c r="H5" s="143">
        <f t="shared" si="1"/>
        <v>4753.3378401881828</v>
      </c>
      <c r="I5" s="143">
        <f>C5*'balance sheet'!C$36*1000000</f>
        <v>1413359514.3986461</v>
      </c>
      <c r="J5" s="143">
        <f>I5/KPI´s!I$23</f>
        <v>132984.52337209691</v>
      </c>
      <c r="K5" s="143">
        <f t="shared" si="2"/>
        <v>168957500</v>
      </c>
      <c r="L5" s="143">
        <f>K5/KPI´s!I$23</f>
        <v>15897.393677079413</v>
      </c>
      <c r="M5" s="143">
        <f t="shared" si="3"/>
        <v>2070791803.0821741</v>
      </c>
      <c r="N5" s="143">
        <f>M5/KPI´s!I$23</f>
        <v>194843.03755007283</v>
      </c>
      <c r="O5" s="145">
        <f>'balance sheet'!K$35*'Lithium Carbon Offsetting'!C5/3.6*1000000</f>
        <v>455756398.17743373</v>
      </c>
      <c r="P5">
        <f t="shared" si="4"/>
        <v>42882.611796898171</v>
      </c>
      <c r="Q5" s="144">
        <f t="shared" si="5"/>
        <v>150399611.39855313</v>
      </c>
      <c r="R5" s="144">
        <f t="shared" si="6"/>
        <v>14151.261892976396</v>
      </c>
      <c r="S5" s="144">
        <f t="shared" si="7"/>
        <v>1920392191.6836209</v>
      </c>
      <c r="T5" s="144">
        <f t="shared" si="8"/>
        <v>180691.77565709644</v>
      </c>
    </row>
    <row r="6" spans="1:20" x14ac:dyDescent="0.3">
      <c r="A6">
        <f t="shared" si="10"/>
        <v>17</v>
      </c>
      <c r="B6" s="68">
        <f>((KPI´s!$J$28*(A6/100*'CO2 calculations'!$C$36)+KPI´s!$J$28*((1-A6/100)*'CO2 calculations'!$C$35))/1000000)+KPI´s!J$29/1000000</f>
        <v>605.91616220595233</v>
      </c>
      <c r="C6" s="68">
        <f t="shared" si="9"/>
        <v>268.00116220595231</v>
      </c>
      <c r="D6">
        <v>337.91500000000002</v>
      </c>
      <c r="E6" s="143">
        <f>(KPI´s!$J$28*(1-A6/100))*'CO2 calculations'!E$35</f>
        <v>432742548.47374594</v>
      </c>
      <c r="F6" s="143">
        <f t="shared" si="0"/>
        <v>40717.213819509401</v>
      </c>
      <c r="G6" s="143">
        <f>(KPI´s!$J$28*(A6/100))*'CO2 calculations'!E$36</f>
        <v>53675879.225864999</v>
      </c>
      <c r="H6" s="143">
        <f t="shared" si="1"/>
        <v>5050.421455199943</v>
      </c>
      <c r="I6" s="143">
        <f>C6*'balance sheet'!C$36*1000000</f>
        <v>1391998036.4977164</v>
      </c>
      <c r="J6" s="143">
        <f>I6/KPI´s!I$23</f>
        <v>130974.59884246485</v>
      </c>
      <c r="K6" s="143">
        <f t="shared" si="2"/>
        <v>168957500</v>
      </c>
      <c r="L6" s="143">
        <f>K6/KPI´s!I$23</f>
        <v>15897.393677079413</v>
      </c>
      <c r="M6" s="143">
        <f t="shared" si="3"/>
        <v>2047373964.1973271</v>
      </c>
      <c r="N6" s="143">
        <f>M6/KPI´s!I$23</f>
        <v>192639.62779425358</v>
      </c>
      <c r="O6" s="145">
        <f>'balance sheet'!K$35*'Lithium Carbon Offsetting'!C6/3.6*1000000</f>
        <v>448868108.16438854</v>
      </c>
      <c r="P6">
        <f t="shared" si="4"/>
        <v>42234.485149076827</v>
      </c>
      <c r="Q6" s="144">
        <f t="shared" si="5"/>
        <v>148126475.69424823</v>
      </c>
      <c r="R6" s="144">
        <f t="shared" si="6"/>
        <v>13937.380099195354</v>
      </c>
      <c r="S6" s="144">
        <f t="shared" si="7"/>
        <v>1899247488.5030789</v>
      </c>
      <c r="T6" s="144">
        <f t="shared" si="8"/>
        <v>178702.24769505823</v>
      </c>
    </row>
    <row r="7" spans="1:20" x14ac:dyDescent="0.3">
      <c r="A7">
        <f t="shared" si="10"/>
        <v>18</v>
      </c>
      <c r="B7" s="68">
        <f>((KPI´s!$J$28*(A7/100*'CO2 calculations'!$C$36)+KPI´s!$J$28*((1-A7/100)*'CO2 calculations'!$C$35))/1000000)+KPI´s!J$29/1000000</f>
        <v>601.80344023811836</v>
      </c>
      <c r="C7" s="68">
        <f t="shared" si="9"/>
        <v>263.88844023811833</v>
      </c>
      <c r="D7">
        <v>337.91500000000002</v>
      </c>
      <c r="E7" s="143">
        <f>(KPI´s!$J$28*(1-A7/100))*'CO2 calculations'!E$35</f>
        <v>427528782.82948393</v>
      </c>
      <c r="F7" s="143">
        <f t="shared" si="0"/>
        <v>40226.644978310491</v>
      </c>
      <c r="G7" s="143">
        <f>(KPI´s!$J$28*(A7/100))*'CO2 calculations'!E$36</f>
        <v>56833283.886209995</v>
      </c>
      <c r="H7" s="143">
        <f t="shared" si="1"/>
        <v>5347.5050702117042</v>
      </c>
      <c r="I7" s="143">
        <f>C7*'balance sheet'!C$36*1000000</f>
        <v>1370636558.5967867</v>
      </c>
      <c r="J7" s="143">
        <f>I7/KPI´s!I$23</f>
        <v>128964.67431283278</v>
      </c>
      <c r="K7" s="143">
        <f t="shared" si="2"/>
        <v>168957500</v>
      </c>
      <c r="L7" s="143">
        <f>K7/KPI´s!I$23</f>
        <v>15897.393677079413</v>
      </c>
      <c r="M7" s="143">
        <f t="shared" si="3"/>
        <v>2023956125.3124807</v>
      </c>
      <c r="N7" s="143">
        <f>M7/KPI´s!I$23</f>
        <v>190436.2180384344</v>
      </c>
      <c r="O7" s="145">
        <f>'balance sheet'!K$35*'Lithium Carbon Offsetting'!C7/3.6*1000000</f>
        <v>441979818.15134335</v>
      </c>
      <c r="P7">
        <f t="shared" si="4"/>
        <v>41586.35850125549</v>
      </c>
      <c r="Q7" s="144">
        <f t="shared" si="5"/>
        <v>145853339.98994333</v>
      </c>
      <c r="R7" s="144">
        <f t="shared" si="6"/>
        <v>13723.498305414314</v>
      </c>
      <c r="S7" s="144">
        <f t="shared" si="7"/>
        <v>1878102785.3225374</v>
      </c>
      <c r="T7" s="144">
        <f t="shared" si="8"/>
        <v>176712.71973302009</v>
      </c>
    </row>
    <row r="8" spans="1:20" x14ac:dyDescent="0.3">
      <c r="A8">
        <f t="shared" si="10"/>
        <v>19</v>
      </c>
      <c r="B8" s="68">
        <f>((KPI´s!$J$28*(A8/100*'CO2 calculations'!$C$36)+KPI´s!$J$28*((1-A8/100)*'CO2 calculations'!$C$35))/1000000)+KPI´s!J$29/1000000</f>
        <v>597.69071827028449</v>
      </c>
      <c r="C8" s="68">
        <f t="shared" si="9"/>
        <v>259.77571827028447</v>
      </c>
      <c r="D8">
        <v>337.91500000000002</v>
      </c>
      <c r="E8" s="143">
        <f>(KPI´s!$J$28*(1-A8/100))*'CO2 calculations'!E$35</f>
        <v>422315017.18522191</v>
      </c>
      <c r="F8" s="143">
        <f t="shared" si="0"/>
        <v>39736.07613711158</v>
      </c>
      <c r="G8" s="143">
        <f>(KPI´s!$J$28*(A8/100))*'CO2 calculations'!E$36</f>
        <v>59990688.546554998</v>
      </c>
      <c r="H8" s="143">
        <f t="shared" si="1"/>
        <v>5644.5886852234662</v>
      </c>
      <c r="I8" s="143">
        <f>C8*'balance sheet'!C$36*1000000</f>
        <v>1349275080.6958575</v>
      </c>
      <c r="J8" s="143">
        <f>I8/KPI´s!I$23</f>
        <v>126954.74978320075</v>
      </c>
      <c r="K8" s="143">
        <f t="shared" si="2"/>
        <v>168957500</v>
      </c>
      <c r="L8" s="143">
        <f>K8/KPI´s!I$23</f>
        <v>15897.393677079413</v>
      </c>
      <c r="M8" s="143">
        <f t="shared" si="3"/>
        <v>2000538286.4276345</v>
      </c>
      <c r="N8" s="143">
        <f>M8/KPI´s!I$23</f>
        <v>188232.80828261521</v>
      </c>
      <c r="O8" s="145">
        <f>'balance sheet'!K$35*'Lithium Carbon Offsetting'!C8/3.6*1000000</f>
        <v>435091528.13829839</v>
      </c>
      <c r="P8">
        <f t="shared" si="4"/>
        <v>40938.231853434176</v>
      </c>
      <c r="Q8" s="144">
        <f t="shared" si="5"/>
        <v>143580204.28563848</v>
      </c>
      <c r="R8" s="144">
        <f t="shared" si="6"/>
        <v>13509.616511633278</v>
      </c>
      <c r="S8" s="144">
        <f t="shared" si="7"/>
        <v>1856958082.1419959</v>
      </c>
      <c r="T8" s="144">
        <f t="shared" si="8"/>
        <v>174723.19177098194</v>
      </c>
    </row>
    <row r="9" spans="1:20" x14ac:dyDescent="0.3">
      <c r="A9">
        <f t="shared" si="10"/>
        <v>20</v>
      </c>
      <c r="B9" s="68">
        <f>((KPI´s!$J$28*(A9/100*'CO2 calculations'!$C$36)+KPI´s!$J$28*((1-A9/100)*'CO2 calculations'!$C$35))/1000000)+KPI´s!J$29/1000000</f>
        <v>593.57799630245029</v>
      </c>
      <c r="C9" s="68">
        <f t="shared" si="9"/>
        <v>255.66299630245027</v>
      </c>
      <c r="D9">
        <v>337.91500000000002</v>
      </c>
      <c r="E9" s="143">
        <f>(KPI´s!$J$28*(1-A9/100))*'CO2 calculations'!E$35</f>
        <v>417101251.54095989</v>
      </c>
      <c r="F9" s="143">
        <f t="shared" si="0"/>
        <v>39245.50729591267</v>
      </c>
      <c r="G9" s="143">
        <f>(KPI´s!$J$28*(A9/100))*'CO2 calculations'!E$36</f>
        <v>63148093.206900001</v>
      </c>
      <c r="H9" s="143">
        <f t="shared" si="1"/>
        <v>5941.6723002352273</v>
      </c>
      <c r="I9" s="143">
        <f>C9*'balance sheet'!C$36*1000000</f>
        <v>1327913602.7949266</v>
      </c>
      <c r="J9" s="143">
        <f>I9/KPI´s!I$23</f>
        <v>124944.82525356856</v>
      </c>
      <c r="K9" s="143">
        <f t="shared" si="2"/>
        <v>168957500</v>
      </c>
      <c r="L9" s="143">
        <f>K9/KPI´s!I$23</f>
        <v>15897.393677079413</v>
      </c>
      <c r="M9" s="143">
        <f t="shared" si="3"/>
        <v>1977120447.5427866</v>
      </c>
      <c r="N9" s="143">
        <f>M9/KPI´s!I$23</f>
        <v>186029.39852679588</v>
      </c>
      <c r="O9" s="145">
        <f>'balance sheet'!K$35*'Lithium Carbon Offsetting'!C9/3.6*1000000</f>
        <v>428203238.12525284</v>
      </c>
      <c r="P9">
        <f t="shared" si="4"/>
        <v>40290.105205612803</v>
      </c>
      <c r="Q9" s="144">
        <f t="shared" si="5"/>
        <v>141307068.58133346</v>
      </c>
      <c r="R9" s="144">
        <f t="shared" si="6"/>
        <v>13295.734717852227</v>
      </c>
      <c r="S9" s="144">
        <f t="shared" si="7"/>
        <v>1835813378.9614532</v>
      </c>
      <c r="T9" s="144">
        <f t="shared" si="8"/>
        <v>172733.66380894365</v>
      </c>
    </row>
    <row r="10" spans="1:20" x14ac:dyDescent="0.3">
      <c r="A10">
        <f t="shared" si="10"/>
        <v>21</v>
      </c>
      <c r="B10" s="68">
        <f>((KPI´s!$J$28*(A10/100*'CO2 calculations'!$C$36)+KPI´s!$J$28*((1-A10/100)*'CO2 calculations'!$C$35))/1000000)+KPI´s!J$29/1000000</f>
        <v>589.46527433461631</v>
      </c>
      <c r="C10" s="68">
        <f t="shared" si="9"/>
        <v>251.55027433461629</v>
      </c>
      <c r="D10">
        <v>337.91500000000002</v>
      </c>
      <c r="E10" s="143">
        <f>(KPI´s!$J$28*(1-A10/100))*'CO2 calculations'!E$35</f>
        <v>411887485.89669794</v>
      </c>
      <c r="F10" s="143">
        <f t="shared" si="0"/>
        <v>38754.938454713767</v>
      </c>
      <c r="G10" s="143">
        <f>(KPI´s!$J$28*(A10/100))*'CO2 calculations'!E$36</f>
        <v>66305497.867244996</v>
      </c>
      <c r="H10" s="143">
        <f t="shared" si="1"/>
        <v>6238.7559152469885</v>
      </c>
      <c r="I10" s="143">
        <f>C10*'balance sheet'!C$36*1000000</f>
        <v>1306552124.893997</v>
      </c>
      <c r="J10" s="143">
        <f>I10/KPI´s!I$23</f>
        <v>122934.90072393649</v>
      </c>
      <c r="K10" s="143">
        <f t="shared" si="2"/>
        <v>168957500</v>
      </c>
      <c r="L10" s="143">
        <f>K10/KPI´s!I$23</f>
        <v>15897.393677079413</v>
      </c>
      <c r="M10" s="143">
        <f t="shared" si="3"/>
        <v>1953702608.6579399</v>
      </c>
      <c r="N10" s="143">
        <f>M10/KPI´s!I$23</f>
        <v>183825.98877097666</v>
      </c>
      <c r="O10" s="145">
        <f>'balance sheet'!K$35*'Lithium Carbon Offsetting'!C10/3.6*1000000</f>
        <v>421314948.11220765</v>
      </c>
      <c r="P10">
        <f t="shared" si="4"/>
        <v>39641.978557791459</v>
      </c>
      <c r="Q10" s="144">
        <f t="shared" si="5"/>
        <v>139033932.87702852</v>
      </c>
      <c r="R10" s="144">
        <f t="shared" si="6"/>
        <v>13081.852924071181</v>
      </c>
      <c r="S10" s="144">
        <f t="shared" si="7"/>
        <v>1814668675.7809114</v>
      </c>
      <c r="T10" s="144">
        <f t="shared" si="8"/>
        <v>170744.13584690547</v>
      </c>
    </row>
    <row r="11" spans="1:20" x14ac:dyDescent="0.3">
      <c r="A11">
        <f t="shared" si="10"/>
        <v>22</v>
      </c>
      <c r="B11" s="68">
        <f>((KPI´s!$J$28*(A11/100*'CO2 calculations'!$C$36)+KPI´s!$J$28*((1-A11/100)*'CO2 calculations'!$C$35))/1000000)+KPI´s!J$29/1000000</f>
        <v>585.35255236678245</v>
      </c>
      <c r="C11" s="68">
        <f t="shared" si="9"/>
        <v>247.43755236678243</v>
      </c>
      <c r="D11">
        <v>337.91500000000002</v>
      </c>
      <c r="E11" s="143">
        <f>(KPI´s!$J$28*(1-A11/100))*'CO2 calculations'!E$35</f>
        <v>406673720.25243592</v>
      </c>
      <c r="F11" s="143">
        <f t="shared" si="0"/>
        <v>38264.369613514857</v>
      </c>
      <c r="G11" s="143">
        <f>(KPI´s!$J$28*(A11/100))*'CO2 calculations'!E$36</f>
        <v>69462902.527589992</v>
      </c>
      <c r="H11" s="143">
        <f t="shared" si="1"/>
        <v>6535.8395302587496</v>
      </c>
      <c r="I11" s="143">
        <f>C11*'balance sheet'!C$36*1000000</f>
        <v>1285190646.993068</v>
      </c>
      <c r="J11" s="143">
        <f>I11/KPI´s!I$23</f>
        <v>120924.97619430447</v>
      </c>
      <c r="K11" s="143">
        <f t="shared" si="2"/>
        <v>168957500</v>
      </c>
      <c r="L11" s="143">
        <f>K11/KPI´s!I$23</f>
        <v>15897.393677079413</v>
      </c>
      <c r="M11" s="143">
        <f t="shared" si="3"/>
        <v>1930284769.7730939</v>
      </c>
      <c r="N11" s="143">
        <f>M11/KPI´s!I$23</f>
        <v>181622.57901515751</v>
      </c>
      <c r="O11" s="145">
        <f>'balance sheet'!K$35*'Lithium Carbon Offsetting'!C11/3.6*1000000</f>
        <v>414426658.0991627</v>
      </c>
      <c r="P11">
        <f t="shared" si="4"/>
        <v>38993.851909970144</v>
      </c>
      <c r="Q11" s="144">
        <f t="shared" si="5"/>
        <v>136760797.17272371</v>
      </c>
      <c r="R11" s="144">
        <f t="shared" si="6"/>
        <v>12867.971130290151</v>
      </c>
      <c r="S11" s="144">
        <f t="shared" si="7"/>
        <v>1793523972.6003702</v>
      </c>
      <c r="T11" s="144">
        <f t="shared" si="8"/>
        <v>168754.60788486735</v>
      </c>
    </row>
    <row r="12" spans="1:20" x14ac:dyDescent="0.3">
      <c r="A12">
        <f t="shared" si="10"/>
        <v>23</v>
      </c>
      <c r="B12" s="68">
        <f>((KPI´s!$J$28*(A12/100*'CO2 calculations'!$C$36)+KPI´s!$J$28*((1-A12/100)*'CO2 calculations'!$C$35))/1000000)+KPI´s!J$29/1000000</f>
        <v>581.23983039894836</v>
      </c>
      <c r="C12" s="68">
        <f t="shared" si="9"/>
        <v>243.32483039894834</v>
      </c>
      <c r="D12">
        <v>337.91500000000002</v>
      </c>
      <c r="E12" s="143">
        <f>(KPI´s!$J$28*(1-A12/100))*'CO2 calculations'!E$35</f>
        <v>401459954.60817391</v>
      </c>
      <c r="F12" s="143">
        <f t="shared" si="0"/>
        <v>37773.800772315946</v>
      </c>
      <c r="G12" s="143">
        <f>(KPI´s!$J$28*(A12/100))*'CO2 calculations'!E$36</f>
        <v>72620307.18793501</v>
      </c>
      <c r="H12" s="143">
        <f t="shared" si="1"/>
        <v>6832.9231452705126</v>
      </c>
      <c r="I12" s="143">
        <f>C12*'balance sheet'!C$36*1000000</f>
        <v>1263829169.0921376</v>
      </c>
      <c r="J12" s="143">
        <f>I12/KPI´s!I$23</f>
        <v>118915.05166467234</v>
      </c>
      <c r="K12" s="143">
        <f t="shared" si="2"/>
        <v>168957500</v>
      </c>
      <c r="L12" s="143">
        <f>K12/KPI´s!I$23</f>
        <v>15897.393677079413</v>
      </c>
      <c r="M12" s="143">
        <f t="shared" si="3"/>
        <v>1906866930.8882465</v>
      </c>
      <c r="N12" s="143">
        <f>M12/KPI´s!I$23</f>
        <v>179419.1692593382</v>
      </c>
      <c r="O12" s="145">
        <f>'balance sheet'!K$35*'Lithium Carbon Offsetting'!C12/3.6*1000000</f>
        <v>407538368.08611733</v>
      </c>
      <c r="P12">
        <f t="shared" si="4"/>
        <v>38345.725262148786</v>
      </c>
      <c r="Q12" s="144">
        <f t="shared" si="5"/>
        <v>134487661.46841872</v>
      </c>
      <c r="R12" s="144">
        <f t="shared" si="6"/>
        <v>12654.0893365091</v>
      </c>
      <c r="S12" s="144">
        <f t="shared" si="7"/>
        <v>1772379269.4198279</v>
      </c>
      <c r="T12" s="144">
        <f t="shared" si="8"/>
        <v>166765.07992282911</v>
      </c>
    </row>
    <row r="13" spans="1:20" x14ac:dyDescent="0.3">
      <c r="A13">
        <f t="shared" si="10"/>
        <v>24</v>
      </c>
      <c r="B13" s="68">
        <f>((KPI´s!$J$28*(A13/100*'CO2 calculations'!$C$36)+KPI´s!$J$28*((1-A13/100)*'CO2 calculations'!$C$35))/1000000)+KPI´s!J$29/1000000</f>
        <v>577.12710843111438</v>
      </c>
      <c r="C13" s="68">
        <f t="shared" si="9"/>
        <v>239.21210843111436</v>
      </c>
      <c r="D13">
        <v>337.91500000000002</v>
      </c>
      <c r="E13" s="143">
        <f>(KPI´s!$J$28*(1-A13/100))*'CO2 calculations'!E$35</f>
        <v>396246188.96391195</v>
      </c>
      <c r="F13" s="143">
        <f t="shared" si="0"/>
        <v>37283.231931117043</v>
      </c>
      <c r="G13" s="143">
        <f>(KPI´s!$J$28*(A13/100))*'CO2 calculations'!E$36</f>
        <v>75777711.848279998</v>
      </c>
      <c r="H13" s="143">
        <f t="shared" si="1"/>
        <v>7130.0067602822728</v>
      </c>
      <c r="I13" s="143">
        <f>C13*'balance sheet'!C$36*1000000</f>
        <v>1242467691.1912079</v>
      </c>
      <c r="J13" s="143">
        <f>I13/KPI´s!I$23</f>
        <v>116905.12713504025</v>
      </c>
      <c r="K13" s="143">
        <f t="shared" si="2"/>
        <v>168957500</v>
      </c>
      <c r="L13" s="143">
        <f>K13/KPI´s!I$23</f>
        <v>15897.393677079413</v>
      </c>
      <c r="M13" s="143">
        <f t="shared" si="3"/>
        <v>1883449092.0033998</v>
      </c>
      <c r="N13" s="143">
        <f>M13/KPI´s!I$23</f>
        <v>177215.75950351899</v>
      </c>
      <c r="O13" s="145">
        <f>'balance sheet'!K$35*'Lithium Carbon Offsetting'!C13/3.6*1000000</f>
        <v>400650078.0730722</v>
      </c>
      <c r="P13">
        <f t="shared" si="4"/>
        <v>37697.598614327457</v>
      </c>
      <c r="Q13" s="144">
        <f t="shared" si="5"/>
        <v>132214525.76411383</v>
      </c>
      <c r="R13" s="144">
        <f t="shared" si="6"/>
        <v>12440.207542728062</v>
      </c>
      <c r="S13" s="144">
        <f t="shared" si="7"/>
        <v>1751234566.2392859</v>
      </c>
      <c r="T13" s="144">
        <f t="shared" si="8"/>
        <v>164775.55196079094</v>
      </c>
    </row>
    <row r="14" spans="1:20" x14ac:dyDescent="0.3">
      <c r="A14">
        <f t="shared" si="10"/>
        <v>25</v>
      </c>
      <c r="B14" s="68">
        <f>((KPI´s!$J$28*(A14/100*'CO2 calculations'!$C$36)+KPI´s!$J$28*((1-A14/100)*'CO2 calculations'!$C$35))/1000000)+KPI´s!J$29/1000000</f>
        <v>573.01438646328029</v>
      </c>
      <c r="C14" s="68">
        <f t="shared" si="9"/>
        <v>235.09938646328027</v>
      </c>
      <c r="D14">
        <v>337.91500000000002</v>
      </c>
      <c r="E14" s="143">
        <f>(KPI´s!$J$28*(1-A14/100))*'CO2 calculations'!E$35</f>
        <v>391032423.31964993</v>
      </c>
      <c r="F14" s="143">
        <f t="shared" si="0"/>
        <v>36792.663089918133</v>
      </c>
      <c r="G14" s="143">
        <f>(KPI´s!$J$28*(A14/100))*'CO2 calculations'!E$36</f>
        <v>78935116.508625001</v>
      </c>
      <c r="H14" s="143">
        <f t="shared" si="1"/>
        <v>7427.0903752940349</v>
      </c>
      <c r="I14" s="143">
        <f>C14*'balance sheet'!C$36*1000000</f>
        <v>1221106213.2902777</v>
      </c>
      <c r="J14" s="143">
        <f>I14/KPI´s!I$23</f>
        <v>114895.20260540814</v>
      </c>
      <c r="K14" s="143">
        <f t="shared" si="2"/>
        <v>168957500</v>
      </c>
      <c r="L14" s="143">
        <f>K14/KPI´s!I$23</f>
        <v>15897.393677079413</v>
      </c>
      <c r="M14" s="143">
        <f t="shared" si="3"/>
        <v>1860031253.1185527</v>
      </c>
      <c r="N14" s="143">
        <f>M14/KPI´s!I$23</f>
        <v>175012.34974769971</v>
      </c>
      <c r="O14" s="145">
        <f>'balance sheet'!K$35*'Lithium Carbon Offsetting'!C14/3.6*1000000</f>
        <v>393761788.06002682</v>
      </c>
      <c r="P14">
        <f t="shared" si="4"/>
        <v>37049.471966506098</v>
      </c>
      <c r="Q14" s="144">
        <f t="shared" si="5"/>
        <v>129941390.05980887</v>
      </c>
      <c r="R14" s="144">
        <f t="shared" si="6"/>
        <v>12226.325748947014</v>
      </c>
      <c r="S14" s="144">
        <f t="shared" si="7"/>
        <v>1730089863.0587437</v>
      </c>
      <c r="T14" s="144">
        <f t="shared" si="8"/>
        <v>162786.0239987527</v>
      </c>
    </row>
    <row r="15" spans="1:20" x14ac:dyDescent="0.3">
      <c r="A15">
        <f t="shared" si="10"/>
        <v>26</v>
      </c>
      <c r="B15" s="68">
        <f>((KPI´s!$J$28*(A15/100*'CO2 calculations'!$C$36)+KPI´s!$J$28*((1-A15/100)*'CO2 calculations'!$C$35))/1000000)+KPI´s!J$29/1000000</f>
        <v>568.90166449544631</v>
      </c>
      <c r="C15" s="68">
        <f t="shared" si="9"/>
        <v>230.98666449544629</v>
      </c>
      <c r="D15">
        <v>337.91500000000002</v>
      </c>
      <c r="E15" s="143">
        <f>(KPI´s!$J$28*(1-A15/100))*'CO2 calculations'!E$35</f>
        <v>385818657.67538792</v>
      </c>
      <c r="F15" s="143">
        <f t="shared" si="0"/>
        <v>36302.094248719222</v>
      </c>
      <c r="G15" s="143">
        <f>(KPI´s!$J$28*(A15/100))*'CO2 calculations'!E$36</f>
        <v>82092521.168969989</v>
      </c>
      <c r="H15" s="143">
        <f t="shared" si="1"/>
        <v>7724.1739903057951</v>
      </c>
      <c r="I15" s="143">
        <f>C15*'balance sheet'!C$36*1000000</f>
        <v>1199744735.389348</v>
      </c>
      <c r="J15" s="143">
        <f>I15/KPI´s!I$23</f>
        <v>112885.27807577606</v>
      </c>
      <c r="K15" s="143">
        <f t="shared" si="2"/>
        <v>168957500</v>
      </c>
      <c r="L15" s="143">
        <f>K15/KPI´s!I$23</f>
        <v>15897.393677079413</v>
      </c>
      <c r="M15" s="143">
        <f t="shared" si="3"/>
        <v>1836613414.233706</v>
      </c>
      <c r="N15" s="143">
        <f>M15/KPI´s!I$23</f>
        <v>172808.9399918805</v>
      </c>
      <c r="O15" s="145">
        <f>'balance sheet'!K$35*'Lithium Carbon Offsetting'!C15/3.6*1000000</f>
        <v>386873498.04698169</v>
      </c>
      <c r="P15">
        <f t="shared" si="4"/>
        <v>36401.345318684769</v>
      </c>
      <c r="Q15" s="144">
        <f t="shared" si="5"/>
        <v>127668254.35550396</v>
      </c>
      <c r="R15" s="144">
        <f t="shared" si="6"/>
        <v>12012.443955165973</v>
      </c>
      <c r="S15" s="144">
        <f t="shared" si="7"/>
        <v>1708945159.878202</v>
      </c>
      <c r="T15" s="144">
        <f t="shared" si="8"/>
        <v>160796.49603671452</v>
      </c>
    </row>
    <row r="16" spans="1:20" x14ac:dyDescent="0.3">
      <c r="A16">
        <f t="shared" si="10"/>
        <v>27</v>
      </c>
      <c r="B16" s="68">
        <f>((KPI´s!$J$28*(A16/100*'CO2 calculations'!$C$36)+KPI´s!$J$28*((1-A16/100)*'CO2 calculations'!$C$35))/1000000)+KPI´s!J$29/1000000</f>
        <v>564.78894252761233</v>
      </c>
      <c r="C16" s="68">
        <f t="shared" si="9"/>
        <v>226.87394252761231</v>
      </c>
      <c r="D16">
        <v>337.91500000000002</v>
      </c>
      <c r="E16" s="143">
        <f>(KPI´s!$J$28*(1-A16/100))*'CO2 calculations'!E$35</f>
        <v>380604892.0311259</v>
      </c>
      <c r="F16" s="143">
        <f t="shared" si="0"/>
        <v>35811.525407520312</v>
      </c>
      <c r="G16" s="143">
        <f>(KPI´s!$J$28*(A16/100))*'CO2 calculations'!E$36</f>
        <v>85249925.829315007</v>
      </c>
      <c r="H16" s="143">
        <f t="shared" si="1"/>
        <v>8021.257605317558</v>
      </c>
      <c r="I16" s="143">
        <f>C16*'balance sheet'!C$36*1000000</f>
        <v>1178383257.4884183</v>
      </c>
      <c r="J16" s="143">
        <f>I16/KPI´s!I$23</f>
        <v>110875.35354614399</v>
      </c>
      <c r="K16" s="143">
        <f t="shared" si="2"/>
        <v>168957500</v>
      </c>
      <c r="L16" s="143">
        <f>K16/KPI´s!I$23</f>
        <v>15897.393677079413</v>
      </c>
      <c r="M16" s="143">
        <f t="shared" si="3"/>
        <v>1813195575.3488593</v>
      </c>
      <c r="N16" s="143">
        <f>M16/KPI´s!I$23</f>
        <v>170605.53023606128</v>
      </c>
      <c r="O16" s="145">
        <f>'balance sheet'!K$35*'Lithium Carbon Offsetting'!C16/3.6*1000000</f>
        <v>379985208.03393656</v>
      </c>
      <c r="P16">
        <f t="shared" si="4"/>
        <v>35753.218670863433</v>
      </c>
      <c r="Q16" s="144">
        <f t="shared" si="5"/>
        <v>125395118.65119907</v>
      </c>
      <c r="R16" s="144">
        <f t="shared" si="6"/>
        <v>11798.562161384933</v>
      </c>
      <c r="S16" s="144">
        <f t="shared" si="7"/>
        <v>1687800456.6976602</v>
      </c>
      <c r="T16" s="144">
        <f t="shared" si="8"/>
        <v>158806.96807467635</v>
      </c>
    </row>
    <row r="17" spans="1:20" x14ac:dyDescent="0.3">
      <c r="A17">
        <f t="shared" si="10"/>
        <v>28</v>
      </c>
      <c r="B17" s="68">
        <f>((KPI´s!$J$28*(A17/100*'CO2 calculations'!$C$36)+KPI´s!$J$28*((1-A17/100)*'CO2 calculations'!$C$35))/1000000)+KPI´s!J$29/1000000</f>
        <v>560.67622055977824</v>
      </c>
      <c r="C17" s="68">
        <f t="shared" si="9"/>
        <v>222.76122055977822</v>
      </c>
      <c r="D17">
        <v>337.91500000000002</v>
      </c>
      <c r="E17" s="143">
        <f>(KPI´s!$J$28*(1-A17/100))*'CO2 calculations'!E$35</f>
        <v>375391126.38686389</v>
      </c>
      <c r="F17" s="143">
        <f t="shared" si="0"/>
        <v>35320.956566321402</v>
      </c>
      <c r="G17" s="143">
        <f>(KPI´s!$J$28*(A17/100))*'CO2 calculations'!E$36</f>
        <v>88407330.489659995</v>
      </c>
      <c r="H17" s="143">
        <f t="shared" si="1"/>
        <v>8318.3412203293192</v>
      </c>
      <c r="I17" s="143">
        <f>C17*'balance sheet'!C$36*1000000</f>
        <v>1157021779.5874879</v>
      </c>
      <c r="J17" s="143">
        <f>I17/KPI´s!I$23</f>
        <v>108865.42901651184</v>
      </c>
      <c r="K17" s="143">
        <f t="shared" si="2"/>
        <v>168957500</v>
      </c>
      <c r="L17" s="143">
        <f>K17/KPI´s!I$23</f>
        <v>15897.393677079413</v>
      </c>
      <c r="M17" s="143">
        <f t="shared" si="3"/>
        <v>1789777736.4640119</v>
      </c>
      <c r="N17" s="143">
        <f>M17/KPI´s!I$23</f>
        <v>168402.12048024198</v>
      </c>
      <c r="O17" s="145">
        <f>'balance sheet'!K$35*'Lithium Carbon Offsetting'!C17/3.6*1000000</f>
        <v>373096918.02089119</v>
      </c>
      <c r="P17">
        <f t="shared" si="4"/>
        <v>35105.092023042074</v>
      </c>
      <c r="Q17" s="144">
        <f t="shared" si="5"/>
        <v>123121982.94689409</v>
      </c>
      <c r="R17" s="144">
        <f t="shared" si="6"/>
        <v>11584.680367603885</v>
      </c>
      <c r="S17" s="144">
        <f t="shared" si="7"/>
        <v>1666655753.5171177</v>
      </c>
      <c r="T17" s="144">
        <f t="shared" si="8"/>
        <v>156817.44011263811</v>
      </c>
    </row>
    <row r="18" spans="1:20" x14ac:dyDescent="0.3">
      <c r="A18">
        <f t="shared" si="10"/>
        <v>29</v>
      </c>
      <c r="B18" s="68">
        <f>((KPI´s!$J$28*(A18/100*'CO2 calculations'!$C$36)+KPI´s!$J$28*((1-A18/100)*'CO2 calculations'!$C$35))/1000000)+KPI´s!J$29/1000000</f>
        <v>556.56349859194438</v>
      </c>
      <c r="C18" s="68">
        <f t="shared" si="9"/>
        <v>218.64849859194436</v>
      </c>
      <c r="D18">
        <v>337.91500000000002</v>
      </c>
      <c r="E18" s="143">
        <f>(KPI´s!$J$28*(1-A18/100))*'CO2 calculations'!E$35</f>
        <v>370177360.74260187</v>
      </c>
      <c r="F18" s="143">
        <f t="shared" si="0"/>
        <v>34830.387725122491</v>
      </c>
      <c r="G18" s="143">
        <f>(KPI´s!$J$28*(A18/100))*'CO2 calculations'!E$36</f>
        <v>91564735.150004983</v>
      </c>
      <c r="H18" s="143">
        <f t="shared" si="1"/>
        <v>8615.4248353410785</v>
      </c>
      <c r="I18" s="143">
        <f>C18*'balance sheet'!C$36*1000000</f>
        <v>1135660301.686559</v>
      </c>
      <c r="J18" s="143">
        <f>I18/KPI´s!I$23</f>
        <v>106855.50448687984</v>
      </c>
      <c r="K18" s="143">
        <f t="shared" si="2"/>
        <v>168957500</v>
      </c>
      <c r="L18" s="143">
        <f>K18/KPI´s!I$23</f>
        <v>15897.393677079413</v>
      </c>
      <c r="M18" s="143">
        <f t="shared" si="3"/>
        <v>1766359897.5791659</v>
      </c>
      <c r="N18" s="143">
        <f>M18/KPI´s!I$23</f>
        <v>166198.71072442285</v>
      </c>
      <c r="O18" s="145">
        <f>'balance sheet'!K$35*'Lithium Carbon Offsetting'!C18/3.6*1000000</f>
        <v>366208628.00784618</v>
      </c>
      <c r="P18">
        <f t="shared" si="4"/>
        <v>34456.965375220752</v>
      </c>
      <c r="Q18" s="144">
        <f t="shared" si="5"/>
        <v>120848847.24258925</v>
      </c>
      <c r="R18" s="144">
        <f t="shared" si="6"/>
        <v>11370.798573822851</v>
      </c>
      <c r="S18" s="144">
        <f t="shared" si="7"/>
        <v>1645511050.3365767</v>
      </c>
      <c r="T18" s="144">
        <f t="shared" si="8"/>
        <v>154827.91215059999</v>
      </c>
    </row>
    <row r="19" spans="1:20" x14ac:dyDescent="0.3">
      <c r="A19">
        <f t="shared" si="10"/>
        <v>30</v>
      </c>
      <c r="B19" s="68">
        <f>((KPI´s!$J$28*(A19/100*'CO2 calculations'!$C$36)+KPI´s!$J$28*((1-A19/100)*'CO2 calculations'!$C$35))/1000000)+KPI´s!J$29/1000000</f>
        <v>552.45077662411029</v>
      </c>
      <c r="C19" s="68">
        <f t="shared" si="9"/>
        <v>214.53577662411027</v>
      </c>
      <c r="D19">
        <v>337.91500000000002</v>
      </c>
      <c r="E19" s="143">
        <f>(KPI´s!$J$28*(1-A19/100))*'CO2 calculations'!E$35</f>
        <v>364963595.09833992</v>
      </c>
      <c r="F19" s="143">
        <f t="shared" si="0"/>
        <v>34339.818883923588</v>
      </c>
      <c r="G19" s="143">
        <f>(KPI´s!$J$28*(A19/100))*'CO2 calculations'!E$36</f>
        <v>94722139.810350001</v>
      </c>
      <c r="H19" s="143">
        <f t="shared" si="1"/>
        <v>8912.5084503528415</v>
      </c>
      <c r="I19" s="143">
        <f>C19*'balance sheet'!C$36*1000000</f>
        <v>1114298823.7856286</v>
      </c>
      <c r="J19" s="143">
        <f>I19/KPI´s!I$23</f>
        <v>104845.5799572477</v>
      </c>
      <c r="K19" s="143">
        <f t="shared" si="2"/>
        <v>168957500</v>
      </c>
      <c r="L19" s="143">
        <f>K19/KPI´s!I$23</f>
        <v>15897.393677079413</v>
      </c>
      <c r="M19" s="143">
        <f t="shared" si="3"/>
        <v>1742942058.6943183</v>
      </c>
      <c r="N19" s="143">
        <f>M19/KPI´s!I$23</f>
        <v>163995.30096860352</v>
      </c>
      <c r="O19" s="145">
        <f>'balance sheet'!K$35*'Lithium Carbon Offsetting'!C19/3.6*1000000</f>
        <v>359320337.99480081</v>
      </c>
      <c r="P19">
        <f t="shared" si="4"/>
        <v>33808.838727399401</v>
      </c>
      <c r="Q19" s="144">
        <f t="shared" si="5"/>
        <v>118575711.53828427</v>
      </c>
      <c r="R19" s="144">
        <f t="shared" si="6"/>
        <v>11156.916780041802</v>
      </c>
      <c r="S19" s="144">
        <f t="shared" si="7"/>
        <v>1624366347.156034</v>
      </c>
      <c r="T19" s="144">
        <f t="shared" si="8"/>
        <v>152838.38418856173</v>
      </c>
    </row>
    <row r="20" spans="1:20" x14ac:dyDescent="0.3">
      <c r="A20">
        <f t="shared" si="10"/>
        <v>31</v>
      </c>
      <c r="B20" s="68">
        <f>((KPI´s!$J$28*(A20/100*'CO2 calculations'!$C$36)+KPI´s!$J$28*((1-A20/100)*'CO2 calculations'!$C$35))/1000000)+KPI´s!J$29/1000000</f>
        <v>548.33805465627631</v>
      </c>
      <c r="C20" s="68">
        <f t="shared" si="9"/>
        <v>210.42305465627629</v>
      </c>
      <c r="D20">
        <v>337.91500000000002</v>
      </c>
      <c r="E20" s="143">
        <f>(KPI´s!$J$28*(1-A20/100))*'CO2 calculations'!E$35</f>
        <v>359749829.4540779</v>
      </c>
      <c r="F20" s="143">
        <f t="shared" si="0"/>
        <v>33849.250042724678</v>
      </c>
      <c r="G20" s="143">
        <f>(KPI´s!$J$28*(A20/100))*'CO2 calculations'!E$36</f>
        <v>97879544.470694989</v>
      </c>
      <c r="H20" s="143">
        <f t="shared" si="1"/>
        <v>9209.5920653646026</v>
      </c>
      <c r="I20" s="143">
        <f>C20*'balance sheet'!C$36*1000000</f>
        <v>1092937345.8846989</v>
      </c>
      <c r="J20" s="143">
        <f>I20/KPI´s!I$23</f>
        <v>102835.65542761562</v>
      </c>
      <c r="K20" s="143">
        <f t="shared" si="2"/>
        <v>168957500</v>
      </c>
      <c r="L20" s="143">
        <f>K20/KPI´s!I$23</f>
        <v>15897.393677079413</v>
      </c>
      <c r="M20" s="143">
        <f t="shared" si="3"/>
        <v>1719524219.8094718</v>
      </c>
      <c r="N20" s="143">
        <f>M20/KPI´s!I$23</f>
        <v>161791.89121278434</v>
      </c>
      <c r="O20" s="145">
        <f>'balance sheet'!K$35*'Lithium Carbon Offsetting'!C20/3.6*1000000</f>
        <v>352432047.98175567</v>
      </c>
      <c r="P20">
        <f t="shared" si="4"/>
        <v>33160.712079578065</v>
      </c>
      <c r="Q20" s="144">
        <f t="shared" si="5"/>
        <v>116302575.83397938</v>
      </c>
      <c r="R20" s="144">
        <f t="shared" si="6"/>
        <v>10943.034986260762</v>
      </c>
      <c r="S20" s="144">
        <f t="shared" si="7"/>
        <v>1603221643.9754925</v>
      </c>
      <c r="T20" s="144">
        <f t="shared" si="8"/>
        <v>150848.85622652358</v>
      </c>
    </row>
    <row r="21" spans="1:20" x14ac:dyDescent="0.3">
      <c r="A21">
        <f t="shared" si="10"/>
        <v>32</v>
      </c>
      <c r="B21" s="68">
        <f>((KPI´s!$J$28*(A21/100*'CO2 calculations'!$C$36)+KPI´s!$J$28*((1-A21/100)*'CO2 calculations'!$C$35))/1000000)+KPI´s!J$29/1000000</f>
        <v>544.22533268844234</v>
      </c>
      <c r="C21" s="68">
        <f t="shared" si="9"/>
        <v>206.31033268844232</v>
      </c>
      <c r="D21">
        <v>337.91500000000002</v>
      </c>
      <c r="E21" s="143">
        <f>(KPI´s!$J$28*(1-A21/100))*'CO2 calculations'!E$35</f>
        <v>354536063.80981588</v>
      </c>
      <c r="F21" s="143">
        <f t="shared" si="0"/>
        <v>33358.681201525767</v>
      </c>
      <c r="G21" s="143">
        <f>(KPI´s!$J$28*(A21/100))*'CO2 calculations'!E$36</f>
        <v>101036949.13104001</v>
      </c>
      <c r="H21" s="143">
        <f t="shared" si="1"/>
        <v>9506.6756803763656</v>
      </c>
      <c r="I21" s="143">
        <f>C21*'balance sheet'!C$36*1000000</f>
        <v>1071575867.9837693</v>
      </c>
      <c r="J21" s="143">
        <f>I21/KPI´s!I$23</f>
        <v>100825.73089798357</v>
      </c>
      <c r="K21" s="143">
        <f t="shared" si="2"/>
        <v>168957500</v>
      </c>
      <c r="L21" s="143">
        <f>K21/KPI´s!I$23</f>
        <v>15897.393677079413</v>
      </c>
      <c r="M21" s="143">
        <f t="shared" si="3"/>
        <v>1696106380.9246254</v>
      </c>
      <c r="N21" s="143">
        <f>M21/KPI´s!I$23</f>
        <v>159588.48145696512</v>
      </c>
      <c r="O21" s="145">
        <f>'balance sheet'!K$35*'Lithium Carbon Offsetting'!C21/3.6*1000000</f>
        <v>345543757.96871048</v>
      </c>
      <c r="P21">
        <f t="shared" si="4"/>
        <v>32512.585431756725</v>
      </c>
      <c r="Q21" s="144">
        <f t="shared" si="5"/>
        <v>114029440.12967446</v>
      </c>
      <c r="R21" s="144">
        <f t="shared" si="6"/>
        <v>10729.15319247972</v>
      </c>
      <c r="S21" s="144">
        <f t="shared" si="7"/>
        <v>1582076940.794951</v>
      </c>
      <c r="T21" s="144">
        <f t="shared" si="8"/>
        <v>148859.3282644854</v>
      </c>
    </row>
    <row r="22" spans="1:20" x14ac:dyDescent="0.3">
      <c r="A22">
        <f t="shared" si="10"/>
        <v>33</v>
      </c>
      <c r="B22" s="68">
        <f>((KPI´s!$J$28*(A22/100*'CO2 calculations'!$C$36)+KPI´s!$J$28*((1-A22/100)*'CO2 calculations'!$C$35))/1000000)+KPI´s!J$29/1000000</f>
        <v>540.11261072060825</v>
      </c>
      <c r="C22" s="68">
        <f t="shared" si="9"/>
        <v>202.19761072060822</v>
      </c>
      <c r="D22">
        <v>337.91500000000002</v>
      </c>
      <c r="E22" s="143">
        <f>(KPI´s!$J$28*(1-A22/100))*'CO2 calculations'!E$35</f>
        <v>349322298.16555387</v>
      </c>
      <c r="F22" s="143">
        <f t="shared" si="0"/>
        <v>32868.112360326857</v>
      </c>
      <c r="G22" s="143">
        <f>(KPI´s!$J$28*(A22/100))*'CO2 calculations'!E$36</f>
        <v>104194353.79138499</v>
      </c>
      <c r="H22" s="143">
        <f t="shared" si="1"/>
        <v>9803.7592953881249</v>
      </c>
      <c r="I22" s="143">
        <f>C22*'balance sheet'!C$36*1000000</f>
        <v>1050214390.0828391</v>
      </c>
      <c r="J22" s="143">
        <f>I22/KPI´s!I$23</f>
        <v>98815.806368351448</v>
      </c>
      <c r="K22" s="143">
        <f t="shared" si="2"/>
        <v>168957500</v>
      </c>
      <c r="L22" s="143">
        <f>K22/KPI´s!I$23</f>
        <v>15897.393677079413</v>
      </c>
      <c r="M22" s="143">
        <f t="shared" si="3"/>
        <v>1672688542.0397778</v>
      </c>
      <c r="N22" s="143">
        <f>M22/KPI´s!I$23</f>
        <v>157385.07170114582</v>
      </c>
      <c r="O22" s="145">
        <f>'balance sheet'!K$35*'Lithium Carbon Offsetting'!C22/3.6*1000000</f>
        <v>338655467.95566511</v>
      </c>
      <c r="P22">
        <f t="shared" si="4"/>
        <v>31864.45878393537</v>
      </c>
      <c r="Q22" s="144">
        <f t="shared" si="5"/>
        <v>111756304.42536949</v>
      </c>
      <c r="R22" s="144">
        <f t="shared" si="6"/>
        <v>10515.271398698673</v>
      </c>
      <c r="S22" s="144">
        <f t="shared" si="7"/>
        <v>1560932237.6144083</v>
      </c>
      <c r="T22" s="144">
        <f t="shared" si="8"/>
        <v>146869.80030244714</v>
      </c>
    </row>
    <row r="23" spans="1:20" x14ac:dyDescent="0.3">
      <c r="A23">
        <f t="shared" si="10"/>
        <v>34</v>
      </c>
      <c r="B23" s="68">
        <f>((KPI´s!$J$28*(A23/100*'CO2 calculations'!$C$36)+KPI´s!$J$28*((1-A23/100)*'CO2 calculations'!$C$35))/1000000)+KPI´s!J$29/1000000</f>
        <v>535.99988875277427</v>
      </c>
      <c r="C23" s="68">
        <f t="shared" si="9"/>
        <v>198.08488875277425</v>
      </c>
      <c r="D23">
        <v>337.91500000000002</v>
      </c>
      <c r="E23" s="143">
        <f>(KPI´s!$J$28*(1-A23/100))*'CO2 calculations'!E$35</f>
        <v>344108532.52129191</v>
      </c>
      <c r="F23" s="143">
        <f t="shared" si="0"/>
        <v>32377.543519127954</v>
      </c>
      <c r="G23" s="143">
        <f>(KPI´s!$J$28*(A23/100))*'CO2 calculations'!E$36</f>
        <v>107351758.45173</v>
      </c>
      <c r="H23" s="143">
        <f t="shared" si="1"/>
        <v>10100.842910399886</v>
      </c>
      <c r="I23" s="143">
        <f>C23*'balance sheet'!C$36*1000000</f>
        <v>1028852912.1819094</v>
      </c>
      <c r="J23" s="143">
        <f>I23/KPI´s!I$23</f>
        <v>96805.881838719375</v>
      </c>
      <c r="K23" s="143">
        <f t="shared" si="2"/>
        <v>168957500</v>
      </c>
      <c r="L23" s="143">
        <f>K23/KPI´s!I$23</f>
        <v>15897.393677079413</v>
      </c>
      <c r="M23" s="143">
        <f t="shared" si="3"/>
        <v>1649270703.1549315</v>
      </c>
      <c r="N23" s="143">
        <f>M23/KPI´s!I$23</f>
        <v>155181.66194532663</v>
      </c>
      <c r="O23" s="145">
        <f>'balance sheet'!K$35*'Lithium Carbon Offsetting'!C23/3.6*1000000</f>
        <v>331767177.94261998</v>
      </c>
      <c r="P23">
        <f t="shared" si="4"/>
        <v>31216.332136114037</v>
      </c>
      <c r="Q23" s="144">
        <f t="shared" si="5"/>
        <v>109483168.7210646</v>
      </c>
      <c r="R23" s="144">
        <f t="shared" si="6"/>
        <v>10301.389604917633</v>
      </c>
      <c r="S23" s="144">
        <f t="shared" si="7"/>
        <v>1539787534.433867</v>
      </c>
      <c r="T23" s="144">
        <f t="shared" si="8"/>
        <v>144880.27234040902</v>
      </c>
    </row>
    <row r="24" spans="1:20" x14ac:dyDescent="0.3">
      <c r="A24">
        <f t="shared" si="10"/>
        <v>35</v>
      </c>
      <c r="B24" s="68">
        <f>((KPI´s!$J$28*(A24/100*'CO2 calculations'!$C$36)+KPI´s!$J$28*((1-A24/100)*'CO2 calculations'!$C$35))/1000000)+KPI´s!J$29/1000000</f>
        <v>531.8871667849404</v>
      </c>
      <c r="C24" s="68">
        <f t="shared" si="9"/>
        <v>193.97216678494038</v>
      </c>
      <c r="D24">
        <v>337.91500000000002</v>
      </c>
      <c r="E24" s="143">
        <f>(KPI´s!$J$28*(1-A24/100))*'CO2 calculations'!E$35</f>
        <v>338894766.87702996</v>
      </c>
      <c r="F24" s="143">
        <f t="shared" si="0"/>
        <v>31886.974677929051</v>
      </c>
      <c r="G24" s="143">
        <f>(KPI´s!$J$28*(A24/100))*'CO2 calculations'!E$36</f>
        <v>110509163.112075</v>
      </c>
      <c r="H24" s="143">
        <f t="shared" si="1"/>
        <v>10397.926525411649</v>
      </c>
      <c r="I24" s="143">
        <f>C24*'balance sheet'!C$36*1000000</f>
        <v>1007491434.2809803</v>
      </c>
      <c r="J24" s="143">
        <f>I24/KPI´s!I$23</f>
        <v>94795.957309087345</v>
      </c>
      <c r="K24" s="143">
        <f t="shared" si="2"/>
        <v>168957500</v>
      </c>
      <c r="L24" s="143">
        <f>K24/KPI´s!I$23</f>
        <v>15897.393677079413</v>
      </c>
      <c r="M24" s="143">
        <f t="shared" si="3"/>
        <v>1625852864.2700853</v>
      </c>
      <c r="N24" s="143">
        <f>M24/KPI´s!I$23</f>
        <v>152978.25218950748</v>
      </c>
      <c r="O24" s="145">
        <f>'balance sheet'!K$35*'Lithium Carbon Offsetting'!C24/3.6*1000000</f>
        <v>324878887.92957503</v>
      </c>
      <c r="P24">
        <f t="shared" si="4"/>
        <v>30568.205488292719</v>
      </c>
      <c r="Q24" s="144">
        <f t="shared" si="5"/>
        <v>107210033.01675977</v>
      </c>
      <c r="R24" s="144">
        <f t="shared" si="6"/>
        <v>10087.507811136598</v>
      </c>
      <c r="S24" s="144">
        <f t="shared" si="7"/>
        <v>1518642831.2533255</v>
      </c>
      <c r="T24" s="144">
        <f t="shared" si="8"/>
        <v>142890.74437837084</v>
      </c>
    </row>
    <row r="25" spans="1:20" x14ac:dyDescent="0.3">
      <c r="A25">
        <f t="shared" si="10"/>
        <v>36</v>
      </c>
      <c r="B25" s="68">
        <f>((KPI´s!$J$28*(A25/100*'CO2 calculations'!$C$36)+KPI´s!$J$28*((1-A25/100)*'CO2 calculations'!$C$35))/1000000)+KPI´s!J$29/1000000</f>
        <v>527.7744448171062</v>
      </c>
      <c r="C25" s="68">
        <f t="shared" si="9"/>
        <v>189.85944481710618</v>
      </c>
      <c r="D25">
        <v>337.91500000000002</v>
      </c>
      <c r="E25" s="143">
        <f>(KPI´s!$J$28*(1-A25/100))*'CO2 calculations'!E$35</f>
        <v>333681001.23276794</v>
      </c>
      <c r="F25" s="143">
        <f t="shared" si="0"/>
        <v>31396.40583673014</v>
      </c>
      <c r="G25" s="143">
        <f>(KPI´s!$J$28*(A25/100))*'CO2 calculations'!E$36</f>
        <v>113666567.77241999</v>
      </c>
      <c r="H25" s="143">
        <f t="shared" si="1"/>
        <v>10695.010140423408</v>
      </c>
      <c r="I25" s="143">
        <f>C25*'balance sheet'!C$36*1000000</f>
        <v>986129956.38004947</v>
      </c>
      <c r="J25" s="143">
        <f>I25/KPI´s!I$23</f>
        <v>92786.032779455156</v>
      </c>
      <c r="K25" s="143">
        <f t="shared" si="2"/>
        <v>168957500</v>
      </c>
      <c r="L25" s="143">
        <f>K25/KPI´s!I$23</f>
        <v>15897.393677079413</v>
      </c>
      <c r="M25" s="143">
        <f t="shared" si="3"/>
        <v>1602435025.3852372</v>
      </c>
      <c r="N25" s="143">
        <f>M25/KPI´s!I$23</f>
        <v>150774.84243368811</v>
      </c>
      <c r="O25" s="145">
        <f>'balance sheet'!K$35*'Lithium Carbon Offsetting'!C25/3.6*1000000</f>
        <v>317990597.91652948</v>
      </c>
      <c r="P25">
        <f t="shared" si="4"/>
        <v>29920.078840471346</v>
      </c>
      <c r="Q25" s="144">
        <f t="shared" si="5"/>
        <v>104936897.31245473</v>
      </c>
      <c r="R25" s="144">
        <f t="shared" si="6"/>
        <v>9873.6260173555456</v>
      </c>
      <c r="S25" s="144">
        <f t="shared" si="7"/>
        <v>1497498128.0727825</v>
      </c>
      <c r="T25" s="144">
        <f t="shared" si="8"/>
        <v>140901.21641633258</v>
      </c>
    </row>
    <row r="26" spans="1:20" x14ac:dyDescent="0.3">
      <c r="A26">
        <f t="shared" si="10"/>
        <v>37</v>
      </c>
      <c r="B26" s="68">
        <f>((KPI´s!$J$28*(A26/100*'CO2 calculations'!$C$36)+KPI´s!$J$28*((1-A26/100)*'CO2 calculations'!$C$35))/1000000)+KPI´s!J$29/1000000</f>
        <v>523.66172284927234</v>
      </c>
      <c r="C26" s="68">
        <f t="shared" si="9"/>
        <v>185.74672284927232</v>
      </c>
      <c r="D26">
        <v>337.91500000000002</v>
      </c>
      <c r="E26" s="143">
        <f>(KPI´s!$J$28*(1-A26/100))*'CO2 calculations'!E$35</f>
        <v>328467235.58850592</v>
      </c>
      <c r="F26" s="143">
        <f t="shared" si="0"/>
        <v>30905.83699553123</v>
      </c>
      <c r="G26" s="143">
        <f>(KPI´s!$J$28*(A26/100))*'CO2 calculations'!E$36</f>
        <v>116823972.43276499</v>
      </c>
      <c r="H26" s="143">
        <f t="shared" si="1"/>
        <v>10992.093755435171</v>
      </c>
      <c r="I26" s="143">
        <f>C26*'balance sheet'!C$36*1000000</f>
        <v>964768478.47912037</v>
      </c>
      <c r="J26" s="143">
        <f>I26/KPI´s!I$23</f>
        <v>90776.108249823141</v>
      </c>
      <c r="K26" s="143">
        <f t="shared" si="2"/>
        <v>168957500</v>
      </c>
      <c r="L26" s="143">
        <f>K26/KPI´s!I$23</f>
        <v>15897.393677079413</v>
      </c>
      <c r="M26" s="143">
        <f t="shared" si="3"/>
        <v>1579017186.5003912</v>
      </c>
      <c r="N26" s="143">
        <f>M26/KPI´s!I$23</f>
        <v>148571.43267786896</v>
      </c>
      <c r="O26" s="145">
        <f>'balance sheet'!K$35*'Lithium Carbon Offsetting'!C26/3.6*1000000</f>
        <v>311102307.90348446</v>
      </c>
      <c r="P26">
        <f t="shared" si="4"/>
        <v>29271.952192650024</v>
      </c>
      <c r="Q26" s="144">
        <f t="shared" si="5"/>
        <v>102663761.60814987</v>
      </c>
      <c r="R26" s="144">
        <f t="shared" si="6"/>
        <v>9659.7442235745075</v>
      </c>
      <c r="S26" s="144">
        <f t="shared" si="7"/>
        <v>1476353424.8922415</v>
      </c>
      <c r="T26" s="144">
        <f t="shared" si="8"/>
        <v>138911.68845429446</v>
      </c>
    </row>
    <row r="27" spans="1:20" x14ac:dyDescent="0.3">
      <c r="A27">
        <f t="shared" si="10"/>
        <v>38</v>
      </c>
      <c r="B27" s="68">
        <f>((KPI´s!$J$28*(A27/100*'CO2 calculations'!$C$36)+KPI´s!$J$28*((1-A27/100)*'CO2 calculations'!$C$35))/1000000)+KPI´s!J$29/1000000</f>
        <v>519.54900088143836</v>
      </c>
      <c r="C27" s="68">
        <f t="shared" si="9"/>
        <v>181.63400088143834</v>
      </c>
      <c r="D27">
        <v>337.91500000000002</v>
      </c>
      <c r="E27" s="143">
        <f>(KPI´s!$J$28*(1-A27/100))*'CO2 calculations'!E$35</f>
        <v>323253469.94424391</v>
      </c>
      <c r="F27" s="143">
        <f t="shared" si="0"/>
        <v>30415.26815433232</v>
      </c>
      <c r="G27" s="143">
        <f>(KPI´s!$J$28*(A27/100))*'CO2 calculations'!E$36</f>
        <v>119981377.09311</v>
      </c>
      <c r="H27" s="143">
        <f t="shared" si="1"/>
        <v>11289.177370446932</v>
      </c>
      <c r="I27" s="143">
        <f>C27*'balance sheet'!C$36*1000000</f>
        <v>943407000.57819068</v>
      </c>
      <c r="J27" s="143">
        <f>I27/KPI´s!I$23</f>
        <v>88766.183720191068</v>
      </c>
      <c r="K27" s="143">
        <f t="shared" si="2"/>
        <v>168957500</v>
      </c>
      <c r="L27" s="143">
        <f>K27/KPI´s!I$23</f>
        <v>15897.393677079413</v>
      </c>
      <c r="M27" s="143">
        <f t="shared" si="3"/>
        <v>1555599347.6155448</v>
      </c>
      <c r="N27" s="143">
        <f>M27/KPI´s!I$23</f>
        <v>146368.02292204974</v>
      </c>
      <c r="O27" s="145">
        <f>'balance sheet'!K$35*'Lithium Carbon Offsetting'!C27/3.6*1000000</f>
        <v>304214017.89043939</v>
      </c>
      <c r="P27">
        <f t="shared" si="4"/>
        <v>28623.825544828698</v>
      </c>
      <c r="Q27" s="144">
        <f t="shared" si="5"/>
        <v>100390625.903845</v>
      </c>
      <c r="R27" s="144">
        <f t="shared" si="6"/>
        <v>9445.8624297934693</v>
      </c>
      <c r="S27" s="144">
        <f t="shared" si="7"/>
        <v>1455208721.7116997</v>
      </c>
      <c r="T27" s="144">
        <f t="shared" si="8"/>
        <v>136922.16049225628</v>
      </c>
    </row>
    <row r="28" spans="1:20" x14ac:dyDescent="0.3">
      <c r="A28">
        <f t="shared" si="10"/>
        <v>39</v>
      </c>
      <c r="B28" s="68">
        <f>((KPI´s!$J$28*(A28/100*'CO2 calculations'!$C$36)+KPI´s!$J$28*((1-A28/100)*'CO2 calculations'!$C$35))/1000000)+KPI´s!J$29/1000000</f>
        <v>515.43627891360427</v>
      </c>
      <c r="C28" s="68">
        <f t="shared" si="9"/>
        <v>177.52127891360425</v>
      </c>
      <c r="D28">
        <v>337.91500000000002</v>
      </c>
      <c r="E28" s="143">
        <f>(KPI´s!$J$28*(1-A28/100))*'CO2 calculations'!E$35</f>
        <v>318039704.29998189</v>
      </c>
      <c r="F28" s="143">
        <f t="shared" si="0"/>
        <v>29924.699313133409</v>
      </c>
      <c r="G28" s="143">
        <f>(KPI´s!$J$28*(A28/100))*'CO2 calculations'!E$36</f>
        <v>123138781.753455</v>
      </c>
      <c r="H28" s="143">
        <f t="shared" si="1"/>
        <v>11586.260985458694</v>
      </c>
      <c r="I28" s="143">
        <f>C28*'balance sheet'!C$36*1000000</f>
        <v>922045522.67726052</v>
      </c>
      <c r="J28" s="143">
        <f>I28/KPI´s!I$23</f>
        <v>86756.259190558951</v>
      </c>
      <c r="K28" s="143">
        <f t="shared" si="2"/>
        <v>168957500</v>
      </c>
      <c r="L28" s="143">
        <f>K28/KPI´s!I$23</f>
        <v>15897.393677079413</v>
      </c>
      <c r="M28" s="143">
        <f t="shared" si="3"/>
        <v>1532181508.7306972</v>
      </c>
      <c r="N28" s="143">
        <f>M28/KPI´s!I$23</f>
        <v>144164.61316623044</v>
      </c>
      <c r="O28" s="145">
        <f>'balance sheet'!K$35*'Lithium Carbon Offsetting'!C28/3.6*1000000</f>
        <v>297325727.87739402</v>
      </c>
      <c r="P28">
        <f t="shared" si="4"/>
        <v>27975.69889700734</v>
      </c>
      <c r="Q28" s="144">
        <f t="shared" si="5"/>
        <v>98117490.199540034</v>
      </c>
      <c r="R28" s="144">
        <f t="shared" si="6"/>
        <v>9231.9806360124239</v>
      </c>
      <c r="S28" s="144">
        <f t="shared" si="7"/>
        <v>1434064018.531157</v>
      </c>
      <c r="T28" s="144">
        <f t="shared" si="8"/>
        <v>134932.63253021802</v>
      </c>
    </row>
    <row r="29" spans="1:20" x14ac:dyDescent="0.3">
      <c r="A29">
        <f t="shared" si="10"/>
        <v>40</v>
      </c>
      <c r="B29" s="68">
        <f>((KPI´s!$J$28*(A29/100*'CO2 calculations'!$C$36)+KPI´s!$J$28*((1-A29/100)*'CO2 calculations'!$C$35))/1000000)+KPI´s!J$29/1000000</f>
        <v>511.32355694577035</v>
      </c>
      <c r="C29" s="68">
        <f t="shared" si="9"/>
        <v>173.40855694577033</v>
      </c>
      <c r="D29">
        <v>337.91500000000002</v>
      </c>
      <c r="E29" s="143">
        <f>(KPI´s!$J$28*(1-A29/100))*'CO2 calculations'!E$35</f>
        <v>312825938.65571994</v>
      </c>
      <c r="F29" s="143">
        <f t="shared" si="0"/>
        <v>29434.130471934506</v>
      </c>
      <c r="G29" s="143">
        <f>(KPI´s!$J$28*(A29/100))*'CO2 calculations'!E$36</f>
        <v>126296186.4138</v>
      </c>
      <c r="H29" s="143">
        <f t="shared" si="1"/>
        <v>11883.344600470455</v>
      </c>
      <c r="I29" s="143">
        <f>C29*'balance sheet'!C$36*1000000</f>
        <v>900684044.77633107</v>
      </c>
      <c r="J29" s="143">
        <f>I29/KPI´s!I$23</f>
        <v>84746.334660926892</v>
      </c>
      <c r="K29" s="143">
        <f t="shared" si="2"/>
        <v>168957500</v>
      </c>
      <c r="L29" s="143">
        <f>K29/KPI´s!I$23</f>
        <v>15897.393677079413</v>
      </c>
      <c r="M29" s="143">
        <f t="shared" si="3"/>
        <v>1508763669.8458512</v>
      </c>
      <c r="N29" s="143">
        <f>M29/KPI´s!I$23</f>
        <v>141961.20341041128</v>
      </c>
      <c r="O29" s="145">
        <f>'balance sheet'!K$35*'Lithium Carbon Offsetting'!C29/3.6*1000000</f>
        <v>290437437.86434889</v>
      </c>
      <c r="P29">
        <f t="shared" si="4"/>
        <v>27327.572249186007</v>
      </c>
      <c r="Q29" s="144">
        <f t="shared" si="5"/>
        <v>95844354.495235145</v>
      </c>
      <c r="R29" s="144">
        <f t="shared" si="6"/>
        <v>9018.098842231384</v>
      </c>
      <c r="S29" s="144">
        <f t="shared" si="7"/>
        <v>1412919315.350616</v>
      </c>
      <c r="T29" s="144">
        <f t="shared" si="8"/>
        <v>132943.1045681799</v>
      </c>
    </row>
    <row r="30" spans="1:20" x14ac:dyDescent="0.3">
      <c r="A30">
        <f t="shared" si="10"/>
        <v>41</v>
      </c>
      <c r="B30" s="68">
        <f>((KPI´s!$J$28*(A30/100*'CO2 calculations'!$C$36)+KPI´s!$J$28*((1-A30/100)*'CO2 calculations'!$C$35))/1000000)+KPI´s!J$29/1000000</f>
        <v>507.21083497793643</v>
      </c>
      <c r="C30" s="68">
        <f t="shared" si="9"/>
        <v>169.29583497793641</v>
      </c>
      <c r="D30">
        <v>337.91500000000002</v>
      </c>
      <c r="E30" s="143">
        <f>(KPI´s!$J$28*(1-A30/100))*'CO2 calculations'!E$35</f>
        <v>307612173.01145798</v>
      </c>
      <c r="F30" s="143">
        <f t="shared" si="0"/>
        <v>28943.561630735603</v>
      </c>
      <c r="G30" s="143">
        <f>(KPI´s!$J$28*(A30/100))*'CO2 calculations'!E$36</f>
        <v>129453591.07414499</v>
      </c>
      <c r="H30" s="143">
        <f t="shared" si="1"/>
        <v>12180.428215482216</v>
      </c>
      <c r="I30" s="143">
        <f>C30*'balance sheet'!C$36*1000000</f>
        <v>879322566.87540162</v>
      </c>
      <c r="J30" s="143">
        <f>I30/KPI´s!I$23</f>
        <v>82736.410131294848</v>
      </c>
      <c r="K30" s="143">
        <f t="shared" si="2"/>
        <v>168957500</v>
      </c>
      <c r="L30" s="143">
        <f>K30/KPI´s!I$23</f>
        <v>15897.393677079413</v>
      </c>
      <c r="M30" s="143">
        <f t="shared" si="3"/>
        <v>1485345830.9610045</v>
      </c>
      <c r="N30" s="143">
        <f>M30/KPI´s!I$23</f>
        <v>139757.79365459207</v>
      </c>
      <c r="O30" s="145">
        <f>'balance sheet'!K$35*'Lithium Carbon Offsetting'!C30/3.6*1000000</f>
        <v>283549147.85130382</v>
      </c>
      <c r="P30">
        <f t="shared" si="4"/>
        <v>26679.445601364681</v>
      </c>
      <c r="Q30" s="144">
        <f t="shared" si="5"/>
        <v>93571218.790930256</v>
      </c>
      <c r="R30" s="144">
        <f t="shared" si="6"/>
        <v>8804.217048450344</v>
      </c>
      <c r="S30" s="144">
        <f t="shared" si="7"/>
        <v>1391774612.1700742</v>
      </c>
      <c r="T30" s="144">
        <f t="shared" si="8"/>
        <v>130953.57660614172</v>
      </c>
    </row>
    <row r="31" spans="1:20" x14ac:dyDescent="0.3">
      <c r="A31">
        <f t="shared" si="10"/>
        <v>42</v>
      </c>
      <c r="B31" s="68">
        <f>((KPI´s!$J$28*(A31/100*'CO2 calculations'!$C$36)+KPI´s!$J$28*((1-A31/100)*'CO2 calculations'!$C$35))/1000000)+KPI´s!J$29/1000000</f>
        <v>503.0981130101024</v>
      </c>
      <c r="C31" s="68">
        <f t="shared" si="9"/>
        <v>165.18311301010237</v>
      </c>
      <c r="D31">
        <v>337.91500000000002</v>
      </c>
      <c r="E31" s="143">
        <f>(KPI´s!$J$28*(1-A31/100))*'CO2 calculations'!E$35</f>
        <v>302398407.36719602</v>
      </c>
      <c r="F31" s="143">
        <f t="shared" si="0"/>
        <v>28452.992789536696</v>
      </c>
      <c r="G31" s="143">
        <f>(KPI´s!$J$28*(A31/100))*'CO2 calculations'!E$36</f>
        <v>132610995.73448999</v>
      </c>
      <c r="H31" s="143">
        <f t="shared" si="1"/>
        <v>12477.511830493977</v>
      </c>
      <c r="I31" s="143">
        <f>C31*'balance sheet'!C$36*1000000</f>
        <v>857961088.97447181</v>
      </c>
      <c r="J31" s="143">
        <f>I31/KPI´s!I$23</f>
        <v>80726.48560166276</v>
      </c>
      <c r="K31" s="143">
        <f t="shared" si="2"/>
        <v>168957500</v>
      </c>
      <c r="L31" s="143">
        <f>K31/KPI´s!I$23</f>
        <v>15897.393677079413</v>
      </c>
      <c r="M31" s="143">
        <f t="shared" si="3"/>
        <v>1461927992.0761578</v>
      </c>
      <c r="N31" s="143">
        <f>M31/KPI´s!I$23</f>
        <v>137554.38389877285</v>
      </c>
      <c r="O31" s="145">
        <f>'balance sheet'!K$35*'Lithium Carbon Offsetting'!C31/3.6*1000000</f>
        <v>276660857.83825862</v>
      </c>
      <c r="P31">
        <f t="shared" si="4"/>
        <v>26031.318953543341</v>
      </c>
      <c r="Q31" s="144">
        <f t="shared" si="5"/>
        <v>91298083.086625353</v>
      </c>
      <c r="R31" s="144">
        <f t="shared" si="6"/>
        <v>8590.3352546693022</v>
      </c>
      <c r="S31" s="144">
        <f t="shared" si="7"/>
        <v>1370629908.9895325</v>
      </c>
      <c r="T31" s="144">
        <f t="shared" si="8"/>
        <v>128964.04864410355</v>
      </c>
    </row>
    <row r="32" spans="1:20" x14ac:dyDescent="0.3">
      <c r="A32">
        <f t="shared" si="10"/>
        <v>43</v>
      </c>
      <c r="B32" s="68">
        <f>((KPI´s!$J$28*(A32/100*'CO2 calculations'!$C$36)+KPI´s!$J$28*((1-A32/100)*'CO2 calculations'!$C$35))/1000000)+KPI´s!J$29/1000000</f>
        <v>498.98539104226836</v>
      </c>
      <c r="C32" s="68">
        <f t="shared" si="9"/>
        <v>161.07039104226834</v>
      </c>
      <c r="D32">
        <v>337.91500000000002</v>
      </c>
      <c r="E32" s="143">
        <f>(KPI´s!$J$28*(1-A32/100))*'CO2 calculations'!E$35</f>
        <v>297184641.72293395</v>
      </c>
      <c r="F32" s="143">
        <f t="shared" si="0"/>
        <v>27962.423948337782</v>
      </c>
      <c r="G32" s="143">
        <f>(KPI´s!$J$28*(A32/100))*'CO2 calculations'!E$36</f>
        <v>135768400.394835</v>
      </c>
      <c r="H32" s="143">
        <f t="shared" si="1"/>
        <v>12774.59544550574</v>
      </c>
      <c r="I32" s="143">
        <f>C32*'balance sheet'!C$36*1000000</f>
        <v>836599611.07354176</v>
      </c>
      <c r="J32" s="143">
        <f>I32/KPI´s!I$23</f>
        <v>78716.561072030658</v>
      </c>
      <c r="K32" s="143">
        <f t="shared" si="2"/>
        <v>168957500</v>
      </c>
      <c r="L32" s="143">
        <f>K32/KPI´s!I$23</f>
        <v>15897.393677079413</v>
      </c>
      <c r="M32" s="143">
        <f t="shared" si="3"/>
        <v>1438510153.1913106</v>
      </c>
      <c r="N32" s="143">
        <f>M32/KPI´s!I$23</f>
        <v>135350.97414295358</v>
      </c>
      <c r="O32" s="145">
        <f>'balance sheet'!K$35*'Lithium Carbon Offsetting'!C32/3.6*1000000</f>
        <v>269772567.82521337</v>
      </c>
      <c r="P32">
        <f t="shared" si="4"/>
        <v>25383.192305721997</v>
      </c>
      <c r="Q32" s="144">
        <f t="shared" si="5"/>
        <v>89024947.382320419</v>
      </c>
      <c r="R32" s="144">
        <f t="shared" si="6"/>
        <v>8376.4534608882586</v>
      </c>
      <c r="S32" s="144">
        <f t="shared" si="7"/>
        <v>1349485205.8089902</v>
      </c>
      <c r="T32" s="144">
        <f t="shared" si="8"/>
        <v>126974.52068206533</v>
      </c>
    </row>
    <row r="33" spans="1:20" x14ac:dyDescent="0.3">
      <c r="A33">
        <f t="shared" si="10"/>
        <v>44</v>
      </c>
      <c r="B33" s="68">
        <f>((KPI´s!$J$28*(A33/100*'CO2 calculations'!$C$36)+KPI´s!$J$28*((1-A33/100)*'CO2 calculations'!$C$35))/1000000)+KPI´s!J$29/1000000</f>
        <v>494.87266907443444</v>
      </c>
      <c r="C33" s="68">
        <f t="shared" si="9"/>
        <v>156.95766907443442</v>
      </c>
      <c r="D33">
        <v>337.91500000000002</v>
      </c>
      <c r="E33" s="143">
        <f>(KPI´s!$J$28*(1-A33/100))*'CO2 calculations'!E$35</f>
        <v>291970876.07867193</v>
      </c>
      <c r="F33" s="143">
        <f t="shared" si="0"/>
        <v>27471.855107138872</v>
      </c>
      <c r="G33" s="143">
        <f>(KPI´s!$J$28*(A33/100))*'CO2 calculations'!E$36</f>
        <v>138925805.05517998</v>
      </c>
      <c r="H33" s="143">
        <f t="shared" si="1"/>
        <v>13071.679060517499</v>
      </c>
      <c r="I33" s="143">
        <f>C33*'balance sheet'!C$36*1000000</f>
        <v>815238133.17261243</v>
      </c>
      <c r="J33" s="143">
        <f>I33/KPI´s!I$23</f>
        <v>76706.636542398614</v>
      </c>
      <c r="K33" s="143">
        <f t="shared" si="2"/>
        <v>168957500</v>
      </c>
      <c r="L33" s="143">
        <f>K33/KPI´s!I$23</f>
        <v>15897.393677079413</v>
      </c>
      <c r="M33" s="143">
        <f t="shared" si="3"/>
        <v>1415092314.3064644</v>
      </c>
      <c r="N33" s="143">
        <f>M33/KPI´s!I$23</f>
        <v>133147.56438713439</v>
      </c>
      <c r="O33" s="145">
        <f>'balance sheet'!K$35*'Lithium Carbon Offsetting'!C33/3.6*1000000</f>
        <v>262884277.81216824</v>
      </c>
      <c r="P33">
        <f t="shared" si="4"/>
        <v>24735.065657900661</v>
      </c>
      <c r="Q33" s="144">
        <f t="shared" si="5"/>
        <v>86751811.67801553</v>
      </c>
      <c r="R33" s="144">
        <f t="shared" si="6"/>
        <v>8162.5716671072196</v>
      </c>
      <c r="S33" s="144">
        <f t="shared" si="7"/>
        <v>1328340502.628449</v>
      </c>
      <c r="T33" s="144">
        <f t="shared" si="8"/>
        <v>124984.99272002719</v>
      </c>
    </row>
    <row r="34" spans="1:20" x14ac:dyDescent="0.3">
      <c r="A34">
        <f t="shared" si="10"/>
        <v>45</v>
      </c>
      <c r="B34" s="68">
        <f>((KPI´s!$J$28*(A34/100*'CO2 calculations'!$C$36)+KPI´s!$J$28*((1-A34/100)*'CO2 calculations'!$C$35))/1000000)+KPI´s!J$29/1000000</f>
        <v>490.75994710660035</v>
      </c>
      <c r="C34" s="68">
        <f t="shared" si="9"/>
        <v>152.84494710660033</v>
      </c>
      <c r="D34">
        <v>337.91500000000002</v>
      </c>
      <c r="E34" s="143">
        <f>(KPI´s!$J$28*(1-A34/100))*'CO2 calculations'!E$35</f>
        <v>286757110.43440992</v>
      </c>
      <c r="F34" s="143">
        <f t="shared" ref="F34:F65" si="11">E34/10628</f>
        <v>26981.286265939962</v>
      </c>
      <c r="G34" s="143">
        <f>(KPI´s!$J$28*(A34/100))*'CO2 calculations'!E$36</f>
        <v>142083209.715525</v>
      </c>
      <c r="H34" s="143">
        <f t="shared" ref="H34:H65" si="12">G34/10628</f>
        <v>13368.762675529262</v>
      </c>
      <c r="I34" s="143">
        <f>C34*'balance sheet'!C$36*1000000</f>
        <v>793876655.27168214</v>
      </c>
      <c r="J34" s="143">
        <f>I34/KPI´s!I$23</f>
        <v>74696.712012766482</v>
      </c>
      <c r="K34" s="143">
        <f t="shared" ref="K34:K65" si="13">500*D34*1000</f>
        <v>168957500</v>
      </c>
      <c r="L34" s="143">
        <f>K34/KPI´s!I$23</f>
        <v>15897.393677079413</v>
      </c>
      <c r="M34" s="143">
        <f t="shared" ref="M34:M65" si="14">K34+I34+G34+E34</f>
        <v>1391674475.421617</v>
      </c>
      <c r="N34" s="143">
        <f>M34/KPI´s!I$23</f>
        <v>130944.15463131512</v>
      </c>
      <c r="O34" s="145">
        <f>'balance sheet'!K$35*'Lithium Carbon Offsetting'!C34/3.6*1000000</f>
        <v>255995987.79912287</v>
      </c>
      <c r="P34">
        <f t="shared" ref="P34:P65" si="15">O34/10628</f>
        <v>24086.939010079306</v>
      </c>
      <c r="Q34" s="144">
        <f t="shared" ref="Q34:Q65" si="16">0.33*O34</f>
        <v>84478675.973710552</v>
      </c>
      <c r="R34" s="144">
        <f t="shared" ref="R34:R65" si="17">Q34/10628</f>
        <v>7948.6898733261714</v>
      </c>
      <c r="S34" s="144">
        <f t="shared" ref="S34:S65" si="18">M34-Q34</f>
        <v>1307195799.4479065</v>
      </c>
      <c r="T34" s="144">
        <f t="shared" ref="T34:T65" si="19">S34/10628</f>
        <v>122995.46475798894</v>
      </c>
    </row>
    <row r="35" spans="1:20" x14ac:dyDescent="0.3">
      <c r="A35">
        <f t="shared" si="10"/>
        <v>46</v>
      </c>
      <c r="B35" s="68">
        <f>((KPI´s!$J$28*(A35/100*'CO2 calculations'!$C$36)+KPI´s!$J$28*((1-A35/100)*'CO2 calculations'!$C$35))/1000000)+KPI´s!J$29/1000000</f>
        <v>486.64722513876637</v>
      </c>
      <c r="C35" s="68">
        <f t="shared" si="9"/>
        <v>148.73222513876635</v>
      </c>
      <c r="D35">
        <v>337.91500000000002</v>
      </c>
      <c r="E35" s="143">
        <f>(KPI´s!$J$28*(1-A35/100))*'CO2 calculations'!E$35</f>
        <v>281543344.79014796</v>
      </c>
      <c r="F35" s="143">
        <f t="shared" si="11"/>
        <v>26490.717424741058</v>
      </c>
      <c r="G35" s="143">
        <f>(KPI´s!$J$28*(A35/100))*'CO2 calculations'!E$36</f>
        <v>145240614.37587002</v>
      </c>
      <c r="H35" s="143">
        <f t="shared" si="12"/>
        <v>13665.846290541025</v>
      </c>
      <c r="I35" s="143">
        <f>C35*'balance sheet'!C$36*1000000</f>
        <v>772515177.37075245</v>
      </c>
      <c r="J35" s="143">
        <f>I35/KPI´s!I$23</f>
        <v>72686.787483134409</v>
      </c>
      <c r="K35" s="143">
        <f t="shared" si="13"/>
        <v>168957500</v>
      </c>
      <c r="L35" s="143">
        <f>K35/KPI´s!I$23</f>
        <v>15897.393677079413</v>
      </c>
      <c r="M35" s="143">
        <f t="shared" si="14"/>
        <v>1368256636.5367706</v>
      </c>
      <c r="N35" s="143">
        <f>M35/KPI´s!I$23</f>
        <v>128740.74487549592</v>
      </c>
      <c r="O35" s="145">
        <f>'balance sheet'!K$35*'Lithium Carbon Offsetting'!C35/3.6*1000000</f>
        <v>249107697.78607771</v>
      </c>
      <c r="P35">
        <f t="shared" si="15"/>
        <v>23438.81236225797</v>
      </c>
      <c r="Q35" s="144">
        <f t="shared" si="16"/>
        <v>82205540.269405648</v>
      </c>
      <c r="R35" s="144">
        <f t="shared" si="17"/>
        <v>7734.8080795451306</v>
      </c>
      <c r="S35" s="144">
        <f t="shared" si="18"/>
        <v>1286051096.267365</v>
      </c>
      <c r="T35" s="144">
        <f t="shared" si="19"/>
        <v>121005.93679595079</v>
      </c>
    </row>
    <row r="36" spans="1:20" x14ac:dyDescent="0.3">
      <c r="A36">
        <f t="shared" si="10"/>
        <v>47</v>
      </c>
      <c r="B36" s="68">
        <f>((KPI´s!$J$28*(A36/100*'CO2 calculations'!$C$36)+KPI´s!$J$28*((1-A36/100)*'CO2 calculations'!$C$35))/1000000)+KPI´s!J$29/1000000</f>
        <v>482.5345031709324</v>
      </c>
      <c r="C36" s="68">
        <f t="shared" si="9"/>
        <v>144.61950317093238</v>
      </c>
      <c r="D36">
        <v>337.91500000000002</v>
      </c>
      <c r="E36" s="143">
        <f>(KPI´s!$J$28*(1-A36/100))*'CO2 calculations'!E$35</f>
        <v>276329579.14588594</v>
      </c>
      <c r="F36" s="143">
        <f t="shared" si="11"/>
        <v>26000.148583542148</v>
      </c>
      <c r="G36" s="143">
        <f>(KPI´s!$J$28*(A36/100))*'CO2 calculations'!E$36</f>
        <v>148398019.03621498</v>
      </c>
      <c r="H36" s="143">
        <f t="shared" si="12"/>
        <v>13962.929905552783</v>
      </c>
      <c r="I36" s="143">
        <f>C36*'balance sheet'!C$36*1000000</f>
        <v>751153699.46982276</v>
      </c>
      <c r="J36" s="143">
        <f>I36/KPI´s!I$23</f>
        <v>70676.862953502336</v>
      </c>
      <c r="K36" s="143">
        <f t="shared" si="13"/>
        <v>168957500</v>
      </c>
      <c r="L36" s="143">
        <f>K36/KPI´s!I$23</f>
        <v>15897.393677079413</v>
      </c>
      <c r="M36" s="143">
        <f t="shared" si="14"/>
        <v>1344838797.6519237</v>
      </c>
      <c r="N36" s="143">
        <f>M36/KPI´s!I$23</f>
        <v>126537.33511967667</v>
      </c>
      <c r="O36" s="145">
        <f>'balance sheet'!K$35*'Lithium Carbon Offsetting'!C36/3.6*1000000</f>
        <v>242219407.77303255</v>
      </c>
      <c r="P36">
        <f t="shared" si="15"/>
        <v>22790.685714436633</v>
      </c>
      <c r="Q36" s="144">
        <f t="shared" si="16"/>
        <v>79932404.565100744</v>
      </c>
      <c r="R36" s="144">
        <f t="shared" si="17"/>
        <v>7520.9262857640897</v>
      </c>
      <c r="S36" s="144">
        <f t="shared" si="18"/>
        <v>1264906393.086823</v>
      </c>
      <c r="T36" s="144">
        <f t="shared" si="19"/>
        <v>119016.40883391259</v>
      </c>
    </row>
    <row r="37" spans="1:20" x14ac:dyDescent="0.3">
      <c r="A37">
        <f t="shared" si="10"/>
        <v>48</v>
      </c>
      <c r="B37" s="68">
        <f>((KPI´s!$J$28*(A37/100*'CO2 calculations'!$C$36)+KPI´s!$J$28*((1-A37/100)*'CO2 calculations'!$C$35))/1000000)+KPI´s!J$29/1000000</f>
        <v>478.42178120309831</v>
      </c>
      <c r="C37" s="68">
        <f t="shared" si="9"/>
        <v>140.50678120309829</v>
      </c>
      <c r="D37">
        <v>337.91500000000002</v>
      </c>
      <c r="E37" s="143">
        <f>(KPI´s!$J$28*(1-A37/100))*'CO2 calculations'!E$35</f>
        <v>271115813.50162393</v>
      </c>
      <c r="F37" s="143">
        <f t="shared" si="11"/>
        <v>25509.579742343238</v>
      </c>
      <c r="G37" s="143">
        <f>(KPI´s!$J$28*(A37/100))*'CO2 calculations'!E$36</f>
        <v>151555423.69656</v>
      </c>
      <c r="H37" s="143">
        <f t="shared" si="12"/>
        <v>14260.013520564546</v>
      </c>
      <c r="I37" s="143">
        <f>C37*'balance sheet'!C$36*1000000</f>
        <v>729792221.56889248</v>
      </c>
      <c r="J37" s="143">
        <f>I37/KPI´s!I$23</f>
        <v>68666.938423870204</v>
      </c>
      <c r="K37" s="143">
        <f t="shared" si="13"/>
        <v>168957500</v>
      </c>
      <c r="L37" s="143">
        <f>K37/KPI´s!I$23</f>
        <v>15897.393677079413</v>
      </c>
      <c r="M37" s="143">
        <f t="shared" si="14"/>
        <v>1321420958.7670765</v>
      </c>
      <c r="N37" s="143">
        <f>M37/KPI´s!I$23</f>
        <v>124333.9253638574</v>
      </c>
      <c r="O37" s="145">
        <f>'balance sheet'!K$35*'Lithium Carbon Offsetting'!C37/3.6*1000000</f>
        <v>235331117.75998721</v>
      </c>
      <c r="P37">
        <f t="shared" si="15"/>
        <v>22142.559066615282</v>
      </c>
      <c r="Q37" s="144">
        <f t="shared" si="16"/>
        <v>77659268.860795781</v>
      </c>
      <c r="R37" s="144">
        <f t="shared" si="17"/>
        <v>7307.0444919830434</v>
      </c>
      <c r="S37" s="144">
        <f t="shared" si="18"/>
        <v>1243761689.9062808</v>
      </c>
      <c r="T37" s="144">
        <f t="shared" si="19"/>
        <v>117026.88087187437</v>
      </c>
    </row>
    <row r="38" spans="1:20" x14ac:dyDescent="0.3">
      <c r="A38">
        <f t="shared" si="10"/>
        <v>49</v>
      </c>
      <c r="B38" s="68">
        <f>((KPI´s!$J$28*(A38/100*'CO2 calculations'!$C$36)+KPI´s!$J$28*((1-A38/100)*'CO2 calculations'!$C$35))/1000000)+KPI´s!J$29/1000000</f>
        <v>474.30905923526433</v>
      </c>
      <c r="C38" s="68">
        <f t="shared" si="9"/>
        <v>136.39405923526431</v>
      </c>
      <c r="D38">
        <v>337.91500000000002</v>
      </c>
      <c r="E38" s="143">
        <f>(KPI´s!$J$28*(1-A38/100))*'CO2 calculations'!E$35</f>
        <v>265902047.85736197</v>
      </c>
      <c r="F38" s="143">
        <f t="shared" si="11"/>
        <v>25019.010901144335</v>
      </c>
      <c r="G38" s="143">
        <f>(KPI´s!$J$28*(A38/100))*'CO2 calculations'!E$36</f>
        <v>154712828.35690498</v>
      </c>
      <c r="H38" s="143">
        <f t="shared" si="12"/>
        <v>14557.097135576307</v>
      </c>
      <c r="I38" s="143">
        <f>C38*'balance sheet'!C$36*1000000</f>
        <v>708430743.66796279</v>
      </c>
      <c r="J38" s="143">
        <f>I38/KPI´s!I$23</f>
        <v>66657.013894238131</v>
      </c>
      <c r="K38" s="143">
        <f t="shared" si="13"/>
        <v>168957500</v>
      </c>
      <c r="L38" s="143">
        <f>K38/KPI´s!I$23</f>
        <v>15897.393677079413</v>
      </c>
      <c r="M38" s="143">
        <f t="shared" si="14"/>
        <v>1298003119.8822298</v>
      </c>
      <c r="N38" s="143">
        <f>M38/KPI´s!I$23</f>
        <v>122130.51560803819</v>
      </c>
      <c r="O38" s="145">
        <f>'balance sheet'!K$35*'Lithium Carbon Offsetting'!C38/3.6*1000000</f>
        <v>228442827.74694204</v>
      </c>
      <c r="P38">
        <f t="shared" si="15"/>
        <v>21494.432418793946</v>
      </c>
      <c r="Q38" s="144">
        <f t="shared" si="16"/>
        <v>75386133.156490877</v>
      </c>
      <c r="R38" s="144">
        <f t="shared" si="17"/>
        <v>7093.1626982020016</v>
      </c>
      <c r="S38" s="144">
        <f t="shared" si="18"/>
        <v>1222616986.725739</v>
      </c>
      <c r="T38" s="144">
        <f t="shared" si="19"/>
        <v>115037.35290983619</v>
      </c>
    </row>
    <row r="39" spans="1:20" x14ac:dyDescent="0.3">
      <c r="A39">
        <f t="shared" si="10"/>
        <v>50</v>
      </c>
      <c r="B39" s="68">
        <f>((KPI´s!$J$28*(A39/100*'CO2 calculations'!$C$36)+KPI´s!$J$28*((1-A39/100)*'CO2 calculations'!$C$35))/1000000)+KPI´s!J$29/1000000</f>
        <v>470.19633726743041</v>
      </c>
      <c r="C39" s="68">
        <f t="shared" si="9"/>
        <v>132.28133726743039</v>
      </c>
      <c r="D39">
        <v>337.91500000000002</v>
      </c>
      <c r="E39" s="143">
        <f>(KPI´s!$J$28*(1-A39/100))*'CO2 calculations'!E$35</f>
        <v>260688282.21309996</v>
      </c>
      <c r="F39" s="143">
        <f t="shared" si="11"/>
        <v>24528.442059945424</v>
      </c>
      <c r="G39" s="143">
        <f>(KPI´s!$J$28*(A39/100))*'CO2 calculations'!E$36</f>
        <v>157870233.01725</v>
      </c>
      <c r="H39" s="143">
        <f t="shared" si="12"/>
        <v>14854.18075058807</v>
      </c>
      <c r="I39" s="143">
        <f>C39*'balance sheet'!C$36*1000000</f>
        <v>687069265.76703346</v>
      </c>
      <c r="J39" s="143">
        <f>I39/KPI´s!I$23</f>
        <v>64647.089364606087</v>
      </c>
      <c r="K39" s="143">
        <f t="shared" si="13"/>
        <v>168957500</v>
      </c>
      <c r="L39" s="143">
        <f>K39/KPI´s!I$23</f>
        <v>15897.393677079413</v>
      </c>
      <c r="M39" s="143">
        <f t="shared" si="14"/>
        <v>1274585280.9973834</v>
      </c>
      <c r="N39" s="143">
        <f>M39/KPI´s!I$23</f>
        <v>119927.10585221899</v>
      </c>
      <c r="O39" s="145">
        <f>'balance sheet'!K$35*'Lithium Carbon Offsetting'!C39/3.6*1000000</f>
        <v>221554537.73389697</v>
      </c>
      <c r="P39">
        <f t="shared" si="15"/>
        <v>20846.305770972616</v>
      </c>
      <c r="Q39" s="144">
        <f t="shared" si="16"/>
        <v>73112997.452186003</v>
      </c>
      <c r="R39" s="144">
        <f t="shared" si="17"/>
        <v>6879.2809044209635</v>
      </c>
      <c r="S39" s="144">
        <f t="shared" si="18"/>
        <v>1201472283.5451972</v>
      </c>
      <c r="T39" s="144">
        <f t="shared" si="19"/>
        <v>113047.82494779801</v>
      </c>
    </row>
    <row r="40" spans="1:20" x14ac:dyDescent="0.3">
      <c r="A40">
        <f t="shared" si="10"/>
        <v>51</v>
      </c>
      <c r="B40" s="68">
        <f>((KPI´s!$J$28*(A40/100*'CO2 calculations'!$C$36)+KPI´s!$J$28*((1-A40/100)*'CO2 calculations'!$C$35))/1000000)+KPI´s!J$29/1000000</f>
        <v>466.08361529959637</v>
      </c>
      <c r="C40" s="68">
        <f t="shared" si="9"/>
        <v>128.16861529959635</v>
      </c>
      <c r="D40">
        <v>337.91500000000002</v>
      </c>
      <c r="E40" s="143">
        <f>(KPI´s!$J$28*(1-A40/100))*'CO2 calculations'!E$35</f>
        <v>255474516.56883794</v>
      </c>
      <c r="F40" s="143">
        <f t="shared" si="11"/>
        <v>24037.873218746514</v>
      </c>
      <c r="G40" s="143">
        <f>(KPI´s!$J$28*(A40/100))*'CO2 calculations'!E$36</f>
        <v>161027637.67759502</v>
      </c>
      <c r="H40" s="143">
        <f t="shared" si="12"/>
        <v>15151.264365599833</v>
      </c>
      <c r="I40" s="143">
        <f>C40*'balance sheet'!C$36*1000000</f>
        <v>665707787.86610341</v>
      </c>
      <c r="J40" s="143">
        <f>I40/KPI´s!I$23</f>
        <v>62637.164834973977</v>
      </c>
      <c r="K40" s="143">
        <f t="shared" si="13"/>
        <v>168957500</v>
      </c>
      <c r="L40" s="143">
        <f>K40/KPI´s!I$23</f>
        <v>15897.393677079413</v>
      </c>
      <c r="M40" s="143">
        <f t="shared" si="14"/>
        <v>1251167442.1125364</v>
      </c>
      <c r="N40" s="143">
        <f>M40/KPI´s!I$23</f>
        <v>117723.69609639974</v>
      </c>
      <c r="O40" s="145">
        <f>'balance sheet'!K$35*'Lithium Carbon Offsetting'!C40/3.6*1000000</f>
        <v>214666247.72085172</v>
      </c>
      <c r="P40">
        <f t="shared" si="15"/>
        <v>20198.179123151273</v>
      </c>
      <c r="Q40" s="144">
        <f t="shared" si="16"/>
        <v>70839861.74788107</v>
      </c>
      <c r="R40" s="144">
        <f t="shared" si="17"/>
        <v>6665.3991106399199</v>
      </c>
      <c r="S40" s="144">
        <f t="shared" si="18"/>
        <v>1180327580.3646553</v>
      </c>
      <c r="T40" s="144">
        <f t="shared" si="19"/>
        <v>111058.29698575981</v>
      </c>
    </row>
    <row r="41" spans="1:20" x14ac:dyDescent="0.3">
      <c r="A41">
        <f t="shared" si="10"/>
        <v>52</v>
      </c>
      <c r="B41" s="68">
        <f>((KPI´s!$J$28*(A41/100*'CO2 calculations'!$C$36)+KPI´s!$J$28*((1-A41/100)*'CO2 calculations'!$C$35))/1000000)+KPI´s!J$29/1000000</f>
        <v>461.97089333176234</v>
      </c>
      <c r="C41" s="68">
        <f t="shared" si="9"/>
        <v>124.05589333176232</v>
      </c>
      <c r="D41">
        <v>337.91500000000002</v>
      </c>
      <c r="E41" s="143">
        <f>(KPI´s!$J$28*(1-A41/100))*'CO2 calculations'!E$35</f>
        <v>250260750.92457595</v>
      </c>
      <c r="F41" s="143">
        <f t="shared" si="11"/>
        <v>23547.304377547607</v>
      </c>
      <c r="G41" s="143">
        <f>(KPI´s!$J$28*(A41/100))*'CO2 calculations'!E$36</f>
        <v>164185042.33793998</v>
      </c>
      <c r="H41" s="143">
        <f t="shared" si="12"/>
        <v>15448.34798061159</v>
      </c>
      <c r="I41" s="143">
        <f>C41*'balance sheet'!C$36*1000000</f>
        <v>644346309.96517348</v>
      </c>
      <c r="J41" s="143">
        <f>I41/KPI´s!I$23</f>
        <v>60627.240305341875</v>
      </c>
      <c r="K41" s="143">
        <f t="shared" si="13"/>
        <v>168957500</v>
      </c>
      <c r="L41" s="143">
        <f>K41/KPI´s!I$23</f>
        <v>15897.393677079413</v>
      </c>
      <c r="M41" s="143">
        <f t="shared" si="14"/>
        <v>1227749603.2276895</v>
      </c>
      <c r="N41" s="143">
        <f>M41/KPI´s!I$23</f>
        <v>115520.2863405805</v>
      </c>
      <c r="O41" s="145">
        <f>'balance sheet'!K$35*'Lithium Carbon Offsetting'!C41/3.6*1000000</f>
        <v>207777957.70780644</v>
      </c>
      <c r="P41">
        <f t="shared" si="15"/>
        <v>19550.052475329925</v>
      </c>
      <c r="Q41" s="144">
        <f t="shared" si="16"/>
        <v>68566726.043576121</v>
      </c>
      <c r="R41" s="144">
        <f t="shared" si="17"/>
        <v>6451.5173168588744</v>
      </c>
      <c r="S41" s="144">
        <f t="shared" si="18"/>
        <v>1159182877.1841135</v>
      </c>
      <c r="T41" s="144">
        <f t="shared" si="19"/>
        <v>109068.76902372163</v>
      </c>
    </row>
    <row r="42" spans="1:20" x14ac:dyDescent="0.3">
      <c r="A42">
        <f t="shared" si="10"/>
        <v>53</v>
      </c>
      <c r="B42" s="68">
        <f>((KPI´s!$J$28*(A42/100*'CO2 calculations'!$C$36)+KPI´s!$J$28*((1-A42/100)*'CO2 calculations'!$C$35))/1000000)+KPI´s!J$29/1000000</f>
        <v>457.85817136392836</v>
      </c>
      <c r="C42" s="68">
        <f t="shared" si="9"/>
        <v>119.94317136392834</v>
      </c>
      <c r="D42">
        <v>337.91500000000002</v>
      </c>
      <c r="E42" s="143">
        <f>(KPI´s!$J$28*(1-A42/100))*'CO2 calculations'!E$35</f>
        <v>245046985.28031394</v>
      </c>
      <c r="F42" s="143">
        <f t="shared" si="11"/>
        <v>23056.735536348697</v>
      </c>
      <c r="G42" s="143">
        <f>(KPI´s!$J$28*(A42/100))*'CO2 calculations'!E$36</f>
        <v>167342446.998285</v>
      </c>
      <c r="H42" s="143">
        <f t="shared" si="12"/>
        <v>15745.431595623353</v>
      </c>
      <c r="I42" s="143">
        <f>C42*'balance sheet'!C$36*1000000</f>
        <v>622984832.06424379</v>
      </c>
      <c r="J42" s="143">
        <f>I42/KPI´s!I$23</f>
        <v>58617.315775709802</v>
      </c>
      <c r="K42" s="143">
        <f t="shared" si="13"/>
        <v>168957500</v>
      </c>
      <c r="L42" s="143">
        <f>K42/KPI´s!I$23</f>
        <v>15897.393677079413</v>
      </c>
      <c r="M42" s="143">
        <f t="shared" si="14"/>
        <v>1204331764.3428428</v>
      </c>
      <c r="N42" s="143">
        <f>M42/KPI´s!I$23</f>
        <v>113316.87658476127</v>
      </c>
      <c r="O42" s="145">
        <f>'balance sheet'!K$35*'Lithium Carbon Offsetting'!C42/3.6*1000000</f>
        <v>200889667.69476128</v>
      </c>
      <c r="P42">
        <f t="shared" si="15"/>
        <v>18901.925827508589</v>
      </c>
      <c r="Q42" s="144">
        <f t="shared" si="16"/>
        <v>66293590.339271225</v>
      </c>
      <c r="R42" s="144">
        <f t="shared" si="17"/>
        <v>6237.6355230778345</v>
      </c>
      <c r="S42" s="144">
        <f t="shared" si="18"/>
        <v>1138038174.0035715</v>
      </c>
      <c r="T42" s="144">
        <f t="shared" si="19"/>
        <v>107079.24106168344</v>
      </c>
    </row>
    <row r="43" spans="1:20" x14ac:dyDescent="0.3">
      <c r="A43">
        <f t="shared" si="10"/>
        <v>54</v>
      </c>
      <c r="B43" s="68">
        <f>((KPI´s!$J$28*(A43/100*'CO2 calculations'!$C$36)+KPI´s!$J$28*((1-A43/100)*'CO2 calculations'!$C$35))/1000000)+KPI´s!J$29/1000000</f>
        <v>453.74544939609433</v>
      </c>
      <c r="C43" s="68">
        <f t="shared" si="9"/>
        <v>115.83044939609431</v>
      </c>
      <c r="D43">
        <v>337.91500000000002</v>
      </c>
      <c r="E43" s="143">
        <f>(KPI´s!$J$28*(1-A43/100))*'CO2 calculations'!E$35</f>
        <v>239833219.63605192</v>
      </c>
      <c r="F43" s="143">
        <f t="shared" si="11"/>
        <v>22566.166695149786</v>
      </c>
      <c r="G43" s="143">
        <f>(KPI´s!$J$28*(A43/100))*'CO2 calculations'!E$36</f>
        <v>170499851.65863001</v>
      </c>
      <c r="H43" s="143">
        <f t="shared" si="12"/>
        <v>16042.515210635116</v>
      </c>
      <c r="I43" s="143">
        <f>C43*'balance sheet'!C$36*1000000</f>
        <v>601623354.16331387</v>
      </c>
      <c r="J43" s="143">
        <f>I43/KPI´s!I$23</f>
        <v>56607.391246077706</v>
      </c>
      <c r="K43" s="143">
        <f t="shared" si="13"/>
        <v>168957500</v>
      </c>
      <c r="L43" s="143">
        <f>K43/KPI´s!I$23</f>
        <v>15897.393677079413</v>
      </c>
      <c r="M43" s="143">
        <f t="shared" si="14"/>
        <v>1180913925.4579959</v>
      </c>
      <c r="N43" s="143">
        <f>M43/KPI´s!I$23</f>
        <v>111113.46682894204</v>
      </c>
      <c r="O43" s="145">
        <f>'balance sheet'!K$35*'Lithium Carbon Offsetting'!C43/3.6*1000000</f>
        <v>194001377.681716</v>
      </c>
      <c r="P43">
        <f t="shared" si="15"/>
        <v>18253.799179687241</v>
      </c>
      <c r="Q43" s="144">
        <f t="shared" si="16"/>
        <v>64020454.634966284</v>
      </c>
      <c r="R43" s="144">
        <f t="shared" si="17"/>
        <v>6023.75372929679</v>
      </c>
      <c r="S43" s="144">
        <f t="shared" si="18"/>
        <v>1116893470.8230295</v>
      </c>
      <c r="T43" s="144">
        <f t="shared" si="19"/>
        <v>105089.71309964523</v>
      </c>
    </row>
    <row r="44" spans="1:20" x14ac:dyDescent="0.3">
      <c r="A44">
        <f t="shared" si="10"/>
        <v>55</v>
      </c>
      <c r="B44" s="68">
        <f>((KPI´s!$J$28*(A44/100*'CO2 calculations'!$C$36)+KPI´s!$J$28*((1-A44/100)*'CO2 calculations'!$C$35))/1000000)+KPI´s!J$29/1000000</f>
        <v>449.63272742826035</v>
      </c>
      <c r="C44" s="68">
        <f t="shared" si="9"/>
        <v>111.71772742826033</v>
      </c>
      <c r="D44">
        <v>337.91500000000002</v>
      </c>
      <c r="E44" s="143">
        <f>(KPI´s!$J$28*(1-A44/100))*'CO2 calculations'!E$35</f>
        <v>234619453.99178994</v>
      </c>
      <c r="F44" s="143">
        <f t="shared" si="11"/>
        <v>22075.59785395088</v>
      </c>
      <c r="G44" s="143">
        <f>(KPI´s!$J$28*(A44/100))*'CO2 calculations'!E$36</f>
        <v>173657256.318975</v>
      </c>
      <c r="H44" s="143">
        <f t="shared" si="12"/>
        <v>16339.598825646877</v>
      </c>
      <c r="I44" s="143">
        <f>C44*'balance sheet'!C$36*1000000</f>
        <v>580261876.26238418</v>
      </c>
      <c r="J44" s="143">
        <f>I44/KPI´s!I$23</f>
        <v>54597.466716445633</v>
      </c>
      <c r="K44" s="143">
        <f t="shared" si="13"/>
        <v>168957500</v>
      </c>
      <c r="L44" s="143">
        <f>K44/KPI´s!I$23</f>
        <v>15897.393677079413</v>
      </c>
      <c r="M44" s="143">
        <f t="shared" si="14"/>
        <v>1157496086.5731492</v>
      </c>
      <c r="N44" s="143">
        <f>M44/KPI´s!I$23</f>
        <v>108910.05707312281</v>
      </c>
      <c r="O44" s="145">
        <f>'balance sheet'!K$35*'Lithium Carbon Offsetting'!C44/3.6*1000000</f>
        <v>187113087.66867086</v>
      </c>
      <c r="P44">
        <f t="shared" si="15"/>
        <v>17605.672531865908</v>
      </c>
      <c r="Q44" s="144">
        <f t="shared" si="16"/>
        <v>61747318.930661388</v>
      </c>
      <c r="R44" s="144">
        <f t="shared" si="17"/>
        <v>5809.87193551575</v>
      </c>
      <c r="S44" s="144">
        <f t="shared" si="18"/>
        <v>1095748767.6424878</v>
      </c>
      <c r="T44" s="144">
        <f t="shared" si="19"/>
        <v>103100.18513760706</v>
      </c>
    </row>
    <row r="45" spans="1:20" x14ac:dyDescent="0.3">
      <c r="A45">
        <f t="shared" si="10"/>
        <v>56</v>
      </c>
      <c r="B45" s="68">
        <f>((KPI´s!$J$28*(A45/100*'CO2 calculations'!$C$36)+KPI´s!$J$28*((1-A45/100)*'CO2 calculations'!$C$35))/1000000)+KPI´s!J$29/1000000</f>
        <v>445.52000546042638</v>
      </c>
      <c r="C45" s="68">
        <f t="shared" si="9"/>
        <v>107.60500546042636</v>
      </c>
      <c r="D45">
        <v>337.91500000000002</v>
      </c>
      <c r="E45" s="143">
        <f>(KPI´s!$J$28*(1-A45/100))*'CO2 calculations'!E$35</f>
        <v>229405688.34752792</v>
      </c>
      <c r="F45" s="143">
        <f t="shared" si="11"/>
        <v>21585.029012751969</v>
      </c>
      <c r="G45" s="143">
        <f>(KPI´s!$J$28*(A45/100))*'CO2 calculations'!E$36</f>
        <v>176814660.97931999</v>
      </c>
      <c r="H45" s="143">
        <f t="shared" si="12"/>
        <v>16636.682440658638</v>
      </c>
      <c r="I45" s="143">
        <f>C45*'balance sheet'!C$36*1000000</f>
        <v>558900398.36145449</v>
      </c>
      <c r="J45" s="143">
        <f>I45/KPI´s!I$23</f>
        <v>52587.54218681356</v>
      </c>
      <c r="K45" s="143">
        <f t="shared" si="13"/>
        <v>168957500</v>
      </c>
      <c r="L45" s="143">
        <f>K45/KPI´s!I$23</f>
        <v>15897.393677079413</v>
      </c>
      <c r="M45" s="143">
        <f t="shared" si="14"/>
        <v>1134078247.6883025</v>
      </c>
      <c r="N45" s="143">
        <f>M45/KPI´s!I$23</f>
        <v>106706.64731730359</v>
      </c>
      <c r="O45" s="145">
        <f>'balance sheet'!K$35*'Lithium Carbon Offsetting'!C45/3.6*1000000</f>
        <v>180224797.6556257</v>
      </c>
      <c r="P45">
        <f t="shared" si="15"/>
        <v>16957.545884044572</v>
      </c>
      <c r="Q45" s="144">
        <f t="shared" si="16"/>
        <v>59474183.226356484</v>
      </c>
      <c r="R45" s="144">
        <f t="shared" si="17"/>
        <v>5595.9901417347091</v>
      </c>
      <c r="S45" s="144">
        <f t="shared" si="18"/>
        <v>1074604064.461946</v>
      </c>
      <c r="T45" s="144">
        <f t="shared" si="19"/>
        <v>101110.65717556888</v>
      </c>
    </row>
    <row r="46" spans="1:20" x14ac:dyDescent="0.3">
      <c r="A46">
        <f t="shared" si="10"/>
        <v>57</v>
      </c>
      <c r="B46" s="68">
        <f>((KPI´s!$J$28*(A46/100*'CO2 calculations'!$C$36)+KPI´s!$J$28*((1-A46/100)*'CO2 calculations'!$C$35))/1000000)+KPI´s!J$29/1000000</f>
        <v>441.4072834925924</v>
      </c>
      <c r="C46" s="68">
        <f t="shared" si="9"/>
        <v>103.49228349259238</v>
      </c>
      <c r="D46">
        <v>337.91500000000002</v>
      </c>
      <c r="E46" s="143">
        <f>(KPI´s!$J$28*(1-A46/100))*'CO2 calculations'!E$35</f>
        <v>224191922.70326596</v>
      </c>
      <c r="F46" s="143">
        <f t="shared" si="11"/>
        <v>21094.460171553063</v>
      </c>
      <c r="G46" s="143">
        <f>(KPI´s!$J$28*(A46/100))*'CO2 calculations'!E$36</f>
        <v>179972065.63966498</v>
      </c>
      <c r="H46" s="143">
        <f t="shared" si="12"/>
        <v>16933.766055670396</v>
      </c>
      <c r="I46" s="143">
        <f>C46*'balance sheet'!C$36*1000000</f>
        <v>537538920.4605248</v>
      </c>
      <c r="J46" s="143">
        <f>I46/KPI´s!I$23</f>
        <v>50577.617657181479</v>
      </c>
      <c r="K46" s="143">
        <f t="shared" si="13"/>
        <v>168957500</v>
      </c>
      <c r="L46" s="143">
        <f>K46/KPI´s!I$23</f>
        <v>15897.393677079413</v>
      </c>
      <c r="M46" s="143">
        <f t="shared" si="14"/>
        <v>1110660408.8034558</v>
      </c>
      <c r="N46" s="143">
        <f>M46/KPI´s!I$23</f>
        <v>104503.23756148436</v>
      </c>
      <c r="O46" s="145">
        <f>'balance sheet'!K$35*'Lithium Carbon Offsetting'!C46/3.6*1000000</f>
        <v>173336507.64258054</v>
      </c>
      <c r="P46">
        <f t="shared" si="15"/>
        <v>16309.419236223235</v>
      </c>
      <c r="Q46" s="144">
        <f t="shared" si="16"/>
        <v>57201047.52205158</v>
      </c>
      <c r="R46" s="144">
        <f t="shared" si="17"/>
        <v>5382.1083479536674</v>
      </c>
      <c r="S46" s="144">
        <f t="shared" si="18"/>
        <v>1053459361.2814043</v>
      </c>
      <c r="T46" s="144">
        <f t="shared" si="19"/>
        <v>99121.129213530701</v>
      </c>
    </row>
    <row r="47" spans="1:20" x14ac:dyDescent="0.3">
      <c r="A47">
        <f t="shared" si="10"/>
        <v>58</v>
      </c>
      <c r="B47" s="68">
        <f>((KPI´s!$J$28*(A47/100*'CO2 calculations'!$C$36)+KPI´s!$J$28*((1-A47/100)*'CO2 calculations'!$C$35))/1000000)+KPI´s!J$29/1000000</f>
        <v>437.29456152475836</v>
      </c>
      <c r="C47" s="68">
        <f t="shared" si="9"/>
        <v>99.379561524758344</v>
      </c>
      <c r="D47">
        <v>337.91500000000002</v>
      </c>
      <c r="E47" s="143">
        <f>(KPI´s!$J$28*(1-A47/100))*'CO2 calculations'!E$35</f>
        <v>218978157.05900398</v>
      </c>
      <c r="F47" s="143">
        <f t="shared" si="11"/>
        <v>20603.891330354156</v>
      </c>
      <c r="G47" s="143">
        <f>(KPI´s!$J$28*(A47/100))*'CO2 calculations'!E$36</f>
        <v>183129470.30000997</v>
      </c>
      <c r="H47" s="143">
        <f t="shared" si="12"/>
        <v>17230.849670682157</v>
      </c>
      <c r="I47" s="143">
        <f>C47*'balance sheet'!C$36*1000000</f>
        <v>516177442.55959487</v>
      </c>
      <c r="J47" s="143">
        <f>I47/KPI´s!I$23</f>
        <v>48567.693127549384</v>
      </c>
      <c r="K47" s="143">
        <f t="shared" si="13"/>
        <v>168957500</v>
      </c>
      <c r="L47" s="143">
        <f>K47/KPI´s!I$23</f>
        <v>15897.393677079413</v>
      </c>
      <c r="M47" s="143">
        <f t="shared" si="14"/>
        <v>1087242569.9186089</v>
      </c>
      <c r="N47" s="143">
        <f>M47/KPI´s!I$23</f>
        <v>102299.82780566512</v>
      </c>
      <c r="O47" s="145">
        <f>'balance sheet'!K$35*'Lithium Carbon Offsetting'!C47/3.6*1000000</f>
        <v>166448217.62953526</v>
      </c>
      <c r="P47">
        <f t="shared" si="15"/>
        <v>15661.292588401888</v>
      </c>
      <c r="Q47" s="144">
        <f t="shared" si="16"/>
        <v>54927911.817746639</v>
      </c>
      <c r="R47" s="144">
        <f t="shared" si="17"/>
        <v>5168.2265541726229</v>
      </c>
      <c r="S47" s="144">
        <f t="shared" si="18"/>
        <v>1032314658.1008623</v>
      </c>
      <c r="T47" s="144">
        <f t="shared" si="19"/>
        <v>97131.601251492495</v>
      </c>
    </row>
    <row r="48" spans="1:20" x14ac:dyDescent="0.3">
      <c r="A48">
        <f t="shared" si="10"/>
        <v>59</v>
      </c>
      <c r="B48" s="68">
        <f>((KPI´s!$J$28*(A48/100*'CO2 calculations'!$C$36)+KPI´s!$J$28*((1-A48/100)*'CO2 calculations'!$C$35))/1000000)+KPI´s!J$29/1000000</f>
        <v>433.18183955692439</v>
      </c>
      <c r="C48" s="68">
        <f t="shared" si="9"/>
        <v>95.266839556924367</v>
      </c>
      <c r="D48">
        <v>337.91500000000002</v>
      </c>
      <c r="E48" s="143">
        <f>(KPI´s!$J$28*(1-A48/100))*'CO2 calculations'!E$35</f>
        <v>213764391.41474196</v>
      </c>
      <c r="F48" s="143">
        <f t="shared" si="11"/>
        <v>20113.322489155245</v>
      </c>
      <c r="G48" s="143">
        <f>(KPI´s!$J$28*(A48/100))*'CO2 calculations'!E$36</f>
        <v>186286874.96035498</v>
      </c>
      <c r="H48" s="143">
        <f t="shared" si="12"/>
        <v>17527.933285693922</v>
      </c>
      <c r="I48" s="143">
        <f>C48*'balance sheet'!C$36*1000000</f>
        <v>494815964.65866518</v>
      </c>
      <c r="J48" s="143">
        <f>I48/KPI´s!I$23</f>
        <v>46557.768597917311</v>
      </c>
      <c r="K48" s="143">
        <f t="shared" si="13"/>
        <v>168957500</v>
      </c>
      <c r="L48" s="143">
        <f>K48/KPI´s!I$23</f>
        <v>15897.393677079413</v>
      </c>
      <c r="M48" s="143">
        <f t="shared" si="14"/>
        <v>1063824731.0337622</v>
      </c>
      <c r="N48" s="143">
        <f>M48/KPI´s!I$23</f>
        <v>100096.4180498459</v>
      </c>
      <c r="O48" s="145">
        <f>'balance sheet'!K$35*'Lithium Carbon Offsetting'!C48/3.6*1000000</f>
        <v>159559927.61649013</v>
      </c>
      <c r="P48">
        <f t="shared" si="15"/>
        <v>15013.165940580553</v>
      </c>
      <c r="Q48" s="144">
        <f t="shared" si="16"/>
        <v>52654776.113441743</v>
      </c>
      <c r="R48" s="144">
        <f t="shared" si="17"/>
        <v>4954.3447603915829</v>
      </c>
      <c r="S48" s="144">
        <f t="shared" si="18"/>
        <v>1011169954.9203205</v>
      </c>
      <c r="T48" s="144">
        <f t="shared" si="19"/>
        <v>95142.073289454318</v>
      </c>
    </row>
    <row r="49" spans="1:20" x14ac:dyDescent="0.3">
      <c r="A49">
        <f t="shared" si="10"/>
        <v>60</v>
      </c>
      <c r="B49" s="68">
        <f>((KPI´s!$J$28*(A49/100*'CO2 calculations'!$C$36)+KPI´s!$J$28*((1-A49/100)*'CO2 calculations'!$C$35))/1000000)+KPI´s!J$29/1000000</f>
        <v>429.06911758909035</v>
      </c>
      <c r="C49" s="68">
        <f t="shared" si="9"/>
        <v>91.154117589090333</v>
      </c>
      <c r="D49">
        <v>337.91500000000002</v>
      </c>
      <c r="E49" s="143">
        <f>(KPI´s!$J$28*(1-A49/100))*'CO2 calculations'!E$35</f>
        <v>208550625.77047995</v>
      </c>
      <c r="F49" s="143">
        <f t="shared" si="11"/>
        <v>19622.753647956335</v>
      </c>
      <c r="G49" s="143">
        <f>(KPI´s!$J$28*(A49/100))*'CO2 calculations'!E$36</f>
        <v>189444279.6207</v>
      </c>
      <c r="H49" s="143">
        <f t="shared" si="12"/>
        <v>17825.016900705683</v>
      </c>
      <c r="I49" s="143">
        <f>C49*'balance sheet'!C$36*1000000</f>
        <v>473454486.75773519</v>
      </c>
      <c r="J49" s="143">
        <f>I49/KPI´s!I$23</f>
        <v>44547.844068285209</v>
      </c>
      <c r="K49" s="143">
        <f t="shared" si="13"/>
        <v>168957500</v>
      </c>
      <c r="L49" s="143">
        <f>K49/KPI´s!I$23</f>
        <v>15897.393677079413</v>
      </c>
      <c r="M49" s="143">
        <f t="shared" si="14"/>
        <v>1040406892.1489152</v>
      </c>
      <c r="N49" s="143">
        <f>M49/KPI´s!I$23</f>
        <v>97893.008294026644</v>
      </c>
      <c r="O49" s="145">
        <f>'balance sheet'!K$35*'Lithium Carbon Offsetting'!C49/3.6*1000000</f>
        <v>152671637.60344484</v>
      </c>
      <c r="P49">
        <f t="shared" si="15"/>
        <v>14365.039292759206</v>
      </c>
      <c r="Q49" s="144">
        <f t="shared" si="16"/>
        <v>50381640.409136802</v>
      </c>
      <c r="R49" s="144">
        <f t="shared" si="17"/>
        <v>4740.4629666105384</v>
      </c>
      <c r="S49" s="144">
        <f t="shared" si="18"/>
        <v>990025251.7397784</v>
      </c>
      <c r="T49" s="144">
        <f t="shared" si="19"/>
        <v>93152.545327416112</v>
      </c>
    </row>
    <row r="50" spans="1:20" x14ac:dyDescent="0.3">
      <c r="A50">
        <f t="shared" si="10"/>
        <v>61</v>
      </c>
      <c r="B50" s="68">
        <f>((KPI´s!$J$28*(A50/100*'CO2 calculations'!$C$36)+KPI´s!$J$28*((1-A50/100)*'CO2 calculations'!$C$35))/1000000)+KPI´s!J$29/1000000</f>
        <v>424.95639562125638</v>
      </c>
      <c r="C50" s="68">
        <f t="shared" si="9"/>
        <v>87.041395621256356</v>
      </c>
      <c r="D50">
        <v>337.91500000000002</v>
      </c>
      <c r="E50" s="143">
        <f>(KPI´s!$J$28*(1-A50/100))*'CO2 calculations'!E$35</f>
        <v>203336860.12621796</v>
      </c>
      <c r="F50" s="143">
        <f t="shared" si="11"/>
        <v>19132.184806757428</v>
      </c>
      <c r="G50" s="143">
        <f>(KPI´s!$J$28*(A50/100))*'CO2 calculations'!E$36</f>
        <v>192601684.28104496</v>
      </c>
      <c r="H50" s="143">
        <f t="shared" si="12"/>
        <v>18122.10051571744</v>
      </c>
      <c r="I50" s="143">
        <f>C50*'balance sheet'!C$36*1000000</f>
        <v>452093008.8568055</v>
      </c>
      <c r="J50" s="143">
        <f>I50/KPI´s!I$23</f>
        <v>42537.919538653136</v>
      </c>
      <c r="K50" s="143">
        <f t="shared" si="13"/>
        <v>168957500</v>
      </c>
      <c r="L50" s="143">
        <f>K50/KPI´s!I$23</f>
        <v>15897.393677079413</v>
      </c>
      <c r="M50" s="143">
        <f t="shared" si="14"/>
        <v>1016989053.2640685</v>
      </c>
      <c r="N50" s="143">
        <f>M50/KPI´s!I$23</f>
        <v>95689.598538207429</v>
      </c>
      <c r="O50" s="145">
        <f>'balance sheet'!K$35*'Lithium Carbon Offsetting'!C50/3.6*1000000</f>
        <v>145783347.59039968</v>
      </c>
      <c r="P50">
        <f t="shared" si="15"/>
        <v>13716.912644937869</v>
      </c>
      <c r="Q50" s="144">
        <f t="shared" si="16"/>
        <v>48108504.704831898</v>
      </c>
      <c r="R50" s="144">
        <f t="shared" si="17"/>
        <v>4526.5811728294975</v>
      </c>
      <c r="S50" s="144">
        <f t="shared" si="18"/>
        <v>968880548.55923653</v>
      </c>
      <c r="T50" s="144">
        <f t="shared" si="19"/>
        <v>91163.01736537792</v>
      </c>
    </row>
    <row r="51" spans="1:20" x14ac:dyDescent="0.3">
      <c r="A51">
        <f t="shared" si="10"/>
        <v>62</v>
      </c>
      <c r="B51" s="68">
        <f>((KPI´s!$J$28*(A51/100*'CO2 calculations'!$C$36)+KPI´s!$J$28*((1-A51/100)*'CO2 calculations'!$C$35))/1000000)+KPI´s!J$29/1000000</f>
        <v>420.8436736534224</v>
      </c>
      <c r="C51" s="68">
        <f t="shared" si="9"/>
        <v>82.928673653422379</v>
      </c>
      <c r="D51">
        <v>337.91500000000002</v>
      </c>
      <c r="E51" s="143">
        <f>(KPI´s!$J$28*(1-A51/100))*'CO2 calculations'!E$35</f>
        <v>198123094.48195598</v>
      </c>
      <c r="F51" s="143">
        <f t="shared" si="11"/>
        <v>18641.615965558522</v>
      </c>
      <c r="G51" s="143">
        <f>(KPI´s!$J$28*(A51/100))*'CO2 calculations'!E$36</f>
        <v>195759088.94138998</v>
      </c>
      <c r="H51" s="143">
        <f t="shared" si="12"/>
        <v>18419.184130729205</v>
      </c>
      <c r="I51" s="143">
        <f>C51*'balance sheet'!C$36*1000000</f>
        <v>430731530.95587581</v>
      </c>
      <c r="J51" s="143">
        <f>I51/KPI´s!I$23</f>
        <v>40527.995009021062</v>
      </c>
      <c r="K51" s="143">
        <f t="shared" si="13"/>
        <v>168957500</v>
      </c>
      <c r="L51" s="143">
        <f>K51/KPI´s!I$23</f>
        <v>15897.393677079413</v>
      </c>
      <c r="M51" s="143">
        <f t="shared" si="14"/>
        <v>993571214.37922192</v>
      </c>
      <c r="N51" s="143">
        <f>M51/KPI´s!I$23</f>
        <v>93486.188782388213</v>
      </c>
      <c r="O51" s="145">
        <f>'balance sheet'!K$35*'Lithium Carbon Offsetting'!C51/3.6*1000000</f>
        <v>138895057.57735452</v>
      </c>
      <c r="P51">
        <f t="shared" si="15"/>
        <v>13068.785997116534</v>
      </c>
      <c r="Q51" s="144">
        <f t="shared" si="16"/>
        <v>45835369.000526994</v>
      </c>
      <c r="R51" s="144">
        <f t="shared" si="17"/>
        <v>4312.6993790484566</v>
      </c>
      <c r="S51" s="144">
        <f t="shared" si="18"/>
        <v>947735845.37869489</v>
      </c>
      <c r="T51" s="144">
        <f t="shared" si="19"/>
        <v>89173.489403339758</v>
      </c>
    </row>
    <row r="52" spans="1:20" x14ac:dyDescent="0.3">
      <c r="A52">
        <f t="shared" si="10"/>
        <v>63</v>
      </c>
      <c r="B52" s="68">
        <f>((KPI´s!$J$28*(A52/100*'CO2 calculations'!$C$36)+KPI´s!$J$28*((1-A52/100)*'CO2 calculations'!$C$35))/1000000)+KPI´s!J$29/1000000</f>
        <v>416.73095168558831</v>
      </c>
      <c r="C52" s="68">
        <f t="shared" si="9"/>
        <v>78.815951685588288</v>
      </c>
      <c r="D52">
        <v>337.91500000000002</v>
      </c>
      <c r="E52" s="143">
        <f>(KPI´s!$J$28*(1-A52/100))*'CO2 calculations'!E$35</f>
        <v>192909328.83769396</v>
      </c>
      <c r="F52" s="143">
        <f t="shared" si="11"/>
        <v>18151.047124359611</v>
      </c>
      <c r="G52" s="143">
        <f>(KPI´s!$J$28*(A52/100))*'CO2 calculations'!E$36</f>
        <v>198916493.601735</v>
      </c>
      <c r="H52" s="143">
        <f t="shared" si="12"/>
        <v>18716.267745740966</v>
      </c>
      <c r="I52" s="143">
        <f>C52*'balance sheet'!C$36*1000000</f>
        <v>409370053.05494559</v>
      </c>
      <c r="J52" s="143">
        <f>I52/KPI´s!I$23</f>
        <v>38518.070479388931</v>
      </c>
      <c r="K52" s="143">
        <f t="shared" si="13"/>
        <v>168957500</v>
      </c>
      <c r="L52" s="143">
        <f>K52/KPI´s!I$23</f>
        <v>15897.393677079413</v>
      </c>
      <c r="M52" s="143">
        <f t="shared" si="14"/>
        <v>970153375.49437451</v>
      </c>
      <c r="N52" s="143">
        <f>M52/KPI´s!I$23</f>
        <v>91282.779026568925</v>
      </c>
      <c r="O52" s="145">
        <f>'balance sheet'!K$35*'Lithium Carbon Offsetting'!C52/3.6*1000000</f>
        <v>132006767.56430916</v>
      </c>
      <c r="P52">
        <f t="shared" si="15"/>
        <v>12420.65934929518</v>
      </c>
      <c r="Q52" s="144">
        <f t="shared" si="16"/>
        <v>43562233.296222024</v>
      </c>
      <c r="R52" s="144">
        <f t="shared" si="17"/>
        <v>4098.8175852674094</v>
      </c>
      <c r="S52" s="144">
        <f t="shared" si="18"/>
        <v>926591142.19815254</v>
      </c>
      <c r="T52" s="144">
        <f t="shared" si="19"/>
        <v>87183.961441301522</v>
      </c>
    </row>
    <row r="53" spans="1:20" x14ac:dyDescent="0.3">
      <c r="A53">
        <f t="shared" si="10"/>
        <v>64</v>
      </c>
      <c r="B53" s="68">
        <f>((KPI´s!$J$28*(A53/100*'CO2 calculations'!$C$36)+KPI´s!$J$28*((1-A53/100)*'CO2 calculations'!$C$35))/1000000)+KPI´s!J$29/1000000</f>
        <v>412.61822971775439</v>
      </c>
      <c r="C53" s="68">
        <f t="shared" si="9"/>
        <v>74.703229717754368</v>
      </c>
      <c r="D53">
        <v>337.91500000000002</v>
      </c>
      <c r="E53" s="143">
        <f>(KPI´s!$J$28*(1-A53/100))*'CO2 calculations'!E$35</f>
        <v>187695563.19343194</v>
      </c>
      <c r="F53" s="143">
        <f t="shared" si="11"/>
        <v>17660.478283160701</v>
      </c>
      <c r="G53" s="143">
        <f>(KPI´s!$J$28*(A53/100))*'CO2 calculations'!E$36</f>
        <v>202073898.26208001</v>
      </c>
      <c r="H53" s="143">
        <f t="shared" si="12"/>
        <v>19013.351360752731</v>
      </c>
      <c r="I53" s="143">
        <f>C53*'balance sheet'!C$36*1000000</f>
        <v>388008575.1540162</v>
      </c>
      <c r="J53" s="143">
        <f>I53/KPI´s!I$23</f>
        <v>36508.145949756887</v>
      </c>
      <c r="K53" s="143">
        <f t="shared" si="13"/>
        <v>168957500</v>
      </c>
      <c r="L53" s="143">
        <f>K53/KPI´s!I$23</f>
        <v>15897.393677079413</v>
      </c>
      <c r="M53" s="143">
        <f t="shared" si="14"/>
        <v>946735536.60952818</v>
      </c>
      <c r="N53" s="143">
        <f>M53/KPI´s!I$23</f>
        <v>89079.369270749739</v>
      </c>
      <c r="O53" s="145">
        <f>'balance sheet'!K$35*'Lithium Carbon Offsetting'!C53/3.6*1000000</f>
        <v>125118477.55126409</v>
      </c>
      <c r="P53">
        <f t="shared" si="15"/>
        <v>11772.53270147385</v>
      </c>
      <c r="Q53" s="144">
        <f t="shared" si="16"/>
        <v>41289097.59191715</v>
      </c>
      <c r="R53" s="144">
        <f t="shared" si="17"/>
        <v>3884.9357914863708</v>
      </c>
      <c r="S53" s="144">
        <f t="shared" si="18"/>
        <v>905446439.01761103</v>
      </c>
      <c r="T53" s="144">
        <f t="shared" si="19"/>
        <v>85194.43347926336</v>
      </c>
    </row>
    <row r="54" spans="1:20" x14ac:dyDescent="0.3">
      <c r="A54">
        <f t="shared" si="10"/>
        <v>65</v>
      </c>
      <c r="B54" s="68">
        <f>((KPI´s!$J$28*(A54/100*'CO2 calculations'!$C$36)+KPI´s!$J$28*((1-A54/100)*'CO2 calculations'!$C$35))/1000000)+KPI´s!J$29/1000000</f>
        <v>408.50550774992041</v>
      </c>
      <c r="C54" s="68">
        <f t="shared" si="9"/>
        <v>70.590507749920391</v>
      </c>
      <c r="D54">
        <v>337.91500000000002</v>
      </c>
      <c r="E54" s="143">
        <f>(KPI´s!$J$28*(1-A54/100))*'CO2 calculations'!E$35</f>
        <v>182481797.54916996</v>
      </c>
      <c r="F54" s="143">
        <f t="shared" si="11"/>
        <v>17169.909441961794</v>
      </c>
      <c r="G54" s="143">
        <f>(KPI´s!$J$28*(A54/100))*'CO2 calculations'!E$36</f>
        <v>205231302.922425</v>
      </c>
      <c r="H54" s="143">
        <f t="shared" si="12"/>
        <v>19310.434975764489</v>
      </c>
      <c r="I54" s="143">
        <f>C54*'balance sheet'!C$36*1000000</f>
        <v>366647097.25308651</v>
      </c>
      <c r="J54" s="143">
        <f>I54/KPI´s!I$23</f>
        <v>34498.221420124813</v>
      </c>
      <c r="K54" s="143">
        <f t="shared" si="13"/>
        <v>168957500</v>
      </c>
      <c r="L54" s="143">
        <f>K54/KPI´s!I$23</f>
        <v>15897.393677079413</v>
      </c>
      <c r="M54" s="143">
        <f t="shared" si="14"/>
        <v>923317697.72468138</v>
      </c>
      <c r="N54" s="143">
        <f>M54/KPI´s!I$23</f>
        <v>86875.959514930495</v>
      </c>
      <c r="O54" s="145">
        <f>'balance sheet'!K$35*'Lithium Carbon Offsetting'!C54/3.6*1000000</f>
        <v>118230187.53821893</v>
      </c>
      <c r="P54">
        <f t="shared" si="15"/>
        <v>11124.406053652516</v>
      </c>
      <c r="Q54" s="144">
        <f t="shared" si="16"/>
        <v>39015961.887612246</v>
      </c>
      <c r="R54" s="144">
        <f t="shared" si="17"/>
        <v>3671.0539977053299</v>
      </c>
      <c r="S54" s="144">
        <f t="shared" si="18"/>
        <v>884301735.83706915</v>
      </c>
      <c r="T54" s="144">
        <f t="shared" si="19"/>
        <v>83204.905517225168</v>
      </c>
    </row>
    <row r="55" spans="1:20" x14ac:dyDescent="0.3">
      <c r="A55">
        <f t="shared" si="10"/>
        <v>66</v>
      </c>
      <c r="B55" s="68">
        <f>((KPI´s!$J$28*(A55/100*'CO2 calculations'!$C$36)+KPI´s!$J$28*((1-A55/100)*'CO2 calculations'!$C$35))/1000000)+KPI´s!J$29/1000000</f>
        <v>404.39278578208638</v>
      </c>
      <c r="C55" s="68">
        <f t="shared" si="9"/>
        <v>66.477785782086357</v>
      </c>
      <c r="D55">
        <v>337.91500000000002</v>
      </c>
      <c r="E55" s="143">
        <f>(KPI´s!$J$28*(1-A55/100))*'CO2 calculations'!E$35</f>
        <v>177268031.90490794</v>
      </c>
      <c r="F55" s="143">
        <f t="shared" si="11"/>
        <v>16679.340600762884</v>
      </c>
      <c r="G55" s="143">
        <f>(KPI´s!$J$28*(A55/100))*'CO2 calculations'!E$36</f>
        <v>208388707.58276999</v>
      </c>
      <c r="H55" s="143">
        <f t="shared" si="12"/>
        <v>19607.51859077625</v>
      </c>
      <c r="I55" s="143">
        <f>C55*'balance sheet'!C$36*1000000</f>
        <v>345285619.35215652</v>
      </c>
      <c r="J55" s="143">
        <f>I55/KPI´s!I$23</f>
        <v>32488.296890492711</v>
      </c>
      <c r="K55" s="143">
        <f t="shared" si="13"/>
        <v>168957500</v>
      </c>
      <c r="L55" s="143">
        <f>K55/KPI´s!I$23</f>
        <v>15897.393677079413</v>
      </c>
      <c r="M55" s="143">
        <f t="shared" si="14"/>
        <v>899899858.83983445</v>
      </c>
      <c r="N55" s="143">
        <f>M55/KPI´s!I$23</f>
        <v>84672.549759111265</v>
      </c>
      <c r="O55" s="145">
        <f>'balance sheet'!K$35*'Lithium Carbon Offsetting'!C55/3.6*1000000</f>
        <v>111341897.52517366</v>
      </c>
      <c r="P55">
        <f t="shared" si="15"/>
        <v>10476.279405831168</v>
      </c>
      <c r="Q55" s="144">
        <f t="shared" si="16"/>
        <v>36742826.183307312</v>
      </c>
      <c r="R55" s="144">
        <f t="shared" si="17"/>
        <v>3457.1722039242859</v>
      </c>
      <c r="S55" s="144">
        <f t="shared" si="18"/>
        <v>863157032.65652716</v>
      </c>
      <c r="T55" s="144">
        <f t="shared" si="19"/>
        <v>81215.377555186977</v>
      </c>
    </row>
    <row r="56" spans="1:20" x14ac:dyDescent="0.3">
      <c r="A56">
        <f t="shared" si="10"/>
        <v>67</v>
      </c>
      <c r="B56" s="68">
        <f>((KPI´s!$J$28*(A56/100*'CO2 calculations'!$C$36)+KPI´s!$J$28*((1-A56/100)*'CO2 calculations'!$C$35))/1000000)+KPI´s!J$29/1000000</f>
        <v>400.2800638142524</v>
      </c>
      <c r="C56" s="68">
        <f t="shared" si="9"/>
        <v>62.36506381425238</v>
      </c>
      <c r="D56">
        <v>337.91500000000002</v>
      </c>
      <c r="E56" s="143">
        <f>(KPI´s!$J$28*(1-A56/100))*'CO2 calculations'!E$35</f>
        <v>172054266.26064596</v>
      </c>
      <c r="F56" s="143">
        <f t="shared" si="11"/>
        <v>16188.771759563977</v>
      </c>
      <c r="G56" s="143">
        <f>(KPI´s!$J$28*(A56/100))*'CO2 calculations'!E$36</f>
        <v>211546112.24311501</v>
      </c>
      <c r="H56" s="143">
        <f t="shared" si="12"/>
        <v>19904.602205788015</v>
      </c>
      <c r="I56" s="143">
        <f>C56*'balance sheet'!C$36*1000000</f>
        <v>323924141.45122689</v>
      </c>
      <c r="J56" s="143">
        <f>I56/KPI´s!I$23</f>
        <v>30478.372360860641</v>
      </c>
      <c r="K56" s="143">
        <f t="shared" si="13"/>
        <v>168957500</v>
      </c>
      <c r="L56" s="143">
        <f>K56/KPI´s!I$23</f>
        <v>15897.393677079413</v>
      </c>
      <c r="M56" s="143">
        <f t="shared" si="14"/>
        <v>876482019.95498788</v>
      </c>
      <c r="N56" s="143">
        <f>M56/KPI´s!I$23</f>
        <v>82469.14000329205</v>
      </c>
      <c r="O56" s="145">
        <f>'balance sheet'!K$35*'Lithium Carbon Offsetting'!C56/3.6*1000000</f>
        <v>104453607.5121285</v>
      </c>
      <c r="P56">
        <f t="shared" si="15"/>
        <v>9828.1527580098318</v>
      </c>
      <c r="Q56" s="144">
        <f t="shared" si="16"/>
        <v>34469690.479002409</v>
      </c>
      <c r="R56" s="144">
        <f t="shared" si="17"/>
        <v>3243.290410143245</v>
      </c>
      <c r="S56" s="144">
        <f t="shared" si="18"/>
        <v>842012329.47598553</v>
      </c>
      <c r="T56" s="144">
        <f t="shared" si="19"/>
        <v>79225.849593148814</v>
      </c>
    </row>
    <row r="57" spans="1:20" x14ac:dyDescent="0.3">
      <c r="A57">
        <f t="shared" si="10"/>
        <v>68</v>
      </c>
      <c r="B57" s="68">
        <f>((KPI´s!$J$28*(A57/100*'CO2 calculations'!$C$36)+KPI´s!$J$28*((1-A57/100)*'CO2 calculations'!$C$35))/1000000)+KPI´s!J$29/1000000</f>
        <v>396.16734184641837</v>
      </c>
      <c r="C57" s="68">
        <f t="shared" si="9"/>
        <v>58.252341846418346</v>
      </c>
      <c r="D57">
        <v>337.91500000000002</v>
      </c>
      <c r="E57" s="143">
        <f>(KPI´s!$J$28*(1-A57/100))*'CO2 calculations'!E$35</f>
        <v>166840500.61638394</v>
      </c>
      <c r="F57" s="143">
        <f t="shared" si="11"/>
        <v>15698.202918365068</v>
      </c>
      <c r="G57" s="143">
        <f>(KPI´s!$J$28*(A57/100))*'CO2 calculations'!E$36</f>
        <v>214703516.90346</v>
      </c>
      <c r="H57" s="143">
        <f t="shared" si="12"/>
        <v>20201.685820799772</v>
      </c>
      <c r="I57" s="143">
        <f>C57*'balance sheet'!C$36*1000000</f>
        <v>302562663.55029684</v>
      </c>
      <c r="J57" s="143">
        <f>I57/KPI´s!I$23</f>
        <v>28468.447831228532</v>
      </c>
      <c r="K57" s="143">
        <f t="shared" si="13"/>
        <v>168957500</v>
      </c>
      <c r="L57" s="143">
        <f>K57/KPI´s!I$23</f>
        <v>15897.393677079413</v>
      </c>
      <c r="M57" s="143">
        <f t="shared" si="14"/>
        <v>853064181.07014072</v>
      </c>
      <c r="N57" s="143">
        <f>M57/KPI´s!I$23</f>
        <v>80265.730247472777</v>
      </c>
      <c r="O57" s="145">
        <f>'balance sheet'!K$35*'Lithium Carbon Offsetting'!C57/3.6*1000000</f>
        <v>97565317.499083251</v>
      </c>
      <c r="P57">
        <f t="shared" si="15"/>
        <v>9180.026110188488</v>
      </c>
      <c r="Q57" s="144">
        <f t="shared" si="16"/>
        <v>32196554.774697475</v>
      </c>
      <c r="R57" s="144">
        <f t="shared" si="17"/>
        <v>3029.4086163622014</v>
      </c>
      <c r="S57" s="144">
        <f t="shared" si="18"/>
        <v>820867626.2954433</v>
      </c>
      <c r="T57" s="144">
        <f t="shared" si="19"/>
        <v>77236.321631110579</v>
      </c>
    </row>
    <row r="58" spans="1:20" x14ac:dyDescent="0.3">
      <c r="A58">
        <f t="shared" si="10"/>
        <v>69</v>
      </c>
      <c r="B58" s="68">
        <f>((KPI´s!$J$28*(A58/100*'CO2 calculations'!$C$36)+KPI´s!$J$28*((1-A58/100)*'CO2 calculations'!$C$35))/1000000)+KPI´s!J$29/1000000</f>
        <v>392.05461987858439</v>
      </c>
      <c r="C58" s="68">
        <f t="shared" si="9"/>
        <v>54.139619878584369</v>
      </c>
      <c r="D58">
        <v>337.91500000000002</v>
      </c>
      <c r="E58" s="143">
        <f>(KPI´s!$J$28*(1-A58/100))*'CO2 calculations'!E$35</f>
        <v>161626734.97212198</v>
      </c>
      <c r="F58" s="143">
        <f t="shared" si="11"/>
        <v>15207.634077166163</v>
      </c>
      <c r="G58" s="143">
        <f>(KPI´s!$J$28*(A58/100))*'CO2 calculations'!E$36</f>
        <v>217860921.56380498</v>
      </c>
      <c r="H58" s="143">
        <f t="shared" si="12"/>
        <v>20498.769435811533</v>
      </c>
      <c r="I58" s="143">
        <f>C58*'balance sheet'!C$36*1000000</f>
        <v>281201185.64936721</v>
      </c>
      <c r="J58" s="143">
        <f>I58/KPI´s!I$23</f>
        <v>26458.523301596462</v>
      </c>
      <c r="K58" s="143">
        <f t="shared" si="13"/>
        <v>168957500</v>
      </c>
      <c r="L58" s="143">
        <f>K58/KPI´s!I$23</f>
        <v>15897.393677079413</v>
      </c>
      <c r="M58" s="143">
        <f t="shared" si="14"/>
        <v>829646342.18529415</v>
      </c>
      <c r="N58" s="143">
        <f>M58/KPI´s!I$23</f>
        <v>78062.320491653576</v>
      </c>
      <c r="O58" s="145">
        <f>'balance sheet'!K$35*'Lithium Carbon Offsetting'!C58/3.6*1000000</f>
        <v>90677027.486038089</v>
      </c>
      <c r="P58">
        <f t="shared" si="15"/>
        <v>8531.8994623671515</v>
      </c>
      <c r="Q58" s="144">
        <f t="shared" si="16"/>
        <v>29923419.070392571</v>
      </c>
      <c r="R58" s="144">
        <f t="shared" si="17"/>
        <v>2815.5268225811601</v>
      </c>
      <c r="S58" s="144">
        <f t="shared" si="18"/>
        <v>799722923.11490154</v>
      </c>
      <c r="T58" s="144">
        <f t="shared" si="19"/>
        <v>75246.793669072402</v>
      </c>
    </row>
    <row r="59" spans="1:20" x14ac:dyDescent="0.3">
      <c r="A59">
        <f t="shared" si="10"/>
        <v>70</v>
      </c>
      <c r="B59" s="68">
        <f>((KPI´s!$J$28*(A59/100*'CO2 calculations'!$C$36)+KPI´s!$J$28*((1-A59/100)*'CO2 calculations'!$C$35))/1000000)+KPI´s!J$29/1000000</f>
        <v>387.94189791075041</v>
      </c>
      <c r="C59" s="68">
        <f t="shared" si="9"/>
        <v>50.026897910750392</v>
      </c>
      <c r="D59">
        <v>337.91500000000002</v>
      </c>
      <c r="E59" s="143">
        <f>(KPI´s!$J$28*(1-A59/100))*'CO2 calculations'!E$35</f>
        <v>156412969.32786</v>
      </c>
      <c r="F59" s="143">
        <f t="shared" si="11"/>
        <v>14717.065235967257</v>
      </c>
      <c r="G59" s="143">
        <f>(KPI´s!$J$28*(A59/100))*'CO2 calculations'!E$36</f>
        <v>221018326.22415</v>
      </c>
      <c r="H59" s="143">
        <f t="shared" si="12"/>
        <v>20795.853050823298</v>
      </c>
      <c r="I59" s="143">
        <f>C59*'balance sheet'!C$36*1000000</f>
        <v>259839707.74843755</v>
      </c>
      <c r="J59" s="143">
        <f>I59/KPI´s!I$23</f>
        <v>24448.598771964393</v>
      </c>
      <c r="K59" s="143">
        <f t="shared" si="13"/>
        <v>168957500</v>
      </c>
      <c r="L59" s="143">
        <f>K59/KPI´s!I$23</f>
        <v>15897.393677079413</v>
      </c>
      <c r="M59" s="143">
        <f t="shared" si="14"/>
        <v>806228503.30044758</v>
      </c>
      <c r="N59" s="143">
        <f>M59/KPI´s!I$23</f>
        <v>75858.910735834361</v>
      </c>
      <c r="O59" s="145">
        <f>'balance sheet'!K$35*'Lithium Carbon Offsetting'!C59/3.6*1000000</f>
        <v>83788737.472992927</v>
      </c>
      <c r="P59">
        <f t="shared" si="15"/>
        <v>7883.7728145458159</v>
      </c>
      <c r="Q59" s="144">
        <f t="shared" si="16"/>
        <v>27650283.366087668</v>
      </c>
      <c r="R59" s="144">
        <f t="shared" si="17"/>
        <v>2601.6450288001192</v>
      </c>
      <c r="S59" s="144">
        <f t="shared" si="18"/>
        <v>778578219.93435991</v>
      </c>
      <c r="T59" s="144">
        <f t="shared" si="19"/>
        <v>73257.265707034239</v>
      </c>
    </row>
    <row r="60" spans="1:20" x14ac:dyDescent="0.3">
      <c r="A60">
        <f t="shared" si="10"/>
        <v>71</v>
      </c>
      <c r="B60" s="68">
        <f>((KPI´s!$J$28*(A60/100*'CO2 calculations'!$C$36)+KPI´s!$J$28*((1-A60/100)*'CO2 calculations'!$C$35))/1000000)+KPI´s!J$29/1000000</f>
        <v>383.82917594291644</v>
      </c>
      <c r="C60" s="68">
        <f t="shared" si="9"/>
        <v>45.914175942916415</v>
      </c>
      <c r="D60">
        <v>337.91500000000002</v>
      </c>
      <c r="E60" s="143">
        <f>(KPI´s!$J$28*(1-A60/100))*'CO2 calculations'!E$35</f>
        <v>151199203.68359801</v>
      </c>
      <c r="F60" s="143">
        <f t="shared" si="11"/>
        <v>14226.496394768348</v>
      </c>
      <c r="G60" s="143">
        <f>(KPI´s!$J$28*(A60/100))*'CO2 calculations'!E$36</f>
        <v>224175730.88449496</v>
      </c>
      <c r="H60" s="143">
        <f t="shared" si="12"/>
        <v>21092.936665835055</v>
      </c>
      <c r="I60" s="143">
        <f>C60*'balance sheet'!C$36*1000000</f>
        <v>238478229.84750786</v>
      </c>
      <c r="J60" s="143">
        <f>I60/KPI´s!I$23</f>
        <v>22438.674242332316</v>
      </c>
      <c r="K60" s="143">
        <f t="shared" si="13"/>
        <v>168957500</v>
      </c>
      <c r="L60" s="143">
        <f>K60/KPI´s!I$23</f>
        <v>15897.393677079413</v>
      </c>
      <c r="M60" s="143">
        <f t="shared" si="14"/>
        <v>782810664.41560078</v>
      </c>
      <c r="N60" s="143">
        <f>M60/KPI´s!I$23</f>
        <v>73655.500980015131</v>
      </c>
      <c r="O60" s="145">
        <f>'balance sheet'!K$35*'Lithium Carbon Offsetting'!C60/3.6*1000000</f>
        <v>76900447.459947735</v>
      </c>
      <c r="P60">
        <f t="shared" si="15"/>
        <v>7235.6461667244766</v>
      </c>
      <c r="Q60" s="144">
        <f t="shared" si="16"/>
        <v>25377147.661782753</v>
      </c>
      <c r="R60" s="144">
        <f t="shared" si="17"/>
        <v>2387.763235019077</v>
      </c>
      <c r="S60" s="144">
        <f t="shared" si="18"/>
        <v>757433516.75381804</v>
      </c>
      <c r="T60" s="144">
        <f t="shared" si="19"/>
        <v>71267.737744996048</v>
      </c>
    </row>
    <row r="61" spans="1:20" x14ac:dyDescent="0.3">
      <c r="A61">
        <f t="shared" si="10"/>
        <v>72</v>
      </c>
      <c r="B61" s="68">
        <f>((KPI´s!$J$28*(A61/100*'CO2 calculations'!$C$36)+KPI´s!$J$28*((1-A61/100)*'CO2 calculations'!$C$35))/1000000)+KPI´s!J$29/1000000</f>
        <v>379.7164539750824</v>
      </c>
      <c r="C61" s="68">
        <f t="shared" si="9"/>
        <v>41.801453975082381</v>
      </c>
      <c r="D61">
        <v>337.91500000000002</v>
      </c>
      <c r="E61" s="143">
        <f>(KPI´s!$J$28*(1-A61/100))*'CO2 calculations'!E$35</f>
        <v>145985438.03933597</v>
      </c>
      <c r="F61" s="143">
        <f t="shared" si="11"/>
        <v>13735.927553569436</v>
      </c>
      <c r="G61" s="143">
        <f>(KPI´s!$J$28*(A61/100))*'CO2 calculations'!E$36</f>
        <v>227333135.54483998</v>
      </c>
      <c r="H61" s="143">
        <f t="shared" si="12"/>
        <v>21390.020280846817</v>
      </c>
      <c r="I61" s="143">
        <f>C61*'balance sheet'!C$36*1000000</f>
        <v>217116751.94657791</v>
      </c>
      <c r="J61" s="143">
        <f>I61/KPI´s!I$23</f>
        <v>20428.749712700217</v>
      </c>
      <c r="K61" s="143">
        <f t="shared" si="13"/>
        <v>168957500</v>
      </c>
      <c r="L61" s="143">
        <f>K61/KPI´s!I$23</f>
        <v>15897.393677079413</v>
      </c>
      <c r="M61" s="143">
        <f t="shared" si="14"/>
        <v>759392825.53075385</v>
      </c>
      <c r="N61" s="143">
        <f>M61/KPI´s!I$23</f>
        <v>71452.091224195887</v>
      </c>
      <c r="O61" s="145">
        <f>'balance sheet'!K$35*'Lithium Carbon Offsetting'!C61/3.6*1000000</f>
        <v>70012157.446902499</v>
      </c>
      <c r="P61">
        <f t="shared" si="15"/>
        <v>6587.5195189031328</v>
      </c>
      <c r="Q61" s="144">
        <f t="shared" si="16"/>
        <v>23104011.957477827</v>
      </c>
      <c r="R61" s="144">
        <f t="shared" si="17"/>
        <v>2173.8814412380343</v>
      </c>
      <c r="S61" s="144">
        <f t="shared" si="18"/>
        <v>736288813.57327604</v>
      </c>
      <c r="T61" s="144">
        <f t="shared" si="19"/>
        <v>69278.209782957856</v>
      </c>
    </row>
    <row r="62" spans="1:20" x14ac:dyDescent="0.3">
      <c r="A62">
        <f t="shared" si="10"/>
        <v>73</v>
      </c>
      <c r="B62" s="68">
        <f>((KPI´s!$J$28*(A62/100*'CO2 calculations'!$C$36)+KPI´s!$J$28*((1-A62/100)*'CO2 calculations'!$C$35))/1000000)+KPI´s!J$29/1000000</f>
        <v>375.60373200724837</v>
      </c>
      <c r="C62" s="68">
        <f t="shared" si="9"/>
        <v>37.688732007248348</v>
      </c>
      <c r="D62">
        <v>337.91500000000002</v>
      </c>
      <c r="E62" s="143">
        <f>(KPI´s!$J$28*(1-A62/100))*'CO2 calculations'!E$35</f>
        <v>140771672.39507398</v>
      </c>
      <c r="F62" s="143">
        <f t="shared" si="11"/>
        <v>13245.358712370529</v>
      </c>
      <c r="G62" s="143">
        <f>(KPI´s!$J$28*(A62/100))*'CO2 calculations'!E$36</f>
        <v>230490540.205185</v>
      </c>
      <c r="H62" s="143">
        <f t="shared" si="12"/>
        <v>21687.103895858581</v>
      </c>
      <c r="I62" s="143">
        <f>C62*'balance sheet'!C$36*1000000</f>
        <v>195755274.04564792</v>
      </c>
      <c r="J62" s="143">
        <f>I62/KPI´s!I$23</f>
        <v>18418.825183068115</v>
      </c>
      <c r="K62" s="143">
        <f t="shared" si="13"/>
        <v>168957500</v>
      </c>
      <c r="L62" s="143">
        <f>K62/KPI´s!I$23</f>
        <v>15897.393677079413</v>
      </c>
      <c r="M62" s="143">
        <f t="shared" si="14"/>
        <v>735974986.64590693</v>
      </c>
      <c r="N62" s="143">
        <f>M62/KPI´s!I$23</f>
        <v>69248.681468376642</v>
      </c>
      <c r="O62" s="145">
        <f>'balance sheet'!K$35*'Lithium Carbon Offsetting'!C62/3.6*1000000</f>
        <v>63123867.433857232</v>
      </c>
      <c r="P62">
        <f t="shared" si="15"/>
        <v>5939.3928710817872</v>
      </c>
      <c r="Q62" s="144">
        <f t="shared" si="16"/>
        <v>20830876.253172889</v>
      </c>
      <c r="R62" s="144">
        <f t="shared" si="17"/>
        <v>1959.99964745699</v>
      </c>
      <c r="S62" s="144">
        <f t="shared" si="18"/>
        <v>715144110.39273405</v>
      </c>
      <c r="T62" s="144">
        <f t="shared" si="19"/>
        <v>67288.68182091965</v>
      </c>
    </row>
    <row r="63" spans="1:20" x14ac:dyDescent="0.3">
      <c r="A63">
        <f t="shared" si="10"/>
        <v>74</v>
      </c>
      <c r="B63" s="68">
        <f>((KPI´s!$J$28*(A63/100*'CO2 calculations'!$C$36)+KPI´s!$J$28*((1-A63/100)*'CO2 calculations'!$C$35))/1000000)+KPI´s!J$29/1000000</f>
        <v>371.49101003941433</v>
      </c>
      <c r="C63" s="68">
        <f t="shared" si="9"/>
        <v>33.576010039414314</v>
      </c>
      <c r="D63">
        <v>337.91500000000002</v>
      </c>
      <c r="E63" s="143">
        <f>(KPI´s!$J$28*(1-A63/100))*'CO2 calculations'!E$35</f>
        <v>135557906.75081196</v>
      </c>
      <c r="F63" s="143">
        <f t="shared" si="11"/>
        <v>12754.789871171619</v>
      </c>
      <c r="G63" s="143">
        <f>(KPI´s!$J$28*(A63/100))*'CO2 calculations'!E$36</f>
        <v>233647944.86552998</v>
      </c>
      <c r="H63" s="143">
        <f t="shared" si="12"/>
        <v>21984.187510870343</v>
      </c>
      <c r="I63" s="143">
        <f>C63*'balance sheet'!C$36*1000000</f>
        <v>174393796.14471796</v>
      </c>
      <c r="J63" s="143">
        <f>I63/KPI´s!I$23</f>
        <v>16408.900653436016</v>
      </c>
      <c r="K63" s="143">
        <f t="shared" si="13"/>
        <v>168957500</v>
      </c>
      <c r="L63" s="143">
        <f>K63/KPI´s!I$23</f>
        <v>15897.393677079413</v>
      </c>
      <c r="M63" s="143">
        <f t="shared" si="14"/>
        <v>712557147.76105988</v>
      </c>
      <c r="N63" s="143">
        <f>M63/KPI´s!I$23</f>
        <v>67045.271712557384</v>
      </c>
      <c r="O63" s="145">
        <f>'balance sheet'!K$35*'Lithium Carbon Offsetting'!C63/3.6*1000000</f>
        <v>56235577.420811981</v>
      </c>
      <c r="P63">
        <f t="shared" si="15"/>
        <v>5291.2662232604425</v>
      </c>
      <c r="Q63" s="144">
        <f t="shared" si="16"/>
        <v>18557740.548867956</v>
      </c>
      <c r="R63" s="144">
        <f t="shared" si="17"/>
        <v>1746.1178536759462</v>
      </c>
      <c r="S63" s="144">
        <f t="shared" si="18"/>
        <v>693999407.21219194</v>
      </c>
      <c r="T63" s="144">
        <f t="shared" si="19"/>
        <v>65299.153858881436</v>
      </c>
    </row>
    <row r="64" spans="1:20" x14ac:dyDescent="0.3">
      <c r="A64">
        <f t="shared" si="10"/>
        <v>75</v>
      </c>
      <c r="B64" s="68">
        <f>((KPI´s!$J$28*(A64/100*'CO2 calculations'!$C$36)+KPI´s!$J$28*((1-A64/100)*'CO2 calculations'!$C$35))/1000000)+KPI´s!J$29/1000000</f>
        <v>367.37828807158041</v>
      </c>
      <c r="C64" s="68">
        <f t="shared" si="9"/>
        <v>29.463288071580394</v>
      </c>
      <c r="D64">
        <v>337.91500000000002</v>
      </c>
      <c r="E64" s="143">
        <f>(KPI´s!$J$28*(1-A64/100))*'CO2 calculations'!E$35</f>
        <v>130344141.10654998</v>
      </c>
      <c r="F64" s="143">
        <f t="shared" si="11"/>
        <v>12264.221029972712</v>
      </c>
      <c r="G64" s="143">
        <f>(KPI´s!$J$28*(A64/100))*'CO2 calculations'!E$36</f>
        <v>236805349.525875</v>
      </c>
      <c r="H64" s="143">
        <f t="shared" si="12"/>
        <v>22281.271125882104</v>
      </c>
      <c r="I64" s="143">
        <f>C64*'balance sheet'!C$36*1000000</f>
        <v>153032318.24378854</v>
      </c>
      <c r="J64" s="143">
        <f>I64/KPI´s!I$23</f>
        <v>14398.976123803965</v>
      </c>
      <c r="K64" s="143">
        <f t="shared" si="13"/>
        <v>168957500</v>
      </c>
      <c r="L64" s="143">
        <f>K64/KPI´s!I$23</f>
        <v>15897.393677079413</v>
      </c>
      <c r="M64" s="143">
        <f t="shared" si="14"/>
        <v>689139308.87621355</v>
      </c>
      <c r="N64" s="143">
        <f>M64/KPI´s!I$23</f>
        <v>64841.861956738197</v>
      </c>
      <c r="O64" s="145">
        <f>'balance sheet'!K$35*'Lithium Carbon Offsetting'!C64/3.6*1000000</f>
        <v>49347287.407766908</v>
      </c>
      <c r="P64">
        <f t="shared" si="15"/>
        <v>4643.1395754391142</v>
      </c>
      <c r="Q64" s="144">
        <f t="shared" si="16"/>
        <v>16284604.84456308</v>
      </c>
      <c r="R64" s="144">
        <f t="shared" si="17"/>
        <v>1532.2360598949078</v>
      </c>
      <c r="S64" s="144">
        <f t="shared" si="18"/>
        <v>672854704.03165042</v>
      </c>
      <c r="T64" s="144">
        <f t="shared" si="19"/>
        <v>63309.625896843281</v>
      </c>
    </row>
    <row r="65" spans="1:20" x14ac:dyDescent="0.3">
      <c r="A65">
        <f t="shared" si="10"/>
        <v>76</v>
      </c>
      <c r="B65" s="68">
        <f>((KPI´s!$J$28*(A65/100*'CO2 calculations'!$C$36)+KPI´s!$J$28*((1-A65/100)*'CO2 calculations'!$C$35))/1000000)+KPI´s!J$29/1000000</f>
        <v>363.26556610374638</v>
      </c>
      <c r="C65" s="68">
        <f t="shared" si="9"/>
        <v>25.35056610374636</v>
      </c>
      <c r="D65">
        <v>337.91500000000002</v>
      </c>
      <c r="E65" s="143">
        <f>(KPI´s!$J$28*(1-A65/100))*'CO2 calculations'!E$35</f>
        <v>125130375.46228798</v>
      </c>
      <c r="F65" s="143">
        <f t="shared" si="11"/>
        <v>11773.652188773804</v>
      </c>
      <c r="G65" s="143">
        <f>(KPI´s!$J$28*(A65/100))*'CO2 calculations'!E$36</f>
        <v>239962754.18621999</v>
      </c>
      <c r="H65" s="143">
        <f t="shared" si="12"/>
        <v>22578.354740893865</v>
      </c>
      <c r="I65" s="143">
        <f>C65*'balance sheet'!C$36*1000000</f>
        <v>131670840.34285858</v>
      </c>
      <c r="J65" s="143">
        <f>I65/KPI´s!I$23</f>
        <v>12389.051594171866</v>
      </c>
      <c r="K65" s="143">
        <f t="shared" si="13"/>
        <v>168957500</v>
      </c>
      <c r="L65" s="143">
        <f>K65/KPI´s!I$23</f>
        <v>15897.393677079413</v>
      </c>
      <c r="M65" s="143">
        <f t="shared" si="14"/>
        <v>665721469.99136651</v>
      </c>
      <c r="N65" s="143">
        <f>M65/KPI´s!I$23</f>
        <v>62638.452200918939</v>
      </c>
      <c r="O65" s="145">
        <f>'balance sheet'!K$35*'Lithium Carbon Offsetting'!C65/3.6*1000000</f>
        <v>42458997.39472165</v>
      </c>
      <c r="P65">
        <f t="shared" si="15"/>
        <v>3995.012927617769</v>
      </c>
      <c r="Q65" s="144">
        <f t="shared" si="16"/>
        <v>14011469.140258145</v>
      </c>
      <c r="R65" s="144">
        <f t="shared" si="17"/>
        <v>1318.3542661138638</v>
      </c>
      <c r="S65" s="144">
        <f t="shared" si="18"/>
        <v>651710000.85110831</v>
      </c>
      <c r="T65" s="144">
        <f t="shared" si="19"/>
        <v>61320.097934805075</v>
      </c>
    </row>
    <row r="66" spans="1:20" x14ac:dyDescent="0.3">
      <c r="A66">
        <f t="shared" si="10"/>
        <v>77</v>
      </c>
      <c r="B66" s="68">
        <f>((KPI´s!$J$28*(A66/100*'CO2 calculations'!$C$36)+KPI´s!$J$28*((1-A66/100)*'CO2 calculations'!$C$35))/1000000)+KPI´s!J$29/1000000</f>
        <v>359.1528441359124</v>
      </c>
      <c r="C66" s="68">
        <f t="shared" si="9"/>
        <v>21.237844135912383</v>
      </c>
      <c r="D66">
        <v>337.91500000000002</v>
      </c>
      <c r="E66" s="143">
        <f>(KPI´s!$J$28*(1-A66/100))*'CO2 calculations'!E$35</f>
        <v>119916609.81802596</v>
      </c>
      <c r="F66" s="143">
        <f t="shared" ref="F66:F89" si="20">E66/10628</f>
        <v>11283.083347574893</v>
      </c>
      <c r="G66" s="143">
        <f>(KPI´s!$J$28*(A66/100))*'CO2 calculations'!E$36</f>
        <v>243120158.84656498</v>
      </c>
      <c r="H66" s="143">
        <f t="shared" ref="H66:H89" si="21">G66/10628</f>
        <v>22875.438355905626</v>
      </c>
      <c r="I66" s="143">
        <f>C66*'balance sheet'!C$36*1000000</f>
        <v>110309362.44192891</v>
      </c>
      <c r="J66" s="143">
        <f>I66/KPI´s!I$23</f>
        <v>10379.127064539793</v>
      </c>
      <c r="K66" s="143">
        <f t="shared" ref="K66:K89" si="22">500*D66*1000</f>
        <v>168957500</v>
      </c>
      <c r="L66" s="143">
        <f>K66/KPI´s!I$23</f>
        <v>15897.393677079413</v>
      </c>
      <c r="M66" s="143">
        <f t="shared" ref="M66:M89" si="23">K66+I66+G66+E66</f>
        <v>642303631.10651982</v>
      </c>
      <c r="N66" s="143">
        <f>M66/KPI´s!I$23</f>
        <v>60435.042445099716</v>
      </c>
      <c r="O66" s="145">
        <f>'balance sheet'!K$35*'Lithium Carbon Offsetting'!C66/3.6*1000000</f>
        <v>35570707.38167648</v>
      </c>
      <c r="P66">
        <f t="shared" ref="P66:P89" si="24">O66/10628</f>
        <v>3346.8862797964321</v>
      </c>
      <c r="Q66" s="144">
        <f t="shared" ref="Q66:Q89" si="25">0.33*O66</f>
        <v>11738333.435953239</v>
      </c>
      <c r="R66" s="144">
        <f t="shared" ref="R66:R89" si="26">Q66/10628</f>
        <v>1104.4724723328227</v>
      </c>
      <c r="S66" s="144">
        <f t="shared" ref="S66:S89" si="27">M66-Q66</f>
        <v>630565297.67056656</v>
      </c>
      <c r="T66" s="144">
        <f t="shared" ref="T66:T89" si="28">S66/10628</f>
        <v>59330.569972766898</v>
      </c>
    </row>
    <row r="67" spans="1:20" x14ac:dyDescent="0.3">
      <c r="A67">
        <f t="shared" si="10"/>
        <v>78</v>
      </c>
      <c r="B67" s="68">
        <f>((KPI´s!$J$28*(A67/100*'CO2 calculations'!$C$36)+KPI´s!$J$28*((1-A67/100)*'CO2 calculations'!$C$35))/1000000)+KPI´s!J$29/1000000</f>
        <v>355.04012216807831</v>
      </c>
      <c r="C67" s="68">
        <f t="shared" ref="C67:C89" si="29">B67-D67</f>
        <v>17.125122168078292</v>
      </c>
      <c r="D67">
        <v>337.91500000000002</v>
      </c>
      <c r="E67" s="143">
        <f>(KPI´s!$J$28*(1-A67/100))*'CO2 calculations'!E$35</f>
        <v>114702844.17376396</v>
      </c>
      <c r="F67" s="143">
        <f t="shared" si="20"/>
        <v>10792.514506375985</v>
      </c>
      <c r="G67" s="143">
        <f>(KPI´s!$J$28*(A67/100))*'CO2 calculations'!E$36</f>
        <v>246277563.50691</v>
      </c>
      <c r="H67" s="143">
        <f t="shared" si="21"/>
        <v>23172.521970917387</v>
      </c>
      <c r="I67" s="143">
        <f>C67*'balance sheet'!C$36*1000000</f>
        <v>88947884.540998638</v>
      </c>
      <c r="J67" s="143">
        <f>I67/KPI´s!I$23</f>
        <v>8369.202534907663</v>
      </c>
      <c r="K67" s="143">
        <f t="shared" si="22"/>
        <v>168957500</v>
      </c>
      <c r="L67" s="143">
        <f>K67/KPI´s!I$23</f>
        <v>15897.393677079413</v>
      </c>
      <c r="M67" s="143">
        <f t="shared" si="23"/>
        <v>618885792.22167265</v>
      </c>
      <c r="N67" s="143">
        <f>M67/KPI´s!I$23</f>
        <v>58231.63268928045</v>
      </c>
      <c r="O67" s="145">
        <f>'balance sheet'!K$35*'Lithium Carbon Offsetting'!C67/3.6*1000000</f>
        <v>28682417.368631128</v>
      </c>
      <c r="P67">
        <f t="shared" si="24"/>
        <v>2698.7596319750778</v>
      </c>
      <c r="Q67" s="144">
        <f t="shared" si="25"/>
        <v>9465197.7316482719</v>
      </c>
      <c r="R67" s="144">
        <f t="shared" si="26"/>
        <v>890.59067855177568</v>
      </c>
      <c r="S67" s="144">
        <f t="shared" si="27"/>
        <v>609420594.49002433</v>
      </c>
      <c r="T67" s="144">
        <f t="shared" si="28"/>
        <v>57341.04201072867</v>
      </c>
    </row>
    <row r="68" spans="1:20" x14ac:dyDescent="0.3">
      <c r="A68">
        <f t="shared" si="10"/>
        <v>79</v>
      </c>
      <c r="B68" s="68">
        <f>((KPI´s!$J$28*(A68/100*'CO2 calculations'!$C$36)+KPI´s!$J$28*((1-A68/100)*'CO2 calculations'!$C$35))/1000000)+KPI´s!J$29/1000000</f>
        <v>350.92740020024434</v>
      </c>
      <c r="C68" s="68">
        <f t="shared" si="29"/>
        <v>13.012400200244315</v>
      </c>
      <c r="D68">
        <v>337.91500000000002</v>
      </c>
      <c r="E68" s="143">
        <f>(KPI´s!$J$28*(1-A68/100))*'CO2 calculations'!E$35</f>
        <v>109489078.52950194</v>
      </c>
      <c r="F68" s="143">
        <f t="shared" si="20"/>
        <v>10301.945665177074</v>
      </c>
      <c r="G68" s="143">
        <f>(KPI´s!$J$28*(A68/100))*'CO2 calculations'!E$36</f>
        <v>249434968.16725501</v>
      </c>
      <c r="H68">
        <f t="shared" si="21"/>
        <v>23469.605585929152</v>
      </c>
      <c r="I68" s="144">
        <f>C68*'balance sheet'!C$36*1000000</f>
        <v>67586406.640068978</v>
      </c>
      <c r="J68" s="144">
        <f>I68/KPI´s!I$23</f>
        <v>6359.2780052755907</v>
      </c>
      <c r="K68" s="144">
        <f t="shared" si="22"/>
        <v>168957500</v>
      </c>
      <c r="L68" s="144">
        <f>K68/KPI´s!I$23</f>
        <v>15897.393677079413</v>
      </c>
      <c r="M68" s="144">
        <f t="shared" si="23"/>
        <v>595467953.33682597</v>
      </c>
      <c r="N68" s="144">
        <f>M68/KPI´s!I$23</f>
        <v>56028.222933461235</v>
      </c>
      <c r="O68" s="145">
        <f>'balance sheet'!K$35*'Lithium Carbon Offsetting'!C68/3.6*1000000</f>
        <v>21794127.355585963</v>
      </c>
      <c r="P68">
        <f t="shared" si="24"/>
        <v>2050.6329841537413</v>
      </c>
      <c r="Q68" s="144">
        <f t="shared" si="25"/>
        <v>7192062.0273433682</v>
      </c>
      <c r="R68" s="144">
        <f t="shared" si="26"/>
        <v>676.7088847707347</v>
      </c>
      <c r="S68" s="144">
        <f t="shared" si="27"/>
        <v>588275891.30948257</v>
      </c>
      <c r="T68" s="144">
        <f t="shared" si="28"/>
        <v>55351.514048690493</v>
      </c>
    </row>
    <row r="69" spans="1:20" x14ac:dyDescent="0.3">
      <c r="A69">
        <f t="shared" ref="A69:A85" si="30">A68+1</f>
        <v>80</v>
      </c>
      <c r="B69" s="68">
        <f>((KPI´s!$J$28*(A69/100*'CO2 calculations'!$C$36)+KPI´s!$J$28*((1-A69/100)*'CO2 calculations'!$C$35))/1000000)+KPI´s!J$29/1000000</f>
        <v>346.81467823241036</v>
      </c>
      <c r="C69" s="68">
        <f t="shared" si="29"/>
        <v>8.8996782324103378</v>
      </c>
      <c r="D69">
        <v>337.91500000000002</v>
      </c>
      <c r="E69" s="143">
        <f>(KPI´s!$J$28*(1-A69/100))*'CO2 calculations'!E$35</f>
        <v>104275312.88523996</v>
      </c>
      <c r="F69" s="143">
        <f t="shared" si="20"/>
        <v>9811.3768239781675</v>
      </c>
      <c r="G69" s="143">
        <f>(KPI´s!$J$28*(A69/100))*'CO2 calculations'!E$36</f>
        <v>252592372.8276</v>
      </c>
      <c r="H69">
        <f t="shared" si="21"/>
        <v>23766.689200940909</v>
      </c>
      <c r="I69" s="144">
        <f>C69*'balance sheet'!C$36*1000000</f>
        <v>46224928.739139296</v>
      </c>
      <c r="J69" s="144">
        <f>I69/KPI´s!I$23</f>
        <v>4349.3534756435165</v>
      </c>
      <c r="K69" s="144">
        <f t="shared" si="22"/>
        <v>168957500</v>
      </c>
      <c r="L69" s="144">
        <f>K69/KPI´s!I$23</f>
        <v>15897.393677079413</v>
      </c>
      <c r="M69" s="144">
        <f t="shared" si="23"/>
        <v>572050114.45197928</v>
      </c>
      <c r="N69" s="144">
        <f>M69/KPI´s!I$23</f>
        <v>53824.813177642012</v>
      </c>
      <c r="O69" s="145">
        <f>'balance sheet'!K$35*'Lithium Carbon Offsetting'!C69/3.6*1000000</f>
        <v>14905837.342540797</v>
      </c>
      <c r="P69">
        <f t="shared" si="24"/>
        <v>1402.5063363324048</v>
      </c>
      <c r="Q69" s="144">
        <f t="shared" si="25"/>
        <v>4918926.3230384635</v>
      </c>
      <c r="R69" s="144">
        <f t="shared" si="26"/>
        <v>462.8270909896936</v>
      </c>
      <c r="S69" s="144">
        <f t="shared" si="27"/>
        <v>567131188.12894082</v>
      </c>
      <c r="T69" s="144">
        <f t="shared" si="28"/>
        <v>53361.986086652316</v>
      </c>
    </row>
    <row r="70" spans="1:20" x14ac:dyDescent="0.3">
      <c r="A70">
        <f t="shared" si="30"/>
        <v>81</v>
      </c>
      <c r="B70" s="68">
        <f>((KPI´s!$J$28*(A70/100*'CO2 calculations'!$C$36)+KPI´s!$J$28*((1-A70/100)*'CO2 calculations'!$C$35))/1000000)+KPI´s!J$29/1000000</f>
        <v>342.70195626457638</v>
      </c>
      <c r="C70" s="68">
        <f t="shared" si="29"/>
        <v>4.7869562645763608</v>
      </c>
      <c r="D70">
        <v>337.91500000000002</v>
      </c>
      <c r="E70" s="143">
        <f>(KPI´s!$J$28*(1-A70/100))*'CO2 calculations'!E$35</f>
        <v>99061547.240977943</v>
      </c>
      <c r="F70" s="143">
        <f t="shared" si="20"/>
        <v>9320.8079827792571</v>
      </c>
      <c r="G70" s="143">
        <f>(KPI´s!$J$28*(A70/100))*'CO2 calculations'!E$36</f>
        <v>255749777.48794499</v>
      </c>
      <c r="H70">
        <f t="shared" si="21"/>
        <v>24063.77281595267</v>
      </c>
      <c r="I70" s="144">
        <f>C70*'balance sheet'!C$36*1000000</f>
        <v>24863450.838209618</v>
      </c>
      <c r="J70" s="144">
        <f>I70/KPI´s!I$23</f>
        <v>2339.4289460114433</v>
      </c>
      <c r="K70" s="144">
        <f t="shared" si="22"/>
        <v>168957500</v>
      </c>
      <c r="L70" s="144">
        <f>K70/KPI´s!I$23</f>
        <v>15897.393677079413</v>
      </c>
      <c r="M70" s="144">
        <f t="shared" si="23"/>
        <v>548632275.56713247</v>
      </c>
      <c r="N70" s="144">
        <f>M70/KPI´s!I$23</f>
        <v>51621.403421822775</v>
      </c>
      <c r="O70" s="145">
        <f>'balance sheet'!K$35*'Lithium Carbon Offsetting'!C70/3.6*1000000</f>
        <v>8017547.3294956349</v>
      </c>
      <c r="P70">
        <f t="shared" si="24"/>
        <v>754.37968851106837</v>
      </c>
      <c r="Q70" s="144">
        <f t="shared" si="25"/>
        <v>2645790.6187335597</v>
      </c>
      <c r="R70" s="144">
        <f t="shared" si="26"/>
        <v>248.94529720865259</v>
      </c>
      <c r="S70" s="144">
        <f t="shared" si="27"/>
        <v>545986484.94839895</v>
      </c>
      <c r="T70" s="144">
        <f t="shared" si="28"/>
        <v>51372.458124614124</v>
      </c>
    </row>
    <row r="71" spans="1:20" x14ac:dyDescent="0.3">
      <c r="A71">
        <f t="shared" si="30"/>
        <v>82</v>
      </c>
      <c r="B71" s="68">
        <f>((KPI´s!$J$28*(A71/100*'CO2 calculations'!$C$36)+KPI´s!$J$28*((1-A71/100)*'CO2 calculations'!$C$35))/1000000)+KPI´s!J$29/1000000</f>
        <v>338.5892342967424</v>
      </c>
      <c r="C71" s="68">
        <f t="shared" si="29"/>
        <v>0</v>
      </c>
      <c r="D71" s="68">
        <f>Table1[[#This Row],[Total E]]</f>
        <v>338.5892342967424</v>
      </c>
      <c r="E71" s="143">
        <f>(KPI´s!$J$28*(1-A71/100))*'CO2 calculations'!E$35</f>
        <v>93847781.596716002</v>
      </c>
      <c r="F71" s="143">
        <f t="shared" si="20"/>
        <v>8830.239141580354</v>
      </c>
      <c r="G71" s="143">
        <f>(KPI´s!$J$28*(A71/100))*'CO2 calculations'!E$36</f>
        <v>258907182.14828998</v>
      </c>
      <c r="H71">
        <f t="shared" si="21"/>
        <v>24360.856430964432</v>
      </c>
      <c r="I71" s="144">
        <f>C71*'balance sheet'!C$36*1000000</f>
        <v>0</v>
      </c>
      <c r="J71" s="144">
        <f>I71/KPI´s!I$23</f>
        <v>0</v>
      </c>
      <c r="K71" s="144">
        <f t="shared" si="22"/>
        <v>169294617.14837122</v>
      </c>
      <c r="L71" s="144">
        <f>K71/KPI´s!I$23</f>
        <v>15929.113393712008</v>
      </c>
      <c r="M71" s="144">
        <f t="shared" si="23"/>
        <v>522049580.89337718</v>
      </c>
      <c r="N71" s="144">
        <f>M71/KPI´s!I$23</f>
        <v>49120.208966256789</v>
      </c>
      <c r="O71" s="145">
        <f>'balance sheet'!K$35*'Lithium Carbon Offsetting'!C71/3.6*1000000</f>
        <v>0</v>
      </c>
      <c r="P71">
        <f t="shared" si="24"/>
        <v>0</v>
      </c>
      <c r="Q71" s="144">
        <f t="shared" si="25"/>
        <v>0</v>
      </c>
      <c r="R71" s="144">
        <f t="shared" si="26"/>
        <v>0</v>
      </c>
      <c r="S71" s="144">
        <f t="shared" si="27"/>
        <v>522049580.89337718</v>
      </c>
      <c r="T71" s="144">
        <f t="shared" si="28"/>
        <v>49120.208966256789</v>
      </c>
    </row>
    <row r="72" spans="1:20" x14ac:dyDescent="0.3">
      <c r="A72">
        <f t="shared" si="30"/>
        <v>83</v>
      </c>
      <c r="B72" s="68">
        <f>((KPI´s!$J$28*(A72/100*'CO2 calculations'!$C$36)+KPI´s!$J$28*((1-A72/100)*'CO2 calculations'!$C$35))/1000000)+KPI´s!J$29/1000000</f>
        <v>334.47651232890843</v>
      </c>
      <c r="C72" s="68">
        <f t="shared" si="29"/>
        <v>0</v>
      </c>
      <c r="D72" s="68">
        <f>Table1[[#This Row],[Total E]]</f>
        <v>334.47651232890843</v>
      </c>
      <c r="E72" s="143">
        <f>(KPI´s!$J$28*(1-A72/100))*'CO2 calculations'!E$35</f>
        <v>88634015.952454001</v>
      </c>
      <c r="F72" s="143">
        <f t="shared" si="20"/>
        <v>8339.6703003814455</v>
      </c>
      <c r="G72" s="143">
        <f>(KPI´s!$J$28*(A72/100))*'CO2 calculations'!E$36</f>
        <v>262064586.808635</v>
      </c>
      <c r="H72">
        <f t="shared" si="21"/>
        <v>24657.940045976196</v>
      </c>
      <c r="I72" s="144">
        <f>C72*'balance sheet'!C$36*1000000</f>
        <v>0</v>
      </c>
      <c r="J72" s="144">
        <f>I72/KPI´s!I$23</f>
        <v>0</v>
      </c>
      <c r="K72" s="144">
        <f t="shared" si="22"/>
        <v>167238256.16445422</v>
      </c>
      <c r="L72" s="144">
        <f>K72/KPI´s!I$23</f>
        <v>15735.628167524861</v>
      </c>
      <c r="M72" s="144">
        <f t="shared" si="23"/>
        <v>517936858.92554319</v>
      </c>
      <c r="N72" s="144">
        <f>M72/KPI´s!I$23</f>
        <v>48733.238513882498</v>
      </c>
      <c r="O72" s="145">
        <f>'balance sheet'!K$35*'Lithium Carbon Offsetting'!C72/3.6*1000000</f>
        <v>0</v>
      </c>
      <c r="P72">
        <f t="shared" si="24"/>
        <v>0</v>
      </c>
      <c r="Q72" s="144">
        <f t="shared" si="25"/>
        <v>0</v>
      </c>
      <c r="R72" s="144">
        <f t="shared" si="26"/>
        <v>0</v>
      </c>
      <c r="S72" s="144">
        <f t="shared" si="27"/>
        <v>517936858.92554319</v>
      </c>
      <c r="T72" s="144">
        <f t="shared" si="28"/>
        <v>48733.238513882498</v>
      </c>
    </row>
    <row r="73" spans="1:20" x14ac:dyDescent="0.3">
      <c r="A73">
        <f t="shared" si="30"/>
        <v>84</v>
      </c>
      <c r="B73" s="68">
        <f>((KPI´s!$J$28*(A73/100*'CO2 calculations'!$C$36)+KPI´s!$J$28*((1-A73/100)*'CO2 calculations'!$C$35))/1000000)+KPI´s!J$29/1000000</f>
        <v>330.36379036107439</v>
      </c>
      <c r="C73" s="68">
        <f t="shared" si="29"/>
        <v>0</v>
      </c>
      <c r="D73" s="68">
        <f>Table1[[#This Row],[Total E]]</f>
        <v>330.36379036107439</v>
      </c>
      <c r="E73" s="143">
        <f>(KPI´s!$J$28*(1-A73/100))*'CO2 calculations'!E$35</f>
        <v>83420250.308192</v>
      </c>
      <c r="F73" s="143">
        <f t="shared" si="20"/>
        <v>7849.1014591825369</v>
      </c>
      <c r="G73" s="143">
        <f>(KPI´s!$J$28*(A73/100))*'CO2 calculations'!E$36</f>
        <v>265221991.46897998</v>
      </c>
      <c r="H73">
        <f t="shared" si="21"/>
        <v>24955.023660987954</v>
      </c>
      <c r="I73" s="144">
        <f>C73*'balance sheet'!C$36*1000000</f>
        <v>0</v>
      </c>
      <c r="J73" s="144">
        <f>I73/KPI´s!I$23</f>
        <v>0</v>
      </c>
      <c r="K73" s="144">
        <f t="shared" si="22"/>
        <v>165181895.18053719</v>
      </c>
      <c r="L73" s="144">
        <f>K73/KPI´s!I$23</f>
        <v>15542.142941337712</v>
      </c>
      <c r="M73" s="144">
        <f t="shared" si="23"/>
        <v>513824136.95770919</v>
      </c>
      <c r="N73" s="144">
        <f>M73/KPI´s!I$23</f>
        <v>48346.268061508206</v>
      </c>
      <c r="O73" s="145">
        <f>'balance sheet'!K$35*'Lithium Carbon Offsetting'!C73/3.6*1000000</f>
        <v>0</v>
      </c>
      <c r="P73">
        <f t="shared" si="24"/>
        <v>0</v>
      </c>
      <c r="Q73" s="144">
        <f t="shared" si="25"/>
        <v>0</v>
      </c>
      <c r="R73" s="144">
        <f t="shared" si="26"/>
        <v>0</v>
      </c>
      <c r="S73" s="144">
        <f t="shared" si="27"/>
        <v>513824136.95770919</v>
      </c>
      <c r="T73" s="144">
        <f t="shared" si="28"/>
        <v>48346.268061508206</v>
      </c>
    </row>
    <row r="74" spans="1:20" x14ac:dyDescent="0.3">
      <c r="A74">
        <f t="shared" si="30"/>
        <v>85</v>
      </c>
      <c r="B74" s="68">
        <f>((KPI´s!$J$28*(A74/100*'CO2 calculations'!$C$36)+KPI´s!$J$28*((1-A74/100)*'CO2 calculations'!$C$35))/1000000)+KPI´s!J$29/1000000</f>
        <v>326.25106839324036</v>
      </c>
      <c r="C74" s="68">
        <f t="shared" si="29"/>
        <v>0</v>
      </c>
      <c r="D74" s="68">
        <f>Table1[[#This Row],[Total E]]</f>
        <v>326.25106839324036</v>
      </c>
      <c r="E74" s="143">
        <f>(KPI´s!$J$28*(1-A74/100))*'CO2 calculations'!E$35</f>
        <v>78206484.663929999</v>
      </c>
      <c r="F74" s="143">
        <f t="shared" si="20"/>
        <v>7358.5326179836284</v>
      </c>
      <c r="G74" s="143">
        <f>(KPI´s!$J$28*(A74/100))*'CO2 calculations'!E$36</f>
        <v>268379396.12932497</v>
      </c>
      <c r="H74">
        <f t="shared" si="21"/>
        <v>25252.107275999715</v>
      </c>
      <c r="I74" s="144">
        <f>C74*'balance sheet'!C$36*1000000</f>
        <v>0</v>
      </c>
      <c r="J74" s="144">
        <f>I74/KPI´s!I$23</f>
        <v>0</v>
      </c>
      <c r="K74" s="144">
        <f t="shared" si="22"/>
        <v>163125534.19662017</v>
      </c>
      <c r="L74" s="144">
        <f>K74/KPI´s!I$23</f>
        <v>15348.657715150561</v>
      </c>
      <c r="M74" s="144">
        <f t="shared" si="23"/>
        <v>509711414.98987514</v>
      </c>
      <c r="N74" s="144">
        <f>M74/KPI´s!I$23</f>
        <v>47959.297609133908</v>
      </c>
      <c r="O74" s="145">
        <f>'balance sheet'!K$35*'Lithium Carbon Offsetting'!C74/3.6*1000000</f>
        <v>0</v>
      </c>
      <c r="P74">
        <f t="shared" si="24"/>
        <v>0</v>
      </c>
      <c r="Q74" s="144">
        <f t="shared" si="25"/>
        <v>0</v>
      </c>
      <c r="R74" s="144">
        <f t="shared" si="26"/>
        <v>0</v>
      </c>
      <c r="S74" s="144">
        <f t="shared" si="27"/>
        <v>509711414.98987514</v>
      </c>
      <c r="T74" s="144">
        <f t="shared" si="28"/>
        <v>47959.297609133908</v>
      </c>
    </row>
    <row r="75" spans="1:20" x14ac:dyDescent="0.3">
      <c r="A75">
        <f t="shared" si="30"/>
        <v>86</v>
      </c>
      <c r="B75" s="68">
        <f>((KPI´s!$J$28*(A75/100*'CO2 calculations'!$C$36)+KPI´s!$J$28*((1-A75/100)*'CO2 calculations'!$C$35))/1000000)+KPI´s!J$29/1000000</f>
        <v>322.13834642540644</v>
      </c>
      <c r="C75" s="68">
        <f t="shared" si="29"/>
        <v>0</v>
      </c>
      <c r="D75" s="68">
        <f>Table1[[#This Row],[Total E]]</f>
        <v>322.13834642540644</v>
      </c>
      <c r="E75" s="143">
        <f>(KPI´s!$J$28*(1-A75/100))*'CO2 calculations'!E$35</f>
        <v>72992719.019667983</v>
      </c>
      <c r="F75" s="143">
        <f t="shared" si="20"/>
        <v>6867.963776784718</v>
      </c>
      <c r="G75" s="143">
        <f>(KPI´s!$J$28*(A75/100))*'CO2 calculations'!E$36</f>
        <v>271536800.78966999</v>
      </c>
      <c r="H75">
        <f t="shared" si="21"/>
        <v>25549.19089101148</v>
      </c>
      <c r="I75" s="144">
        <f>C75*'balance sheet'!C$36*1000000</f>
        <v>0</v>
      </c>
      <c r="J75" s="144">
        <f>I75/KPI´s!I$23</f>
        <v>0</v>
      </c>
      <c r="K75" s="144">
        <f t="shared" si="22"/>
        <v>161069173.21270323</v>
      </c>
      <c r="L75" s="144">
        <f>K75/KPI´s!I$23</f>
        <v>15155.172488963421</v>
      </c>
      <c r="M75" s="144">
        <f t="shared" si="23"/>
        <v>505598693.0220412</v>
      </c>
      <c r="N75" s="144">
        <f>M75/KPI´s!I$23</f>
        <v>47572.327156759617</v>
      </c>
      <c r="O75" s="145">
        <f>'balance sheet'!K$35*'Lithium Carbon Offsetting'!C75/3.6*1000000</f>
        <v>0</v>
      </c>
      <c r="P75">
        <f t="shared" si="24"/>
        <v>0</v>
      </c>
      <c r="Q75" s="144">
        <f t="shared" si="25"/>
        <v>0</v>
      </c>
      <c r="R75" s="144">
        <f t="shared" si="26"/>
        <v>0</v>
      </c>
      <c r="S75" s="144">
        <f t="shared" si="27"/>
        <v>505598693.0220412</v>
      </c>
      <c r="T75" s="144">
        <f t="shared" si="28"/>
        <v>47572.327156759617</v>
      </c>
    </row>
    <row r="76" spans="1:20" x14ac:dyDescent="0.3">
      <c r="A76">
        <f t="shared" si="30"/>
        <v>87</v>
      </c>
      <c r="B76" s="68">
        <f>((KPI´s!$J$28*(A76/100*'CO2 calculations'!$C$36)+KPI´s!$J$28*((1-A76/100)*'CO2 calculations'!$C$35))/1000000)+KPI´s!J$29/1000000</f>
        <v>318.02562445757235</v>
      </c>
      <c r="C76" s="68">
        <f t="shared" si="29"/>
        <v>0</v>
      </c>
      <c r="D76" s="68">
        <f>Table1[[#This Row],[Total E]]</f>
        <v>318.02562445757235</v>
      </c>
      <c r="E76" s="143">
        <f>(KPI´s!$J$28*(1-A76/100))*'CO2 calculations'!E$35</f>
        <v>67778953.375405982</v>
      </c>
      <c r="F76" s="143">
        <f t="shared" si="20"/>
        <v>6377.3949355858094</v>
      </c>
      <c r="G76" s="143">
        <f>(KPI´s!$J$28*(A76/100))*'CO2 calculations'!E$36</f>
        <v>274694205.45001501</v>
      </c>
      <c r="H76">
        <f t="shared" si="21"/>
        <v>25846.274506023241</v>
      </c>
      <c r="I76" s="144">
        <f>C76*'balance sheet'!C$36*1000000</f>
        <v>0</v>
      </c>
      <c r="J76" s="144">
        <f>I76/KPI´s!I$23</f>
        <v>0</v>
      </c>
      <c r="K76" s="144">
        <f t="shared" si="22"/>
        <v>159012812.22878617</v>
      </c>
      <c r="L76" s="144">
        <f>K76/KPI´s!I$23</f>
        <v>14961.687262776268</v>
      </c>
      <c r="M76" s="144">
        <f t="shared" si="23"/>
        <v>501485971.05420715</v>
      </c>
      <c r="N76" s="144">
        <f>M76/KPI´s!I$23</f>
        <v>47185.356704385318</v>
      </c>
      <c r="O76" s="145">
        <f>'balance sheet'!K$35*'Lithium Carbon Offsetting'!C76/3.6*1000000</f>
        <v>0</v>
      </c>
      <c r="P76">
        <f t="shared" si="24"/>
        <v>0</v>
      </c>
      <c r="Q76" s="144">
        <f t="shared" si="25"/>
        <v>0</v>
      </c>
      <c r="R76" s="144">
        <f t="shared" si="26"/>
        <v>0</v>
      </c>
      <c r="S76" s="144">
        <f t="shared" si="27"/>
        <v>501485971.05420715</v>
      </c>
      <c r="T76" s="144">
        <f t="shared" si="28"/>
        <v>47185.356704385318</v>
      </c>
    </row>
    <row r="77" spans="1:20" x14ac:dyDescent="0.3">
      <c r="A77">
        <f t="shared" si="30"/>
        <v>88</v>
      </c>
      <c r="B77" s="68">
        <f>((KPI´s!$J$28*(A77/100*'CO2 calculations'!$C$36)+KPI´s!$J$28*((1-A77/100)*'CO2 calculations'!$C$35))/1000000)+KPI´s!J$29/1000000</f>
        <v>313.91290248973843</v>
      </c>
      <c r="C77" s="68">
        <f t="shared" si="29"/>
        <v>0</v>
      </c>
      <c r="D77" s="68">
        <f>Table1[[#This Row],[Total E]]</f>
        <v>313.91290248973843</v>
      </c>
      <c r="E77" s="143">
        <f>(KPI´s!$J$28*(1-A77/100))*'CO2 calculations'!E$35</f>
        <v>62565187.731143989</v>
      </c>
      <c r="F77" s="143">
        <f t="shared" si="20"/>
        <v>5886.8260943869018</v>
      </c>
      <c r="G77" s="143">
        <f>(KPI´s!$J$28*(A77/100))*'CO2 calculations'!E$36</f>
        <v>277851610.11035997</v>
      </c>
      <c r="H77">
        <f t="shared" si="21"/>
        <v>26143.358121034998</v>
      </c>
      <c r="I77" s="144">
        <f>C77*'balance sheet'!C$36*1000000</f>
        <v>0</v>
      </c>
      <c r="J77" s="144">
        <f>I77/KPI´s!I$23</f>
        <v>0</v>
      </c>
      <c r="K77" s="144">
        <f t="shared" si="22"/>
        <v>156956451.2448692</v>
      </c>
      <c r="L77" s="144">
        <f>K77/KPI´s!I$23</f>
        <v>14768.202036589124</v>
      </c>
      <c r="M77" s="144">
        <f t="shared" si="23"/>
        <v>497373249.08637315</v>
      </c>
      <c r="N77" s="144">
        <f>M77/KPI´s!I$23</f>
        <v>46798.38625201102</v>
      </c>
      <c r="O77" s="145">
        <f>'balance sheet'!K$35*'Lithium Carbon Offsetting'!C77/3.6*1000000</f>
        <v>0</v>
      </c>
      <c r="P77">
        <f t="shared" si="24"/>
        <v>0</v>
      </c>
      <c r="Q77" s="144">
        <f t="shared" si="25"/>
        <v>0</v>
      </c>
      <c r="R77" s="144">
        <f t="shared" si="26"/>
        <v>0</v>
      </c>
      <c r="S77" s="144">
        <f t="shared" si="27"/>
        <v>497373249.08637315</v>
      </c>
      <c r="T77" s="144">
        <f t="shared" si="28"/>
        <v>46798.38625201102</v>
      </c>
    </row>
    <row r="78" spans="1:20" x14ac:dyDescent="0.3">
      <c r="A78">
        <f t="shared" si="30"/>
        <v>89</v>
      </c>
      <c r="B78" s="68">
        <f>((KPI´s!$J$28*(A78/100*'CO2 calculations'!$C$36)+KPI´s!$J$28*((1-A78/100)*'CO2 calculations'!$C$35))/1000000)+KPI´s!J$29/1000000</f>
        <v>309.80018052190434</v>
      </c>
      <c r="C78" s="68">
        <f t="shared" si="29"/>
        <v>0</v>
      </c>
      <c r="D78" s="68">
        <f>Table1[[#This Row],[Total E]]</f>
        <v>309.80018052190434</v>
      </c>
      <c r="E78" s="143">
        <f>(KPI´s!$J$28*(1-A78/100))*'CO2 calculations'!E$35</f>
        <v>57351422.08688198</v>
      </c>
      <c r="F78" s="143">
        <f t="shared" si="20"/>
        <v>5396.2572531879923</v>
      </c>
      <c r="G78" s="143">
        <f>(KPI´s!$J$28*(A78/100))*'CO2 calculations'!E$36</f>
        <v>281009014.77070498</v>
      </c>
      <c r="H78">
        <f t="shared" si="21"/>
        <v>26440.441736046763</v>
      </c>
      <c r="I78" s="144">
        <f>C78*'balance sheet'!C$36*1000000</f>
        <v>0</v>
      </c>
      <c r="J78" s="144">
        <f>I78/KPI´s!I$23</f>
        <v>0</v>
      </c>
      <c r="K78" s="144">
        <f t="shared" si="22"/>
        <v>154900090.26095214</v>
      </c>
      <c r="L78" s="144">
        <f>K78/KPI´s!I$23</f>
        <v>14574.716810401971</v>
      </c>
      <c r="M78" s="144">
        <f t="shared" si="23"/>
        <v>493260527.11853909</v>
      </c>
      <c r="N78" s="144">
        <f>M78/KPI´s!I$23</f>
        <v>46411.415799636721</v>
      </c>
      <c r="O78" s="145">
        <f>'balance sheet'!K$35*'Lithium Carbon Offsetting'!C78/3.6*1000000</f>
        <v>0</v>
      </c>
      <c r="P78">
        <f t="shared" si="24"/>
        <v>0</v>
      </c>
      <c r="Q78" s="144">
        <f t="shared" si="25"/>
        <v>0</v>
      </c>
      <c r="R78" s="144">
        <f t="shared" si="26"/>
        <v>0</v>
      </c>
      <c r="S78" s="144">
        <f t="shared" si="27"/>
        <v>493260527.11853909</v>
      </c>
      <c r="T78" s="144">
        <f t="shared" si="28"/>
        <v>46411.415799636721</v>
      </c>
    </row>
    <row r="79" spans="1:20" x14ac:dyDescent="0.3">
      <c r="A79">
        <f t="shared" si="30"/>
        <v>90</v>
      </c>
      <c r="B79" s="68">
        <f>((KPI´s!$J$28*(A79/100*'CO2 calculations'!$C$36)+KPI´s!$J$28*((1-A79/100)*'CO2 calculations'!$C$35))/1000000)+KPI´s!J$29/1000000</f>
        <v>305.68745855407036</v>
      </c>
      <c r="C79" s="68">
        <f t="shared" si="29"/>
        <v>0</v>
      </c>
      <c r="D79" s="68">
        <f>Table1[[#This Row],[Total E]]</f>
        <v>305.68745855407036</v>
      </c>
      <c r="E79" s="143">
        <f>(KPI´s!$J$28*(1-A79/100))*'CO2 calculations'!E$35</f>
        <v>52137656.442619979</v>
      </c>
      <c r="F79" s="143">
        <f t="shared" si="20"/>
        <v>4905.6884119890838</v>
      </c>
      <c r="G79" s="143">
        <f>(KPI´s!$J$28*(A79/100))*'CO2 calculations'!E$36</f>
        <v>284166419.43105</v>
      </c>
      <c r="H79">
        <f t="shared" si="21"/>
        <v>26737.525351058524</v>
      </c>
      <c r="I79" s="144">
        <f>C79*'balance sheet'!C$36*1000000</f>
        <v>0</v>
      </c>
      <c r="J79" s="144">
        <f>I79/KPI´s!I$23</f>
        <v>0</v>
      </c>
      <c r="K79" s="144">
        <f t="shared" si="22"/>
        <v>152843729.27703521</v>
      </c>
      <c r="L79" s="144">
        <f>K79/KPI´s!I$23</f>
        <v>14381.231584214829</v>
      </c>
      <c r="M79" s="144">
        <f t="shared" si="23"/>
        <v>489147805.15070516</v>
      </c>
      <c r="N79" s="144">
        <f>M79/KPI´s!I$23</f>
        <v>46024.445347262437</v>
      </c>
      <c r="O79" s="145">
        <f>'balance sheet'!K$35*'Lithium Carbon Offsetting'!C79/3.6*1000000</f>
        <v>0</v>
      </c>
      <c r="P79">
        <f t="shared" si="24"/>
        <v>0</v>
      </c>
      <c r="Q79" s="144">
        <f t="shared" si="25"/>
        <v>0</v>
      </c>
      <c r="R79" s="144">
        <f t="shared" si="26"/>
        <v>0</v>
      </c>
      <c r="S79" s="144">
        <f t="shared" si="27"/>
        <v>489147805.15070516</v>
      </c>
      <c r="T79" s="144">
        <f t="shared" si="28"/>
        <v>46024.445347262437</v>
      </c>
    </row>
    <row r="80" spans="1:20" x14ac:dyDescent="0.3">
      <c r="A80">
        <f t="shared" si="30"/>
        <v>91</v>
      </c>
      <c r="B80" s="68">
        <f>((KPI´s!$J$28*(A80/100*'CO2 calculations'!$C$36)+KPI´s!$J$28*((1-A80/100)*'CO2 calculations'!$C$35))/1000000)+KPI´s!J$29/1000000</f>
        <v>301.57473658623638</v>
      </c>
      <c r="C80" s="68">
        <f t="shared" si="29"/>
        <v>0</v>
      </c>
      <c r="D80" s="68">
        <f>Table1[[#This Row],[Total E]]</f>
        <v>301.57473658623638</v>
      </c>
      <c r="E80" s="143">
        <f>(KPI´s!$J$28*(1-A80/100))*'CO2 calculations'!E$35</f>
        <v>46923890.798357971</v>
      </c>
      <c r="F80" s="143">
        <f t="shared" si="20"/>
        <v>4415.1195707901743</v>
      </c>
      <c r="G80" s="143">
        <f>(KPI´s!$J$28*(A80/100))*'CO2 calculations'!E$36</f>
        <v>287323824.09139496</v>
      </c>
      <c r="H80">
        <f t="shared" si="21"/>
        <v>27034.608966070282</v>
      </c>
      <c r="I80" s="144">
        <f>C80*'balance sheet'!C$36*1000000</f>
        <v>0</v>
      </c>
      <c r="J80" s="144">
        <f>I80/KPI´s!I$23</f>
        <v>0</v>
      </c>
      <c r="K80" s="144">
        <f t="shared" si="22"/>
        <v>150787368.29311821</v>
      </c>
      <c r="L80" s="144">
        <f>K80/KPI´s!I$23</f>
        <v>14187.746358027682</v>
      </c>
      <c r="M80" s="144">
        <f t="shared" si="23"/>
        <v>485035083.1828711</v>
      </c>
      <c r="N80" s="144">
        <f>M80/KPI´s!I$23</f>
        <v>45637.474894888139</v>
      </c>
      <c r="O80" s="145">
        <f>'balance sheet'!K$35*'Lithium Carbon Offsetting'!C80/3.6*1000000</f>
        <v>0</v>
      </c>
      <c r="P80">
        <f t="shared" si="24"/>
        <v>0</v>
      </c>
      <c r="Q80" s="144">
        <f t="shared" si="25"/>
        <v>0</v>
      </c>
      <c r="R80" s="144">
        <f t="shared" si="26"/>
        <v>0</v>
      </c>
      <c r="S80" s="144">
        <f t="shared" si="27"/>
        <v>485035083.1828711</v>
      </c>
      <c r="T80" s="144">
        <f t="shared" si="28"/>
        <v>45637.474894888139</v>
      </c>
    </row>
    <row r="81" spans="1:20" x14ac:dyDescent="0.3">
      <c r="A81">
        <f t="shared" si="30"/>
        <v>92</v>
      </c>
      <c r="B81" s="68">
        <f>((KPI´s!$J$28*(A81/100*'CO2 calculations'!$C$36)+KPI´s!$J$28*((1-A81/100)*'CO2 calculations'!$C$35))/1000000)+KPI´s!J$29/1000000</f>
        <v>297.46201461840235</v>
      </c>
      <c r="C81" s="68">
        <f t="shared" si="29"/>
        <v>0</v>
      </c>
      <c r="D81" s="68">
        <f>Table1[[#This Row],[Total E]]</f>
        <v>297.46201461840235</v>
      </c>
      <c r="E81" s="143">
        <f>(KPI´s!$J$28*(1-A81/100))*'CO2 calculations'!E$35</f>
        <v>41710125.15409597</v>
      </c>
      <c r="F81" s="143">
        <f t="shared" si="20"/>
        <v>3924.5507295912657</v>
      </c>
      <c r="G81" s="143">
        <f>(KPI´s!$J$28*(A81/100))*'CO2 calculations'!E$36</f>
        <v>290481228.75174004</v>
      </c>
      <c r="H81">
        <f t="shared" si="21"/>
        <v>27331.69258108205</v>
      </c>
      <c r="I81" s="144">
        <f>C81*'balance sheet'!C$36*1000000</f>
        <v>0</v>
      </c>
      <c r="J81" s="144">
        <f>I81/KPI´s!I$23</f>
        <v>0</v>
      </c>
      <c r="K81" s="144">
        <f t="shared" si="22"/>
        <v>148731007.30920118</v>
      </c>
      <c r="L81" s="144">
        <f>K81/KPI´s!I$23</f>
        <v>13994.261131840532</v>
      </c>
      <c r="M81" s="144">
        <f t="shared" si="23"/>
        <v>480922361.21503717</v>
      </c>
      <c r="N81" s="144">
        <f>M81/KPI´s!I$23</f>
        <v>45250.504442513848</v>
      </c>
      <c r="O81" s="145">
        <f>'balance sheet'!K$35*'Lithium Carbon Offsetting'!C81/3.6*1000000</f>
        <v>0</v>
      </c>
      <c r="P81">
        <f t="shared" si="24"/>
        <v>0</v>
      </c>
      <c r="Q81" s="144">
        <f t="shared" si="25"/>
        <v>0</v>
      </c>
      <c r="R81" s="144">
        <f t="shared" si="26"/>
        <v>0</v>
      </c>
      <c r="S81" s="144">
        <f t="shared" si="27"/>
        <v>480922361.21503717</v>
      </c>
      <c r="T81" s="144">
        <f t="shared" si="28"/>
        <v>45250.504442513848</v>
      </c>
    </row>
    <row r="82" spans="1:20" x14ac:dyDescent="0.3">
      <c r="A82">
        <f t="shared" si="30"/>
        <v>93</v>
      </c>
      <c r="B82" s="68">
        <f>((KPI´s!$J$28*(A82/100*'CO2 calculations'!$C$36)+KPI´s!$J$28*((1-A82/100)*'CO2 calculations'!$C$35))/1000000)+KPI´s!J$29/1000000</f>
        <v>293.34929265056837</v>
      </c>
      <c r="C82" s="68">
        <f t="shared" si="29"/>
        <v>0</v>
      </c>
      <c r="D82" s="68">
        <f>Table1[[#This Row],[Total E]]</f>
        <v>293.34929265056837</v>
      </c>
      <c r="E82" s="143">
        <f>(KPI´s!$J$28*(1-A82/100))*'CO2 calculations'!E$35</f>
        <v>36496359.509833962</v>
      </c>
      <c r="F82" s="143">
        <f t="shared" si="20"/>
        <v>3433.9818883923563</v>
      </c>
      <c r="G82" s="143">
        <f>(KPI´s!$J$28*(A82/100))*'CO2 calculations'!E$36</f>
        <v>293638633.412085</v>
      </c>
      <c r="H82">
        <f t="shared" si="21"/>
        <v>27628.776196093808</v>
      </c>
      <c r="I82" s="144">
        <f>C82*'balance sheet'!C$36*1000000</f>
        <v>0</v>
      </c>
      <c r="J82" s="144">
        <f>I82/KPI´s!I$23</f>
        <v>0</v>
      </c>
      <c r="K82" s="144">
        <f t="shared" si="22"/>
        <v>146674646.32528418</v>
      </c>
      <c r="L82" s="144">
        <f>K82/KPI´s!I$23</f>
        <v>13800.775905653385</v>
      </c>
      <c r="M82" s="144">
        <f t="shared" si="23"/>
        <v>476809639.24720311</v>
      </c>
      <c r="N82" s="144">
        <f>M82/KPI´s!I$23</f>
        <v>44863.533990139549</v>
      </c>
      <c r="O82" s="145">
        <f>'balance sheet'!K$35*'Lithium Carbon Offsetting'!C82/3.6*1000000</f>
        <v>0</v>
      </c>
      <c r="P82">
        <f t="shared" si="24"/>
        <v>0</v>
      </c>
      <c r="Q82" s="144">
        <f t="shared" si="25"/>
        <v>0</v>
      </c>
      <c r="R82" s="144">
        <f t="shared" si="26"/>
        <v>0</v>
      </c>
      <c r="S82" s="144">
        <f t="shared" si="27"/>
        <v>476809639.24720311</v>
      </c>
      <c r="T82" s="144">
        <f t="shared" si="28"/>
        <v>44863.533990139549</v>
      </c>
    </row>
    <row r="83" spans="1:20" x14ac:dyDescent="0.3">
      <c r="A83">
        <f t="shared" si="30"/>
        <v>94</v>
      </c>
      <c r="B83" s="68">
        <f>((KPI´s!$J$28*(A83/100*'CO2 calculations'!$C$36)+KPI´s!$J$28*((1-A83/100)*'CO2 calculations'!$C$35))/1000000)+KPI´s!J$29/1000000</f>
        <v>289.2365706827344</v>
      </c>
      <c r="C83" s="68">
        <f t="shared" si="29"/>
        <v>0</v>
      </c>
      <c r="D83" s="68">
        <f>Table1[[#This Row],[Total E]]</f>
        <v>289.2365706827344</v>
      </c>
      <c r="E83" s="143">
        <f>(KPI´s!$J$28*(1-A83/100))*'CO2 calculations'!E$35</f>
        <v>31282593.86557202</v>
      </c>
      <c r="F83" s="143">
        <f t="shared" si="20"/>
        <v>2943.4130471934532</v>
      </c>
      <c r="G83" s="143">
        <f>(KPI´s!$J$28*(A83/100))*'CO2 calculations'!E$36</f>
        <v>296796038.07242996</v>
      </c>
      <c r="H83">
        <f t="shared" si="21"/>
        <v>27925.859811105565</v>
      </c>
      <c r="I83" s="144">
        <f>C83*'balance sheet'!C$36*1000000</f>
        <v>0</v>
      </c>
      <c r="J83" s="144">
        <f>I83/KPI´s!I$23</f>
        <v>0</v>
      </c>
      <c r="K83" s="144">
        <f t="shared" si="22"/>
        <v>144618285.34136719</v>
      </c>
      <c r="L83" s="144">
        <f>K83/KPI´s!I$23</f>
        <v>13607.290679466239</v>
      </c>
      <c r="M83" s="144">
        <f t="shared" si="23"/>
        <v>472696917.27936918</v>
      </c>
      <c r="N83" s="144">
        <f>M83/KPI´s!I$23</f>
        <v>44476.563537765258</v>
      </c>
      <c r="O83" s="145">
        <f>'balance sheet'!K$35*'Lithium Carbon Offsetting'!C83/3.6*1000000</f>
        <v>0</v>
      </c>
      <c r="P83">
        <f t="shared" si="24"/>
        <v>0</v>
      </c>
      <c r="Q83" s="144">
        <f t="shared" si="25"/>
        <v>0</v>
      </c>
      <c r="R83" s="144">
        <f t="shared" si="26"/>
        <v>0</v>
      </c>
      <c r="S83" s="144">
        <f t="shared" si="27"/>
        <v>472696917.27936918</v>
      </c>
      <c r="T83" s="144">
        <f t="shared" si="28"/>
        <v>44476.563537765258</v>
      </c>
    </row>
    <row r="84" spans="1:20" x14ac:dyDescent="0.3">
      <c r="A84">
        <f t="shared" si="30"/>
        <v>95</v>
      </c>
      <c r="B84" s="68">
        <f>((KPI´s!$J$28*(A84/100*'CO2 calculations'!$C$36)+KPI´s!$J$28*((1-A84/100)*'CO2 calculations'!$C$35))/1000000)+KPI´s!J$29/1000000</f>
        <v>285.12384871490036</v>
      </c>
      <c r="C84" s="68">
        <f t="shared" si="29"/>
        <v>0</v>
      </c>
      <c r="D84" s="68">
        <f>Table1[[#This Row],[Total E]]</f>
        <v>285.12384871490036</v>
      </c>
      <c r="E84" s="143">
        <f>(KPI´s!$J$28*(1-A84/100))*'CO2 calculations'!E$35</f>
        <v>26068828.221310019</v>
      </c>
      <c r="F84" s="143">
        <f t="shared" si="20"/>
        <v>2452.8442059945446</v>
      </c>
      <c r="G84" s="143">
        <f>(KPI´s!$J$28*(A84/100))*'CO2 calculations'!E$36</f>
        <v>299953442.73277497</v>
      </c>
      <c r="H84">
        <f t="shared" si="21"/>
        <v>28222.94342611733</v>
      </c>
      <c r="I84" s="144">
        <f>C84*'balance sheet'!C$36*1000000</f>
        <v>0</v>
      </c>
      <c r="J84" s="144">
        <f>I84/KPI´s!I$23</f>
        <v>0</v>
      </c>
      <c r="K84" s="144">
        <f t="shared" si="22"/>
        <v>142561924.35745019</v>
      </c>
      <c r="L84" s="144">
        <f>K84/KPI´s!I$23</f>
        <v>13413.805453279092</v>
      </c>
      <c r="M84" s="144">
        <f t="shared" si="23"/>
        <v>468584195.31153518</v>
      </c>
      <c r="N84" s="144">
        <f>M84/KPI´s!I$23</f>
        <v>44089.593085390967</v>
      </c>
      <c r="O84" s="145">
        <f>'balance sheet'!K$35*'Lithium Carbon Offsetting'!C84/3.6*1000000</f>
        <v>0</v>
      </c>
      <c r="P84">
        <f t="shared" si="24"/>
        <v>0</v>
      </c>
      <c r="Q84" s="144">
        <f t="shared" si="25"/>
        <v>0</v>
      </c>
      <c r="R84" s="144">
        <f t="shared" si="26"/>
        <v>0</v>
      </c>
      <c r="S84" s="144">
        <f t="shared" si="27"/>
        <v>468584195.31153518</v>
      </c>
      <c r="T84" s="144">
        <f t="shared" si="28"/>
        <v>44089.593085390967</v>
      </c>
    </row>
    <row r="85" spans="1:20" x14ac:dyDescent="0.3">
      <c r="A85">
        <f t="shared" si="30"/>
        <v>96</v>
      </c>
      <c r="B85" s="68">
        <f>((KPI´s!$J$28*(A85/100*'CO2 calculations'!$C$36)+KPI´s!$J$28*((1-A85/100)*'CO2 calculations'!$C$35))/1000000)+KPI´s!J$29/1000000</f>
        <v>281.01112674706638</v>
      </c>
      <c r="C85" s="68">
        <f t="shared" si="29"/>
        <v>0</v>
      </c>
      <c r="D85" s="68">
        <f>Table1[[#This Row],[Total E]]</f>
        <v>281.01112674706638</v>
      </c>
      <c r="E85" s="143">
        <f>(KPI´s!$J$28*(1-A85/100))*'CO2 calculations'!E$35</f>
        <v>20855062.577048015</v>
      </c>
      <c r="F85" s="143">
        <f t="shared" si="20"/>
        <v>1962.2753647956356</v>
      </c>
      <c r="G85" s="143">
        <f>(KPI´s!$J$28*(A85/100))*'CO2 calculations'!E$36</f>
        <v>303110847.39311999</v>
      </c>
      <c r="H85">
        <f t="shared" si="21"/>
        <v>28520.027041129091</v>
      </c>
      <c r="I85" s="144">
        <f>C85*'balance sheet'!C$36*1000000</f>
        <v>0</v>
      </c>
      <c r="J85" s="144">
        <f>I85/KPI´s!I$23</f>
        <v>0</v>
      </c>
      <c r="K85" s="144">
        <f t="shared" si="22"/>
        <v>140505563.37353319</v>
      </c>
      <c r="L85" s="144">
        <f>K85/KPI´s!I$23</f>
        <v>13220.320227091945</v>
      </c>
      <c r="M85" s="144">
        <f t="shared" si="23"/>
        <v>464471473.34370118</v>
      </c>
      <c r="N85" s="144">
        <f>M85/KPI´s!I$23</f>
        <v>43702.622633016668</v>
      </c>
      <c r="O85" s="145">
        <f>'balance sheet'!K$35*'Lithium Carbon Offsetting'!C85/3.6*1000000</f>
        <v>0</v>
      </c>
      <c r="P85">
        <f t="shared" si="24"/>
        <v>0</v>
      </c>
      <c r="Q85" s="144">
        <f t="shared" si="25"/>
        <v>0</v>
      </c>
      <c r="R85" s="144">
        <f t="shared" si="26"/>
        <v>0</v>
      </c>
      <c r="S85" s="144">
        <f t="shared" si="27"/>
        <v>464471473.34370118</v>
      </c>
      <c r="T85" s="144">
        <f t="shared" si="28"/>
        <v>43702.622633016668</v>
      </c>
    </row>
    <row r="86" spans="1:20" x14ac:dyDescent="0.3">
      <c r="A86">
        <f>A85+1</f>
        <v>97</v>
      </c>
      <c r="B86" s="68">
        <f>((KPI´s!$J$28*(A86/100*'CO2 calculations'!$C$36)+KPI´s!$J$28*((1-A86/100)*'CO2 calculations'!$C$35))/1000000)+KPI´s!J$29/1000000</f>
        <v>276.89840477923241</v>
      </c>
      <c r="C86" s="68">
        <f t="shared" si="29"/>
        <v>0</v>
      </c>
      <c r="D86" s="68">
        <f>Table1[[#This Row],[Total E]]</f>
        <v>276.89840477923241</v>
      </c>
      <c r="E86" s="143">
        <f>(KPI´s!$J$28*(1-A86/100))*'CO2 calculations'!E$35</f>
        <v>15641296.93278601</v>
      </c>
      <c r="F86" s="143">
        <f t="shared" si="20"/>
        <v>1471.7065235967266</v>
      </c>
      <c r="G86" s="143">
        <f>(KPI´s!$J$28*(A86/100))*'CO2 calculations'!E$36</f>
        <v>306268252.05346501</v>
      </c>
      <c r="H86">
        <f t="shared" si="21"/>
        <v>28817.110656140856</v>
      </c>
      <c r="I86" s="144">
        <f>C86*'balance sheet'!C$36*1000000</f>
        <v>0</v>
      </c>
      <c r="J86" s="144">
        <f>I86/KPI´s!I$23</f>
        <v>0</v>
      </c>
      <c r="K86" s="144">
        <f t="shared" si="22"/>
        <v>138449202.38961619</v>
      </c>
      <c r="L86" s="144">
        <f>K86/KPI´s!I$23</f>
        <v>13026.835000904797</v>
      </c>
      <c r="M86" s="144">
        <f t="shared" si="23"/>
        <v>460358751.37586719</v>
      </c>
      <c r="N86" s="144">
        <f>M86/KPI´s!I$23</f>
        <v>43315.652180642377</v>
      </c>
      <c r="O86" s="145">
        <f>'balance sheet'!K$35*'Lithium Carbon Offsetting'!C86/3.6*1000000</f>
        <v>0</v>
      </c>
      <c r="P86">
        <f t="shared" si="24"/>
        <v>0</v>
      </c>
      <c r="Q86" s="144">
        <f t="shared" si="25"/>
        <v>0</v>
      </c>
      <c r="R86" s="144">
        <f t="shared" si="26"/>
        <v>0</v>
      </c>
      <c r="S86" s="144">
        <f t="shared" si="27"/>
        <v>460358751.37586719</v>
      </c>
      <c r="T86" s="144">
        <f t="shared" si="28"/>
        <v>43315.652180642377</v>
      </c>
    </row>
    <row r="87" spans="1:20" x14ac:dyDescent="0.3">
      <c r="A87">
        <f t="shared" ref="A87" si="31">A86+1</f>
        <v>98</v>
      </c>
      <c r="B87" s="68">
        <f>((KPI´s!$J$28*(A87/100*'CO2 calculations'!$C$36)+KPI´s!$J$28*((1-A87/100)*'CO2 calculations'!$C$35))/1000000)+KPI´s!J$29/1000000</f>
        <v>272.78568281139837</v>
      </c>
      <c r="C87" s="68">
        <f t="shared" si="29"/>
        <v>0</v>
      </c>
      <c r="D87" s="68">
        <f>Table1[[#This Row],[Total E]]</f>
        <v>272.78568281139837</v>
      </c>
      <c r="E87" s="143">
        <f>(KPI´s!$J$28*(1-A87/100))*'CO2 calculations'!E$35</f>
        <v>10427531.288524007</v>
      </c>
      <c r="F87" s="143">
        <f t="shared" si="20"/>
        <v>981.1376823978178</v>
      </c>
      <c r="G87" s="143">
        <f>(KPI´s!$J$28*(A87/100))*'CO2 calculations'!E$36</f>
        <v>309425656.71380997</v>
      </c>
      <c r="H87">
        <f t="shared" si="21"/>
        <v>29114.194271152614</v>
      </c>
      <c r="I87" s="144">
        <f>C87*'balance sheet'!C$36*1000000</f>
        <v>0</v>
      </c>
      <c r="J87" s="144">
        <f>I87/KPI´s!I$23</f>
        <v>0</v>
      </c>
      <c r="K87" s="144">
        <f t="shared" si="22"/>
        <v>136392841.40569916</v>
      </c>
      <c r="L87" s="144">
        <f>K87/KPI´s!I$23</f>
        <v>12833.349774717648</v>
      </c>
      <c r="M87" s="144">
        <f t="shared" si="23"/>
        <v>456246029.40803313</v>
      </c>
      <c r="N87" s="144">
        <f>M87/KPI´s!I$23</f>
        <v>42928.681728268079</v>
      </c>
      <c r="O87" s="145">
        <f>'balance sheet'!K$35*'Lithium Carbon Offsetting'!C87/3.6*1000000</f>
        <v>0</v>
      </c>
      <c r="P87">
        <f t="shared" si="24"/>
        <v>0</v>
      </c>
      <c r="Q87" s="144">
        <f t="shared" si="25"/>
        <v>0</v>
      </c>
      <c r="R87" s="144">
        <f t="shared" si="26"/>
        <v>0</v>
      </c>
      <c r="S87" s="144">
        <f t="shared" si="27"/>
        <v>456246029.40803313</v>
      </c>
      <c r="T87" s="144">
        <f t="shared" si="28"/>
        <v>42928.681728268079</v>
      </c>
    </row>
    <row r="88" spans="1:20" x14ac:dyDescent="0.3">
      <c r="A88">
        <f>A87+1</f>
        <v>99</v>
      </c>
      <c r="B88" s="68">
        <f>((KPI´s!$J$28*(A88/100*'CO2 calculations'!$C$36)+KPI´s!$J$28*((1-A88/100)*'CO2 calculations'!$C$35))/1000000)+KPI´s!J$29/1000000</f>
        <v>268.6729608435644</v>
      </c>
      <c r="C88" s="68">
        <f t="shared" si="29"/>
        <v>0</v>
      </c>
      <c r="D88" s="68">
        <f>Table1[[#This Row],[Total E]]</f>
        <v>268.6729608435644</v>
      </c>
      <c r="E88" s="143">
        <f>(KPI´s!$J$28*(1-A88/100))*'CO2 calculations'!E$35</f>
        <v>5213765.6442620037</v>
      </c>
      <c r="F88" s="143">
        <f t="shared" si="20"/>
        <v>490.5688411989089</v>
      </c>
      <c r="G88" s="143">
        <f>(KPI´s!$J$28*(A88/100))*'CO2 calculations'!E$36</f>
        <v>312583061.37415498</v>
      </c>
      <c r="H88">
        <f t="shared" si="21"/>
        <v>29411.277886164375</v>
      </c>
      <c r="I88" s="144">
        <f>C88*'balance sheet'!C$36*1000000</f>
        <v>0</v>
      </c>
      <c r="J88" s="144">
        <f>I88/KPI´s!I$23</f>
        <v>0</v>
      </c>
      <c r="K88" s="144">
        <f t="shared" si="22"/>
        <v>134336480.4217822</v>
      </c>
      <c r="L88" s="144">
        <f>K88/KPI´s!I$23</f>
        <v>12639.864548530504</v>
      </c>
      <c r="M88" s="144">
        <f t="shared" si="23"/>
        <v>452133307.4401992</v>
      </c>
      <c r="N88" s="144">
        <f>M88/KPI´s!I$23</f>
        <v>42541.711275893787</v>
      </c>
      <c r="O88" s="145">
        <f>'balance sheet'!K$35*'Lithium Carbon Offsetting'!C88/3.6*1000000</f>
        <v>0</v>
      </c>
      <c r="P88">
        <f t="shared" si="24"/>
        <v>0</v>
      </c>
      <c r="Q88" s="144">
        <f t="shared" si="25"/>
        <v>0</v>
      </c>
      <c r="R88" s="144">
        <f t="shared" si="26"/>
        <v>0</v>
      </c>
      <c r="S88" s="144">
        <f t="shared" si="27"/>
        <v>452133307.4401992</v>
      </c>
      <c r="T88" s="144">
        <f t="shared" si="28"/>
        <v>42541.711275893787</v>
      </c>
    </row>
    <row r="89" spans="1:20" x14ac:dyDescent="0.3">
      <c r="A89">
        <f t="shared" ref="A89" si="32">A88+1</f>
        <v>100</v>
      </c>
      <c r="B89" s="68">
        <f>((KPI´s!$J$28*(A89/100*'CO2 calculations'!$C$36)+KPI´s!$J$28*((1-A89/100)*'CO2 calculations'!$C$35))/1000000)+KPI´s!J$29/1000000</f>
        <v>264.56023887573036</v>
      </c>
      <c r="C89" s="68">
        <f t="shared" si="29"/>
        <v>0</v>
      </c>
      <c r="D89" s="68">
        <f>Table1[[#This Row],[Total E]]</f>
        <v>264.56023887573036</v>
      </c>
      <c r="E89" s="143">
        <f>(KPI´s!$J$28*(1-A89/100))*'CO2 calculations'!E$35</f>
        <v>0</v>
      </c>
      <c r="F89" s="143">
        <f t="shared" si="20"/>
        <v>0</v>
      </c>
      <c r="G89" s="143">
        <f>(KPI´s!$J$28*(A89/100))*'CO2 calculations'!E$36</f>
        <v>315740466.0345</v>
      </c>
      <c r="H89">
        <f t="shared" si="21"/>
        <v>29708.361501176139</v>
      </c>
      <c r="I89" s="144">
        <f>C89*'balance sheet'!C$36*1000000</f>
        <v>0</v>
      </c>
      <c r="J89" s="144">
        <f>I89/KPI´s!I$23</f>
        <v>0</v>
      </c>
      <c r="K89" s="144">
        <f t="shared" si="22"/>
        <v>132280119.43786518</v>
      </c>
      <c r="L89" s="144">
        <f>K89/KPI´s!I$23</f>
        <v>12446.379322343355</v>
      </c>
      <c r="M89" s="144">
        <f t="shared" si="23"/>
        <v>448020585.4723652</v>
      </c>
      <c r="N89" s="144">
        <f>M89/KPI´s!I$23</f>
        <v>42154.740823519496</v>
      </c>
      <c r="O89" s="145">
        <f>'balance sheet'!K$35*'Lithium Carbon Offsetting'!C89/3.6*1000000</f>
        <v>0</v>
      </c>
      <c r="P89">
        <f t="shared" si="24"/>
        <v>0</v>
      </c>
      <c r="Q89" s="144">
        <f t="shared" si="25"/>
        <v>0</v>
      </c>
      <c r="R89" s="144">
        <f t="shared" si="26"/>
        <v>0</v>
      </c>
      <c r="S89" s="144">
        <f t="shared" si="27"/>
        <v>448020585.4723652</v>
      </c>
      <c r="T89" s="144">
        <f t="shared" si="28"/>
        <v>42154.740823519496</v>
      </c>
    </row>
    <row r="90" spans="1:20" x14ac:dyDescent="0.3">
      <c r="B90" s="68"/>
      <c r="C90" s="68"/>
      <c r="D90" s="68"/>
      <c r="E90" s="143"/>
      <c r="F90" s="143"/>
      <c r="G90" s="143"/>
      <c r="I90" s="144"/>
      <c r="J90" s="144"/>
      <c r="K90" s="144"/>
      <c r="L90" s="144"/>
      <c r="M90" s="144"/>
      <c r="N90" s="144"/>
      <c r="O90" s="145"/>
      <c r="Q90" s="144"/>
      <c r="R90" s="144"/>
      <c r="S90" s="144"/>
      <c r="T90" s="144"/>
    </row>
    <row r="91" spans="1:20" x14ac:dyDescent="0.3">
      <c r="B91" s="68"/>
      <c r="C91" s="68"/>
      <c r="D91" s="68"/>
      <c r="E91" s="143"/>
      <c r="F91" s="143"/>
      <c r="G91" s="143"/>
      <c r="I91" s="144"/>
      <c r="J91" s="144"/>
      <c r="K91" s="144"/>
      <c r="L91" s="144"/>
      <c r="M91" s="144"/>
      <c r="N91" s="144"/>
      <c r="O91" s="145"/>
      <c r="Q91" s="144"/>
      <c r="R91" s="144"/>
      <c r="S91" s="144"/>
      <c r="T91" s="144"/>
    </row>
    <row r="92" spans="1:20" x14ac:dyDescent="0.3">
      <c r="B92" s="68"/>
      <c r="C92" s="68"/>
      <c r="D92" s="68"/>
      <c r="E92" s="143"/>
      <c r="F92" s="143"/>
      <c r="G92" s="143"/>
      <c r="I92" s="144"/>
      <c r="J92" s="144"/>
      <c r="K92" s="144"/>
      <c r="L92" s="144"/>
      <c r="M92" s="144"/>
      <c r="N92" s="144"/>
      <c r="O92" s="145"/>
      <c r="Q92" s="144"/>
      <c r="R92" s="144"/>
      <c r="S92" s="144"/>
      <c r="T92" s="144"/>
    </row>
    <row r="93" spans="1:20" x14ac:dyDescent="0.3">
      <c r="B93" s="68"/>
      <c r="C93" s="68"/>
      <c r="D93" s="68"/>
      <c r="E93" s="143"/>
      <c r="F93" s="143"/>
      <c r="G93" s="143"/>
      <c r="I93" s="144"/>
      <c r="J93" s="144"/>
      <c r="K93" s="144"/>
      <c r="L93" s="144"/>
      <c r="M93" s="144"/>
      <c r="N93" s="144"/>
      <c r="O93" s="145"/>
      <c r="Q93" s="144"/>
      <c r="R93" s="144"/>
      <c r="S93" s="144"/>
      <c r="T93" s="144"/>
    </row>
    <row r="94" spans="1:20" x14ac:dyDescent="0.3">
      <c r="B94" s="68"/>
      <c r="C94" s="68"/>
      <c r="D94" s="68"/>
      <c r="E94" s="143"/>
      <c r="F94" s="143"/>
      <c r="G94" s="143"/>
      <c r="I94" s="144"/>
      <c r="J94" s="144"/>
      <c r="K94" s="144"/>
      <c r="L94" s="144"/>
      <c r="M94" s="144"/>
      <c r="N94" s="144"/>
      <c r="O94" s="145"/>
      <c r="Q94" s="144"/>
      <c r="R94" s="144"/>
      <c r="S94" s="144"/>
      <c r="T94" s="144"/>
    </row>
    <row r="95" spans="1:20" x14ac:dyDescent="0.3">
      <c r="B95" s="68"/>
      <c r="C95" s="68"/>
      <c r="D95" s="68"/>
      <c r="E95" s="143"/>
      <c r="F95" s="143"/>
      <c r="G95" s="143"/>
      <c r="I95" s="144"/>
      <c r="J95" s="144"/>
      <c r="K95" s="144"/>
      <c r="L95" s="144"/>
      <c r="M95" s="144"/>
      <c r="N95" s="144"/>
      <c r="O95" s="145"/>
      <c r="Q95" s="144"/>
      <c r="R95" s="144"/>
      <c r="S95" s="144"/>
      <c r="T95" s="144"/>
    </row>
    <row r="96" spans="1:20" x14ac:dyDescent="0.3">
      <c r="B96" s="68"/>
      <c r="C96" s="68"/>
      <c r="D96" s="68"/>
      <c r="E96" s="143"/>
      <c r="F96" s="143"/>
      <c r="G96" s="143"/>
      <c r="I96" s="144"/>
      <c r="J96" s="144"/>
      <c r="K96" s="144"/>
      <c r="L96" s="144"/>
      <c r="M96" s="144"/>
      <c r="N96" s="144"/>
      <c r="O96" s="145"/>
      <c r="Q96" s="144"/>
      <c r="R96" s="144"/>
      <c r="S96" s="144"/>
      <c r="T96" s="144"/>
    </row>
    <row r="97" spans="2:20" x14ac:dyDescent="0.3">
      <c r="B97" s="68"/>
      <c r="C97" s="68"/>
      <c r="D97" s="68"/>
      <c r="E97" s="143"/>
      <c r="F97" s="143"/>
      <c r="G97" s="143"/>
      <c r="I97" s="144"/>
      <c r="J97" s="144"/>
      <c r="K97" s="144"/>
      <c r="L97" s="144"/>
      <c r="M97" s="144"/>
      <c r="N97" s="144"/>
      <c r="O97" s="145"/>
      <c r="Q97" s="144"/>
      <c r="R97" s="144"/>
      <c r="S97" s="144"/>
      <c r="T97" s="144"/>
    </row>
    <row r="98" spans="2:20" x14ac:dyDescent="0.3">
      <c r="B98" s="68"/>
      <c r="D98" s="68"/>
      <c r="E98" s="143"/>
      <c r="F98" s="143"/>
      <c r="G98" s="143"/>
      <c r="I98" s="144"/>
      <c r="J98" s="144"/>
      <c r="K98" s="144"/>
      <c r="L98" s="144"/>
      <c r="M98" s="144"/>
      <c r="N98" s="144"/>
      <c r="O98" s="145"/>
      <c r="Q98" s="144"/>
      <c r="R98" s="144"/>
      <c r="S98" s="144"/>
      <c r="T98" s="144"/>
    </row>
    <row r="99" spans="2:20" x14ac:dyDescent="0.3">
      <c r="I99" s="144"/>
      <c r="J99" s="144"/>
      <c r="K99" s="144"/>
      <c r="L99" s="144"/>
      <c r="M99" s="144"/>
      <c r="N99" s="144"/>
      <c r="O99" s="145"/>
      <c r="Q99" s="144"/>
      <c r="R99" s="144"/>
      <c r="S99" s="144"/>
      <c r="T99" s="144"/>
    </row>
    <row r="100" spans="2:20" x14ac:dyDescent="0.3">
      <c r="I100" s="144"/>
      <c r="J100" s="144"/>
      <c r="K100" s="144"/>
      <c r="L100" s="144"/>
      <c r="M100" s="144"/>
      <c r="N100" s="144"/>
      <c r="O100" s="145"/>
      <c r="Q100" s="144"/>
      <c r="R100" s="144"/>
      <c r="S100" s="144"/>
      <c r="T100" s="144"/>
    </row>
    <row r="101" spans="2:20" x14ac:dyDescent="0.3">
      <c r="I101" s="144"/>
      <c r="J101" s="144"/>
      <c r="K101" s="144"/>
      <c r="L101" s="144"/>
      <c r="M101" s="144"/>
      <c r="N101" s="144"/>
      <c r="O101" s="145"/>
      <c r="Q101" s="144"/>
      <c r="R101" s="144"/>
      <c r="S101" s="144"/>
      <c r="T101" s="144"/>
    </row>
    <row r="102" spans="2:20" x14ac:dyDescent="0.3">
      <c r="I102" s="144"/>
      <c r="J102" s="144"/>
      <c r="K102" s="144"/>
      <c r="L102" s="144"/>
      <c r="M102" s="144"/>
      <c r="N102" s="144"/>
      <c r="O102" s="145"/>
      <c r="Q102" s="144"/>
      <c r="R102" s="144"/>
      <c r="S102" s="144"/>
      <c r="T102" s="144"/>
    </row>
    <row r="103" spans="2:20" x14ac:dyDescent="0.3">
      <c r="I103" s="144"/>
      <c r="J103" s="144"/>
      <c r="K103" s="144"/>
      <c r="L103" s="144"/>
      <c r="M103" s="144"/>
      <c r="N103" s="144"/>
      <c r="O103" s="145"/>
      <c r="Q103" s="144"/>
      <c r="R103" s="144"/>
      <c r="S103" s="144"/>
      <c r="T103" s="144"/>
    </row>
    <row r="104" spans="2:20" x14ac:dyDescent="0.3">
      <c r="I104" s="144"/>
      <c r="J104" s="144"/>
      <c r="K104" s="144"/>
      <c r="L104" s="144"/>
      <c r="M104" s="144"/>
      <c r="N104" s="144"/>
      <c r="O104" s="145"/>
      <c r="Q104" s="144"/>
      <c r="R104" s="144"/>
      <c r="S104" s="144"/>
      <c r="T104" s="144"/>
    </row>
    <row r="105" spans="2:20" x14ac:dyDescent="0.3">
      <c r="I105" s="144"/>
      <c r="J105" s="144"/>
      <c r="K105" s="144"/>
      <c r="L105" s="144"/>
      <c r="M105" s="144"/>
      <c r="N105" s="144"/>
      <c r="O105" s="145"/>
      <c r="Q105" s="144"/>
      <c r="R105" s="144"/>
      <c r="S105" s="144"/>
      <c r="T105" s="144"/>
    </row>
    <row r="106" spans="2:20" x14ac:dyDescent="0.3">
      <c r="I106" s="144"/>
      <c r="J106" s="144"/>
      <c r="K106" s="144"/>
      <c r="L106" s="144"/>
      <c r="M106" s="144"/>
      <c r="N106" s="144"/>
      <c r="O106" s="145"/>
      <c r="Q106" s="144"/>
      <c r="R106" s="144"/>
      <c r="S106" s="144"/>
      <c r="T106" s="144"/>
    </row>
    <row r="107" spans="2:20" x14ac:dyDescent="0.3">
      <c r="I107" s="144"/>
      <c r="J107" s="144"/>
      <c r="K107" s="144"/>
      <c r="L107" s="144"/>
      <c r="M107" s="144"/>
      <c r="N107" s="144"/>
      <c r="O107" s="145"/>
      <c r="Q107" s="144"/>
      <c r="R107" s="144"/>
      <c r="S107" s="144"/>
      <c r="T107" s="144"/>
    </row>
    <row r="108" spans="2:20" x14ac:dyDescent="0.3">
      <c r="I108" s="144"/>
      <c r="J108" s="144"/>
      <c r="K108" s="144"/>
      <c r="L108" s="144"/>
      <c r="M108" s="144"/>
      <c r="N108" s="144"/>
      <c r="O108" s="145"/>
      <c r="Q108" s="144"/>
      <c r="R108" s="144"/>
      <c r="S108" s="144"/>
      <c r="T108" s="144"/>
    </row>
    <row r="109" spans="2:20" x14ac:dyDescent="0.3">
      <c r="I109" s="144"/>
      <c r="J109" s="144"/>
      <c r="K109" s="144"/>
      <c r="L109" s="144"/>
      <c r="M109" s="144"/>
      <c r="N109" s="144"/>
      <c r="O109" s="145"/>
      <c r="Q109" s="144"/>
      <c r="R109" s="144"/>
      <c r="S109" s="144"/>
      <c r="T109" s="144"/>
    </row>
    <row r="110" spans="2:20" x14ac:dyDescent="0.3">
      <c r="I110" s="144"/>
      <c r="J110" s="144"/>
      <c r="K110" s="144"/>
      <c r="L110" s="144"/>
      <c r="M110" s="144"/>
      <c r="N110" s="144"/>
      <c r="O110" s="145"/>
      <c r="Q110" s="144"/>
      <c r="R110" s="144"/>
      <c r="S110" s="144"/>
      <c r="T110" s="144"/>
    </row>
    <row r="111" spans="2:20" x14ac:dyDescent="0.3">
      <c r="I111" s="144"/>
      <c r="J111" s="144"/>
      <c r="K111" s="144"/>
      <c r="L111" s="144"/>
      <c r="M111" s="144"/>
      <c r="N111" s="144"/>
      <c r="O111" s="145"/>
      <c r="Q111" s="144"/>
      <c r="R111" s="144"/>
      <c r="S111" s="144"/>
      <c r="T111" s="144"/>
    </row>
    <row r="112" spans="2:20" x14ac:dyDescent="0.3">
      <c r="I112" s="144"/>
      <c r="J112" s="144"/>
      <c r="K112" s="144"/>
      <c r="L112" s="144"/>
      <c r="M112" s="144"/>
      <c r="N112" s="144"/>
      <c r="O112" s="145"/>
      <c r="Q112" s="144"/>
      <c r="R112" s="144"/>
      <c r="S112" s="144"/>
      <c r="T112" s="144"/>
    </row>
    <row r="113" spans="9:20" x14ac:dyDescent="0.3">
      <c r="I113" s="144"/>
      <c r="J113" s="144"/>
      <c r="K113" s="144"/>
      <c r="L113" s="144"/>
      <c r="M113" s="144"/>
      <c r="N113" s="144"/>
      <c r="O113" s="145"/>
      <c r="Q113" s="144"/>
      <c r="R113" s="144"/>
      <c r="S113" s="144"/>
      <c r="T113" s="144"/>
    </row>
    <row r="114" spans="9:20" x14ac:dyDescent="0.3">
      <c r="I114" s="144"/>
      <c r="J114" s="144"/>
      <c r="K114" s="144"/>
      <c r="L114" s="144"/>
      <c r="M114" s="144"/>
      <c r="N114" s="144"/>
      <c r="O114" s="145"/>
      <c r="Q114" s="144"/>
      <c r="R114" s="144"/>
      <c r="S114" s="144"/>
      <c r="T114" s="144"/>
    </row>
    <row r="115" spans="9:20" x14ac:dyDescent="0.3">
      <c r="I115" s="144"/>
      <c r="J115" s="144"/>
      <c r="K115" s="144"/>
      <c r="L115" s="144"/>
      <c r="M115" s="144"/>
      <c r="N115" s="144"/>
      <c r="O115" s="145"/>
      <c r="Q115" s="144"/>
      <c r="R115" s="144"/>
      <c r="S115" s="144"/>
      <c r="T115" s="144"/>
    </row>
    <row r="116" spans="9:20" x14ac:dyDescent="0.3">
      <c r="I116" s="144"/>
      <c r="J116" s="144"/>
      <c r="K116" s="144"/>
      <c r="L116" s="144"/>
      <c r="M116" s="144"/>
      <c r="N116" s="144"/>
      <c r="O116" s="145"/>
      <c r="Q116" s="144"/>
      <c r="R116" s="144"/>
      <c r="S116" s="144"/>
      <c r="T116" s="144"/>
    </row>
    <row r="117" spans="9:20" x14ac:dyDescent="0.3">
      <c r="I117" s="144"/>
      <c r="J117" s="144"/>
      <c r="K117" s="144"/>
      <c r="L117" s="144"/>
      <c r="M117" s="144"/>
      <c r="N117" s="144"/>
      <c r="O117" s="145"/>
      <c r="Q117" s="144"/>
      <c r="R117" s="144"/>
      <c r="S117" s="144"/>
      <c r="T117" s="144"/>
    </row>
    <row r="118" spans="9:20" x14ac:dyDescent="0.3">
      <c r="I118" s="144"/>
      <c r="J118" s="144"/>
      <c r="K118" s="144"/>
      <c r="L118" s="144"/>
      <c r="M118" s="144"/>
      <c r="N118" s="144"/>
      <c r="O118" s="145"/>
      <c r="Q118" s="144"/>
      <c r="R118" s="144"/>
      <c r="S118" s="144"/>
      <c r="T118" s="144"/>
    </row>
    <row r="119" spans="9:20" x14ac:dyDescent="0.3">
      <c r="I119" s="144"/>
      <c r="J119" s="144"/>
      <c r="K119" s="144"/>
      <c r="L119" s="144"/>
      <c r="M119" s="144"/>
      <c r="N119" s="144"/>
      <c r="O119" s="145"/>
      <c r="Q119" s="144"/>
      <c r="R119" s="144"/>
      <c r="S119" s="144"/>
      <c r="T119" s="144"/>
    </row>
    <row r="120" spans="9:20" x14ac:dyDescent="0.3">
      <c r="I120" s="144"/>
      <c r="J120" s="144"/>
      <c r="K120" s="144"/>
      <c r="L120" s="144"/>
      <c r="M120" s="144"/>
      <c r="N120" s="144"/>
      <c r="O120" s="145"/>
      <c r="Q120" s="144"/>
      <c r="R120" s="144"/>
      <c r="S120" s="144"/>
      <c r="T120" s="144"/>
    </row>
    <row r="121" spans="9:20" x14ac:dyDescent="0.3">
      <c r="I121" s="144"/>
      <c r="J121" s="144"/>
      <c r="K121" s="144"/>
      <c r="L121" s="144"/>
      <c r="M121" s="144"/>
      <c r="N121" s="144"/>
      <c r="O121" s="145"/>
      <c r="Q121" s="144"/>
      <c r="R121" s="144"/>
      <c r="S121" s="144"/>
      <c r="T121" s="144"/>
    </row>
    <row r="122" spans="9:20" x14ac:dyDescent="0.3">
      <c r="I122" s="144"/>
      <c r="J122" s="144"/>
      <c r="K122" s="144"/>
      <c r="L122" s="144"/>
      <c r="M122" s="144"/>
      <c r="N122" s="144"/>
      <c r="O122" s="145"/>
      <c r="Q122" s="144"/>
      <c r="R122" s="144"/>
      <c r="S122" s="144"/>
      <c r="T122" s="144"/>
    </row>
    <row r="123" spans="9:20" x14ac:dyDescent="0.3">
      <c r="I123" s="144"/>
      <c r="J123" s="144"/>
      <c r="K123" s="144"/>
      <c r="L123" s="144"/>
      <c r="M123" s="144"/>
      <c r="N123" s="144"/>
      <c r="O123" s="145"/>
      <c r="Q123" s="144"/>
      <c r="R123" s="144"/>
      <c r="S123" s="144"/>
      <c r="T123" s="144"/>
    </row>
    <row r="124" spans="9:20" x14ac:dyDescent="0.3">
      <c r="I124" s="144"/>
      <c r="J124" s="144"/>
      <c r="K124" s="144"/>
      <c r="L124" s="144"/>
      <c r="M124" s="144"/>
      <c r="N124" s="144"/>
      <c r="O124" s="145"/>
      <c r="Q124" s="144"/>
      <c r="R124" s="144"/>
      <c r="S124" s="144"/>
      <c r="T124" s="144"/>
    </row>
    <row r="125" spans="9:20" x14ac:dyDescent="0.3">
      <c r="I125" s="144"/>
      <c r="J125" s="144"/>
      <c r="K125" s="144"/>
      <c r="L125" s="144"/>
      <c r="M125" s="144"/>
      <c r="N125" s="144"/>
      <c r="O125" s="145"/>
      <c r="Q125" s="144"/>
      <c r="R125" s="144"/>
      <c r="S125" s="144"/>
      <c r="T125" s="144"/>
    </row>
    <row r="126" spans="9:20" x14ac:dyDescent="0.3">
      <c r="I126" s="144"/>
      <c r="J126" s="144"/>
      <c r="K126" s="144"/>
      <c r="L126" s="144"/>
      <c r="M126" s="144"/>
      <c r="N126" s="144"/>
      <c r="O126" s="145"/>
      <c r="Q126" s="144"/>
      <c r="R126" s="144"/>
      <c r="S126" s="144"/>
      <c r="T126" s="144"/>
    </row>
    <row r="127" spans="9:20" x14ac:dyDescent="0.3">
      <c r="I127" s="144"/>
      <c r="J127" s="144"/>
      <c r="K127" s="144"/>
      <c r="L127" s="144"/>
      <c r="M127" s="144"/>
      <c r="N127" s="144"/>
      <c r="O127" s="145"/>
      <c r="Q127" s="144"/>
      <c r="R127" s="144"/>
      <c r="S127" s="144"/>
      <c r="T127" s="144"/>
    </row>
    <row r="128" spans="9:20" x14ac:dyDescent="0.3">
      <c r="I128" s="144"/>
      <c r="J128" s="144"/>
      <c r="K128" s="144"/>
      <c r="L128" s="144"/>
      <c r="M128" s="144"/>
      <c r="N128" s="144"/>
      <c r="O128" s="145"/>
      <c r="Q128" s="144"/>
      <c r="R128" s="144"/>
      <c r="S128" s="144"/>
      <c r="T128" s="144"/>
    </row>
    <row r="129" spans="9:20" x14ac:dyDescent="0.3">
      <c r="I129" s="144"/>
      <c r="J129" s="144"/>
      <c r="K129" s="144"/>
      <c r="L129" s="144"/>
      <c r="M129" s="144"/>
      <c r="N129" s="144"/>
      <c r="O129" s="145"/>
      <c r="Q129" s="144"/>
      <c r="R129" s="144"/>
      <c r="S129" s="144"/>
      <c r="T129" s="144"/>
    </row>
    <row r="130" spans="9:20" x14ac:dyDescent="0.3">
      <c r="I130" s="144"/>
      <c r="J130" s="144"/>
      <c r="K130" s="144"/>
      <c r="L130" s="144"/>
      <c r="M130" s="144"/>
      <c r="N130" s="144"/>
      <c r="O130" s="145"/>
      <c r="Q130" s="144"/>
      <c r="R130" s="144"/>
      <c r="S130" s="144"/>
      <c r="T130" s="144"/>
    </row>
    <row r="131" spans="9:20" x14ac:dyDescent="0.3">
      <c r="I131" s="144"/>
      <c r="J131" s="144"/>
      <c r="K131" s="144"/>
      <c r="L131" s="144"/>
      <c r="M131" s="144"/>
      <c r="N131" s="144"/>
      <c r="O131" s="145"/>
      <c r="Q131" s="144"/>
      <c r="R131" s="144"/>
      <c r="S131" s="144"/>
      <c r="T131" s="144"/>
    </row>
    <row r="132" spans="9:20" x14ac:dyDescent="0.3">
      <c r="I132" s="144"/>
      <c r="J132" s="144"/>
      <c r="K132" s="144"/>
      <c r="L132" s="144"/>
      <c r="M132" s="144"/>
      <c r="N132" s="144"/>
      <c r="O132" s="145"/>
      <c r="Q132" s="144"/>
      <c r="R132" s="144"/>
      <c r="S132" s="144"/>
      <c r="T132" s="144"/>
    </row>
    <row r="133" spans="9:20" x14ac:dyDescent="0.3">
      <c r="I133" s="144"/>
      <c r="J133" s="144"/>
      <c r="K133" s="144"/>
      <c r="L133" s="144"/>
      <c r="M133" s="144"/>
      <c r="N133" s="144"/>
      <c r="O133" s="145"/>
      <c r="Q133" s="144"/>
      <c r="R133" s="144"/>
      <c r="S133" s="144"/>
      <c r="T133" s="144"/>
    </row>
    <row r="134" spans="9:20" x14ac:dyDescent="0.3">
      <c r="I134" s="144"/>
      <c r="J134" s="144"/>
      <c r="K134" s="144"/>
      <c r="L134" s="144"/>
      <c r="M134" s="144"/>
      <c r="N134" s="144"/>
      <c r="O134" s="145"/>
      <c r="Q134" s="144"/>
      <c r="R134" s="144"/>
      <c r="S134" s="144"/>
      <c r="T134" s="144"/>
    </row>
    <row r="135" spans="9:20" x14ac:dyDescent="0.3">
      <c r="I135" s="144"/>
      <c r="J135" s="144"/>
      <c r="K135" s="144"/>
      <c r="L135" s="144"/>
      <c r="M135" s="144"/>
      <c r="N135" s="144"/>
      <c r="O135" s="145"/>
      <c r="Q135" s="144"/>
      <c r="R135" s="144"/>
      <c r="S135" s="144"/>
      <c r="T135" s="144"/>
    </row>
    <row r="136" spans="9:20" x14ac:dyDescent="0.3">
      <c r="I136" s="144"/>
      <c r="J136" s="144"/>
      <c r="K136" s="144"/>
      <c r="L136" s="144"/>
      <c r="M136" s="144"/>
      <c r="N136" s="144"/>
      <c r="O136" s="145"/>
      <c r="Q136" s="144"/>
      <c r="R136" s="144"/>
      <c r="S136" s="144"/>
      <c r="T136" s="144"/>
    </row>
    <row r="137" spans="9:20" x14ac:dyDescent="0.3">
      <c r="I137" s="144"/>
      <c r="J137" s="144"/>
      <c r="K137" s="144"/>
      <c r="L137" s="144"/>
      <c r="M137" s="144"/>
      <c r="N137" s="144"/>
      <c r="O137" s="145"/>
      <c r="Q137" s="144"/>
      <c r="R137" s="144"/>
      <c r="S137" s="144"/>
      <c r="T137" s="144"/>
    </row>
    <row r="138" spans="9:20" x14ac:dyDescent="0.3">
      <c r="I138" s="144"/>
      <c r="J138" s="144"/>
      <c r="K138" s="144"/>
      <c r="L138" s="144"/>
      <c r="M138" s="144"/>
      <c r="N138" s="144"/>
      <c r="O138" s="145"/>
      <c r="Q138" s="144"/>
      <c r="R138" s="144"/>
      <c r="S138" s="144"/>
      <c r="T138" s="144"/>
    </row>
    <row r="139" spans="9:20" x14ac:dyDescent="0.3">
      <c r="I139" s="144"/>
      <c r="J139" s="144"/>
      <c r="K139" s="144"/>
      <c r="L139" s="144"/>
      <c r="M139" s="144"/>
      <c r="N139" s="144"/>
      <c r="O139" s="145"/>
      <c r="Q139" s="144"/>
      <c r="R139" s="144"/>
      <c r="S139" s="144"/>
      <c r="T139" s="144"/>
    </row>
    <row r="140" spans="9:20" x14ac:dyDescent="0.3">
      <c r="I140" s="144"/>
      <c r="J140" s="144"/>
      <c r="K140" s="144"/>
      <c r="L140" s="144"/>
      <c r="M140" s="144"/>
      <c r="N140" s="144"/>
      <c r="O140" s="145"/>
      <c r="Q140" s="144"/>
      <c r="R140" s="144"/>
      <c r="S140" s="144"/>
      <c r="T140" s="144"/>
    </row>
    <row r="141" spans="9:20" x14ac:dyDescent="0.3">
      <c r="I141" s="144"/>
      <c r="J141" s="144"/>
      <c r="K141" s="144"/>
      <c r="L141" s="144"/>
      <c r="M141" s="144"/>
      <c r="N141" s="144"/>
      <c r="O141" s="145"/>
      <c r="Q141" s="144"/>
      <c r="R141" s="144"/>
      <c r="S141" s="144"/>
      <c r="T141" s="144"/>
    </row>
    <row r="142" spans="9:20" x14ac:dyDescent="0.3">
      <c r="I142" s="144"/>
      <c r="J142" s="144"/>
      <c r="K142" s="144"/>
      <c r="L142" s="144"/>
      <c r="M142" s="144"/>
      <c r="N142" s="144"/>
      <c r="O142" s="145"/>
      <c r="Q142" s="144"/>
      <c r="R142" s="144"/>
      <c r="S142" s="144"/>
      <c r="T142" s="144"/>
    </row>
    <row r="143" spans="9:20" x14ac:dyDescent="0.3">
      <c r="I143" s="144"/>
      <c r="J143" s="144"/>
      <c r="K143" s="144"/>
      <c r="L143" s="144"/>
      <c r="M143" s="144"/>
      <c r="N143" s="144"/>
      <c r="O143" s="145"/>
      <c r="Q143" s="144"/>
      <c r="R143" s="144"/>
      <c r="S143" s="144"/>
      <c r="T143" s="144"/>
    </row>
    <row r="144" spans="9:20" x14ac:dyDescent="0.3">
      <c r="I144" s="144"/>
      <c r="J144" s="144"/>
      <c r="K144" s="144"/>
      <c r="L144" s="144"/>
      <c r="M144" s="144"/>
      <c r="N144" s="144"/>
      <c r="O144" s="145"/>
      <c r="Q144" s="144"/>
      <c r="R144" s="144"/>
      <c r="S144" s="144"/>
      <c r="T144" s="144"/>
    </row>
    <row r="145" spans="9:20" x14ac:dyDescent="0.3">
      <c r="I145" s="144"/>
      <c r="J145" s="144"/>
      <c r="K145" s="144"/>
      <c r="L145" s="144"/>
      <c r="M145" s="144"/>
      <c r="N145" s="144"/>
      <c r="O145" s="145"/>
      <c r="Q145" s="144"/>
      <c r="R145" s="144"/>
      <c r="S145" s="144"/>
      <c r="T145" s="144"/>
    </row>
    <row r="146" spans="9:20" x14ac:dyDescent="0.3">
      <c r="I146" s="144"/>
      <c r="J146" s="144"/>
      <c r="K146" s="144"/>
      <c r="L146" s="144"/>
      <c r="M146" s="144"/>
      <c r="N146" s="144"/>
      <c r="O146" s="145"/>
      <c r="Q146" s="144"/>
      <c r="R146" s="144"/>
      <c r="S146" s="144"/>
      <c r="T146" s="144"/>
    </row>
    <row r="147" spans="9:20" x14ac:dyDescent="0.3">
      <c r="I147" s="144"/>
      <c r="J147" s="144"/>
      <c r="K147" s="144"/>
      <c r="L147" s="144"/>
      <c r="M147" s="144"/>
      <c r="N147" s="144"/>
      <c r="O147" s="145"/>
      <c r="Q147" s="144"/>
      <c r="R147" s="144"/>
      <c r="S147" s="144"/>
      <c r="T147" s="144"/>
    </row>
    <row r="148" spans="9:20" x14ac:dyDescent="0.3">
      <c r="I148" s="144"/>
      <c r="J148" s="144"/>
      <c r="K148" s="144"/>
      <c r="L148" s="144"/>
      <c r="M148" s="144"/>
      <c r="N148" s="144"/>
      <c r="O148" s="145"/>
      <c r="Q148" s="144"/>
      <c r="R148" s="144"/>
      <c r="S148" s="144"/>
      <c r="T148" s="144"/>
    </row>
    <row r="149" spans="9:20" x14ac:dyDescent="0.3">
      <c r="I149" s="144"/>
      <c r="J149" s="144"/>
      <c r="K149" s="144"/>
      <c r="L149" s="144"/>
      <c r="M149" s="144"/>
      <c r="N149" s="144"/>
      <c r="O149" s="145"/>
      <c r="Q149" s="144"/>
      <c r="R149" s="144"/>
      <c r="S149" s="144"/>
      <c r="T149" s="14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DA03-F204-4AAD-8E9E-CCFE2241AB10}">
  <dimension ref="A3:AB247"/>
  <sheetViews>
    <sheetView topLeftCell="K2" zoomScale="96" workbookViewId="0">
      <selection activeCell="Z22" sqref="Z22"/>
    </sheetView>
  </sheetViews>
  <sheetFormatPr defaultRowHeight="14.4" x14ac:dyDescent="0.3"/>
  <cols>
    <col min="1" max="1" width="10.109375" bestFit="1" customWidth="1"/>
    <col min="6" max="6" width="10.77734375" bestFit="1" customWidth="1"/>
    <col min="7" max="7" width="10.77734375" customWidth="1"/>
    <col min="9" max="9" width="12.33203125" bestFit="1" customWidth="1"/>
    <col min="11" max="11" width="18.33203125" customWidth="1"/>
    <col min="14" max="14" width="10.77734375" bestFit="1" customWidth="1"/>
    <col min="15" max="15" width="13.6640625" customWidth="1"/>
    <col min="16" max="16" width="11" customWidth="1"/>
    <col min="17" max="17" width="11.6640625" customWidth="1"/>
    <col min="18" max="18" width="12.5546875" customWidth="1"/>
    <col min="21" max="21" width="11.5546875" customWidth="1"/>
    <col min="22" max="22" width="10.21875" customWidth="1"/>
    <col min="23" max="23" width="9.5546875" customWidth="1"/>
    <col min="25" max="25" width="15" customWidth="1"/>
    <col min="26" max="26" width="19.21875" bestFit="1" customWidth="1"/>
  </cols>
  <sheetData>
    <row r="3" spans="1:18" x14ac:dyDescent="0.3">
      <c r="N3" t="s">
        <v>2145</v>
      </c>
      <c r="O3" t="s">
        <v>2195</v>
      </c>
      <c r="P3" t="s">
        <v>2202</v>
      </c>
      <c r="Q3" t="s">
        <v>2148</v>
      </c>
      <c r="R3" t="s">
        <v>2203</v>
      </c>
    </row>
    <row r="4" spans="1:18" x14ac:dyDescent="0.3">
      <c r="E4" s="210" t="s">
        <v>2146</v>
      </c>
      <c r="F4" s="210"/>
      <c r="G4" s="119"/>
      <c r="H4" s="210" t="s">
        <v>2147</v>
      </c>
      <c r="I4" s="210"/>
      <c r="N4">
        <v>244</v>
      </c>
      <c r="O4" s="153">
        <f t="shared" ref="O4:O67" si="0">(1-(N4/$N$4))/$C$7</f>
        <v>0</v>
      </c>
      <c r="P4">
        <v>1200</v>
      </c>
      <c r="Q4" s="148">
        <f t="shared" ref="Q4:Q67" si="1">N4/$E$5</f>
        <v>0.84722222222222221</v>
      </c>
      <c r="R4" s="140">
        <f t="shared" ref="R4:R67" si="2">P4*N4</f>
        <v>292800</v>
      </c>
    </row>
    <row r="5" spans="1:18" x14ac:dyDescent="0.3">
      <c r="E5">
        <v>288</v>
      </c>
      <c r="F5">
        <f>ROUNDDOWN(E5*0.85,0)</f>
        <v>244</v>
      </c>
      <c r="H5">
        <v>244</v>
      </c>
      <c r="I5">
        <f>ROUNDDOWN(H5*(1-0.082),0)</f>
        <v>223</v>
      </c>
      <c r="J5">
        <f>(I5-H5)/H5</f>
        <v>-8.6065573770491802E-2</v>
      </c>
      <c r="N5">
        <v>243</v>
      </c>
      <c r="O5" s="153">
        <f t="shared" si="0"/>
        <v>4.9980007996800655</v>
      </c>
      <c r="P5" s="68">
        <f t="shared" ref="P5:P68" si="3">(1+(O5/100))*$P$4</f>
        <v>1259.9760095961608</v>
      </c>
      <c r="Q5" s="148">
        <f t="shared" si="1"/>
        <v>0.84375</v>
      </c>
      <c r="R5" s="140">
        <f t="shared" si="2"/>
        <v>306174.17033186706</v>
      </c>
    </row>
    <row r="6" spans="1:18" x14ac:dyDescent="0.3">
      <c r="A6" t="s">
        <v>2144</v>
      </c>
      <c r="B6" s="149">
        <v>0.73299999999999998</v>
      </c>
      <c r="C6" s="149">
        <v>0.01</v>
      </c>
      <c r="E6">
        <v>1200</v>
      </c>
      <c r="F6" s="141">
        <f>E6*F5</f>
        <v>292800</v>
      </c>
      <c r="G6" s="141"/>
      <c r="H6">
        <v>2400</v>
      </c>
      <c r="I6" s="140">
        <f>H6*I5</f>
        <v>535200</v>
      </c>
      <c r="K6" s="68"/>
      <c r="N6">
        <v>242</v>
      </c>
      <c r="O6" s="153">
        <f t="shared" si="0"/>
        <v>9.9960015993602678</v>
      </c>
      <c r="P6" s="68">
        <f t="shared" si="3"/>
        <v>1319.9520191923232</v>
      </c>
      <c r="Q6" s="148">
        <f t="shared" si="1"/>
        <v>0.84027777777777779</v>
      </c>
      <c r="R6" s="140">
        <f t="shared" si="2"/>
        <v>319428.3886445422</v>
      </c>
    </row>
    <row r="7" spans="1:18" x14ac:dyDescent="0.3">
      <c r="A7" t="s">
        <v>2145</v>
      </c>
      <c r="B7" s="149">
        <v>0.06</v>
      </c>
      <c r="C7" s="150">
        <v>8.1999999999999998E-4</v>
      </c>
      <c r="N7">
        <v>241</v>
      </c>
      <c r="O7" s="153">
        <f t="shared" si="0"/>
        <v>14.994002399040333</v>
      </c>
      <c r="P7" s="68">
        <f t="shared" si="3"/>
        <v>1379.928028788484</v>
      </c>
      <c r="Q7" s="148">
        <f t="shared" si="1"/>
        <v>0.83680555555555558</v>
      </c>
      <c r="R7" s="140">
        <f t="shared" si="2"/>
        <v>332562.65493802464</v>
      </c>
    </row>
    <row r="8" spans="1:18" x14ac:dyDescent="0.3">
      <c r="H8">
        <v>244</v>
      </c>
      <c r="I8">
        <f>E5*0.75</f>
        <v>216</v>
      </c>
      <c r="J8">
        <f>(I8-H8)/H8</f>
        <v>-0.11475409836065574</v>
      </c>
      <c r="N8">
        <v>240</v>
      </c>
      <c r="O8" s="153">
        <f t="shared" si="0"/>
        <v>19.992003198720536</v>
      </c>
      <c r="P8" s="68">
        <f t="shared" si="3"/>
        <v>1439.9040383846466</v>
      </c>
      <c r="Q8" s="148">
        <f t="shared" si="1"/>
        <v>0.83333333333333337</v>
      </c>
      <c r="R8" s="140">
        <f t="shared" si="2"/>
        <v>345576.96921231516</v>
      </c>
    </row>
    <row r="9" spans="1:18" x14ac:dyDescent="0.3">
      <c r="E9" t="s">
        <v>2148</v>
      </c>
      <c r="F9">
        <f>F5/E5</f>
        <v>0.84722222222222221</v>
      </c>
      <c r="H9">
        <f>H6*1.33333333333333</f>
        <v>3199.9999999999918</v>
      </c>
      <c r="I9" s="140">
        <f>H9*I8</f>
        <v>691199.99999999825</v>
      </c>
      <c r="N9">
        <v>239</v>
      </c>
      <c r="O9" s="153">
        <f t="shared" si="0"/>
        <v>24.990003998400599</v>
      </c>
      <c r="P9" s="68">
        <f t="shared" si="3"/>
        <v>1499.8800479808074</v>
      </c>
      <c r="Q9" s="148">
        <f t="shared" si="1"/>
        <v>0.82986111111111116</v>
      </c>
      <c r="R9" s="140">
        <f t="shared" si="2"/>
        <v>358471.33146741294</v>
      </c>
    </row>
    <row r="10" spans="1:18" x14ac:dyDescent="0.3">
      <c r="F10">
        <f>I5/E5</f>
        <v>0.77430555555555558</v>
      </c>
      <c r="N10">
        <v>238</v>
      </c>
      <c r="O10" s="153">
        <f t="shared" si="0"/>
        <v>29.988004798080802</v>
      </c>
      <c r="P10" s="68">
        <f t="shared" si="3"/>
        <v>1559.8560575769698</v>
      </c>
      <c r="Q10" s="148">
        <f t="shared" si="1"/>
        <v>0.82638888888888884</v>
      </c>
      <c r="R10" s="140">
        <f t="shared" si="2"/>
        <v>371245.74170331878</v>
      </c>
    </row>
    <row r="11" spans="1:18" x14ac:dyDescent="0.3">
      <c r="A11" s="159">
        <f>B6/6</f>
        <v>0.12216666666666666</v>
      </c>
      <c r="N11">
        <v>237</v>
      </c>
      <c r="O11" s="153">
        <f t="shared" si="0"/>
        <v>34.986005597760865</v>
      </c>
      <c r="P11" s="68">
        <f t="shared" si="3"/>
        <v>1619.8320671731303</v>
      </c>
      <c r="Q11" s="148">
        <f t="shared" si="1"/>
        <v>0.82291666666666663</v>
      </c>
      <c r="R11" s="140">
        <f t="shared" si="2"/>
        <v>383900.19992003188</v>
      </c>
    </row>
    <row r="12" spans="1:18" x14ac:dyDescent="0.3">
      <c r="A12" s="159">
        <f>25*A11*100</f>
        <v>305.41666666666669</v>
      </c>
      <c r="N12">
        <v>236</v>
      </c>
      <c r="O12" s="153">
        <f t="shared" si="0"/>
        <v>39.984006397441071</v>
      </c>
      <c r="P12" s="68">
        <f t="shared" si="3"/>
        <v>1679.8080767692927</v>
      </c>
      <c r="Q12" s="148">
        <f t="shared" si="1"/>
        <v>0.81944444444444442</v>
      </c>
      <c r="R12" s="140">
        <f t="shared" si="2"/>
        <v>396434.70611755305</v>
      </c>
    </row>
    <row r="13" spans="1:18" x14ac:dyDescent="0.3">
      <c r="I13" s="140"/>
      <c r="K13" s="68"/>
      <c r="N13">
        <v>235</v>
      </c>
      <c r="O13" s="153">
        <f t="shared" si="0"/>
        <v>44.982007197121135</v>
      </c>
      <c r="P13" s="68">
        <f t="shared" si="3"/>
        <v>1739.7840863654535</v>
      </c>
      <c r="Q13" s="148">
        <f t="shared" si="1"/>
        <v>0.81597222222222221</v>
      </c>
      <c r="R13" s="140">
        <f t="shared" si="2"/>
        <v>408849.2602958816</v>
      </c>
    </row>
    <row r="14" spans="1:18" x14ac:dyDescent="0.3">
      <c r="N14">
        <v>234</v>
      </c>
      <c r="O14" s="153">
        <f t="shared" si="0"/>
        <v>49.980007996801334</v>
      </c>
      <c r="P14" s="68">
        <f t="shared" si="3"/>
        <v>1799.7600959616161</v>
      </c>
      <c r="Q14" s="148">
        <f t="shared" si="1"/>
        <v>0.8125</v>
      </c>
      <c r="R14" s="140">
        <f t="shared" si="2"/>
        <v>421143.86245501816</v>
      </c>
    </row>
    <row r="15" spans="1:18" x14ac:dyDescent="0.3">
      <c r="B15" s="55" t="s">
        <v>2196</v>
      </c>
      <c r="N15">
        <v>233</v>
      </c>
      <c r="O15" s="153">
        <f t="shared" si="0"/>
        <v>54.978008796481404</v>
      </c>
      <c r="P15" s="68">
        <f t="shared" si="3"/>
        <v>1859.7361055577769</v>
      </c>
      <c r="Q15" s="148">
        <f t="shared" si="1"/>
        <v>0.80902777777777779</v>
      </c>
      <c r="R15" s="140">
        <f t="shared" si="2"/>
        <v>433318.51259496203</v>
      </c>
    </row>
    <row r="16" spans="1:18" x14ac:dyDescent="0.3">
      <c r="N16">
        <v>232</v>
      </c>
      <c r="O16" s="153">
        <f t="shared" si="0"/>
        <v>59.976009596161603</v>
      </c>
      <c r="P16" s="68">
        <f t="shared" si="3"/>
        <v>1919.7121151539393</v>
      </c>
      <c r="Q16" s="148">
        <f t="shared" si="1"/>
        <v>0.80555555555555558</v>
      </c>
      <c r="R16" s="140">
        <f t="shared" si="2"/>
        <v>445373.21071571391</v>
      </c>
    </row>
    <row r="17" spans="14:28" x14ac:dyDescent="0.3">
      <c r="N17">
        <v>231</v>
      </c>
      <c r="O17" s="153">
        <f t="shared" si="0"/>
        <v>64.974010395841674</v>
      </c>
      <c r="P17" s="68">
        <f t="shared" si="3"/>
        <v>1979.6881247501001</v>
      </c>
      <c r="Q17" s="148">
        <f t="shared" si="1"/>
        <v>0.80208333333333337</v>
      </c>
      <c r="R17" s="140">
        <f t="shared" si="2"/>
        <v>457307.95681727311</v>
      </c>
    </row>
    <row r="18" spans="14:28" x14ac:dyDescent="0.3">
      <c r="N18">
        <v>230</v>
      </c>
      <c r="O18" s="153">
        <f t="shared" si="0"/>
        <v>69.972011195521731</v>
      </c>
      <c r="P18" s="68">
        <f t="shared" si="3"/>
        <v>2039.6641343462607</v>
      </c>
      <c r="Q18" s="148">
        <f t="shared" si="1"/>
        <v>0.79861111111111116</v>
      </c>
      <c r="R18" s="140">
        <f t="shared" si="2"/>
        <v>469122.75089963997</v>
      </c>
    </row>
    <row r="19" spans="14:28" x14ac:dyDescent="0.3">
      <c r="N19">
        <v>229</v>
      </c>
      <c r="O19" s="153">
        <f t="shared" si="0"/>
        <v>74.970011995201943</v>
      </c>
      <c r="P19" s="68">
        <f t="shared" si="3"/>
        <v>2099.6401439424235</v>
      </c>
      <c r="Q19" s="148">
        <f t="shared" si="1"/>
        <v>0.79513888888888884</v>
      </c>
      <c r="R19" s="140">
        <f t="shared" si="2"/>
        <v>480817.59296281496</v>
      </c>
    </row>
    <row r="20" spans="14:28" x14ac:dyDescent="0.3">
      <c r="N20">
        <v>228</v>
      </c>
      <c r="O20" s="153">
        <f t="shared" si="0"/>
        <v>79.968012794882</v>
      </c>
      <c r="P20" s="68">
        <f t="shared" si="3"/>
        <v>2159.6161535385841</v>
      </c>
      <c r="Q20" s="148">
        <f t="shared" si="1"/>
        <v>0.79166666666666663</v>
      </c>
      <c r="R20" s="140">
        <f t="shared" si="2"/>
        <v>492392.48300679715</v>
      </c>
      <c r="V20" t="s">
        <v>2197</v>
      </c>
      <c r="W20" t="s">
        <v>2198</v>
      </c>
      <c r="X20" t="s">
        <v>2148</v>
      </c>
      <c r="Y20" t="s">
        <v>2201</v>
      </c>
      <c r="Z20" t="s">
        <v>2289</v>
      </c>
    </row>
    <row r="21" spans="14:28" x14ac:dyDescent="0.3">
      <c r="N21">
        <v>227</v>
      </c>
      <c r="O21" s="153">
        <f t="shared" si="0"/>
        <v>84.966013594562199</v>
      </c>
      <c r="P21" s="68">
        <f t="shared" si="3"/>
        <v>2219.5921631347464</v>
      </c>
      <c r="Q21" s="148">
        <f t="shared" si="1"/>
        <v>0.78819444444444442</v>
      </c>
      <c r="R21" s="140">
        <f t="shared" si="2"/>
        <v>503847.42103158747</v>
      </c>
      <c r="T21" s="234" t="s">
        <v>2204</v>
      </c>
      <c r="U21" s="234"/>
      <c r="V21" s="154">
        <f>N116</f>
        <v>132</v>
      </c>
      <c r="W21" s="156">
        <f>P116</f>
        <v>7917.3130747700916</v>
      </c>
      <c r="X21" s="165">
        <f>Q116</f>
        <v>0.45833333333333331</v>
      </c>
      <c r="Y21" s="156">
        <f>R116</f>
        <v>1045085.3258696521</v>
      </c>
      <c r="Z21" s="143">
        <f>Y21*10628</f>
        <v>11107166843.342663</v>
      </c>
    </row>
    <row r="22" spans="14:28" x14ac:dyDescent="0.3">
      <c r="N22">
        <v>226</v>
      </c>
      <c r="O22" s="153">
        <f t="shared" si="0"/>
        <v>89.96401439424227</v>
      </c>
      <c r="P22" s="68">
        <f t="shared" si="3"/>
        <v>2279.568172730907</v>
      </c>
      <c r="Q22" s="148">
        <f t="shared" si="1"/>
        <v>0.78472222222222221</v>
      </c>
      <c r="R22" s="140">
        <f t="shared" si="2"/>
        <v>515182.40703718498</v>
      </c>
      <c r="T22" s="235" t="s">
        <v>2205</v>
      </c>
      <c r="U22" s="235"/>
      <c r="V22" s="87">
        <f>N65</f>
        <v>183</v>
      </c>
      <c r="W22" s="161">
        <f>P65</f>
        <v>4858.5365853658541</v>
      </c>
      <c r="X22" s="166">
        <f>Q65</f>
        <v>0.63541666666666663</v>
      </c>
      <c r="Y22" s="161">
        <f>R65</f>
        <v>889112.19512195128</v>
      </c>
      <c r="Z22" s="143">
        <f t="shared" ref="Z22:Z23" si="4">Y22*10628</f>
        <v>9449484409.7560978</v>
      </c>
    </row>
    <row r="23" spans="14:28" x14ac:dyDescent="0.3">
      <c r="N23">
        <v>225</v>
      </c>
      <c r="O23" s="153">
        <f t="shared" si="0"/>
        <v>94.962015193922468</v>
      </c>
      <c r="P23" s="68">
        <f t="shared" si="3"/>
        <v>2339.5441823270694</v>
      </c>
      <c r="Q23" s="148">
        <f t="shared" si="1"/>
        <v>0.78125</v>
      </c>
      <c r="R23" s="140">
        <f t="shared" si="2"/>
        <v>526397.44102359063</v>
      </c>
      <c r="T23" s="236" t="s">
        <v>2206</v>
      </c>
      <c r="U23" s="236"/>
      <c r="V23" s="167">
        <f>N46</f>
        <v>202</v>
      </c>
      <c r="W23" s="168">
        <f>P46</f>
        <v>3718.9924030387842</v>
      </c>
      <c r="X23" s="169">
        <v>0.7</v>
      </c>
      <c r="Y23" s="168">
        <f>R46</f>
        <v>751236.46541383443</v>
      </c>
      <c r="Z23" s="143">
        <f t="shared" si="4"/>
        <v>7984141154.418232</v>
      </c>
      <c r="AB23" s="55" t="s">
        <v>2199</v>
      </c>
    </row>
    <row r="24" spans="14:28" x14ac:dyDescent="0.3">
      <c r="N24">
        <v>224</v>
      </c>
      <c r="O24" s="153">
        <f t="shared" si="0"/>
        <v>99.960015993602539</v>
      </c>
      <c r="P24" s="68">
        <f t="shared" si="3"/>
        <v>2399.5201919232304</v>
      </c>
      <c r="Q24" s="148">
        <f t="shared" si="1"/>
        <v>0.77777777777777779</v>
      </c>
      <c r="R24" s="140">
        <f t="shared" si="2"/>
        <v>537492.52299080358</v>
      </c>
      <c r="AB24" s="55" t="s">
        <v>2200</v>
      </c>
    </row>
    <row r="25" spans="14:28" x14ac:dyDescent="0.3">
      <c r="N25">
        <v>223</v>
      </c>
      <c r="O25" s="153">
        <f t="shared" si="0"/>
        <v>104.95801679328274</v>
      </c>
      <c r="P25" s="68">
        <f t="shared" si="3"/>
        <v>2459.4962015193928</v>
      </c>
      <c r="Q25" s="148">
        <f t="shared" si="1"/>
        <v>0.77430555555555558</v>
      </c>
      <c r="R25" s="140">
        <f t="shared" si="2"/>
        <v>548467.65293882461</v>
      </c>
    </row>
    <row r="26" spans="14:28" x14ac:dyDescent="0.3">
      <c r="N26">
        <v>222</v>
      </c>
      <c r="O26" s="153">
        <f t="shared" si="0"/>
        <v>109.95601759296281</v>
      </c>
      <c r="P26" s="68">
        <f t="shared" si="3"/>
        <v>2519.4722111155538</v>
      </c>
      <c r="Q26" s="148">
        <f t="shared" si="1"/>
        <v>0.77083333333333337</v>
      </c>
      <c r="R26" s="140">
        <f t="shared" si="2"/>
        <v>559322.8308676529</v>
      </c>
    </row>
    <row r="27" spans="14:28" x14ac:dyDescent="0.3">
      <c r="N27">
        <v>221</v>
      </c>
      <c r="O27" s="153">
        <f t="shared" si="0"/>
        <v>114.95401839264301</v>
      </c>
      <c r="P27" s="68">
        <f t="shared" si="3"/>
        <v>2579.4482207117162</v>
      </c>
      <c r="Q27" s="148">
        <f t="shared" si="1"/>
        <v>0.76736111111111116</v>
      </c>
      <c r="R27" s="140">
        <f t="shared" si="2"/>
        <v>570058.05677728925</v>
      </c>
    </row>
    <row r="28" spans="14:28" x14ac:dyDescent="0.3">
      <c r="N28">
        <v>220</v>
      </c>
      <c r="O28" s="153">
        <f t="shared" si="0"/>
        <v>119.95201919232306</v>
      </c>
      <c r="P28" s="68">
        <f t="shared" si="3"/>
        <v>2639.4242303078768</v>
      </c>
      <c r="Q28" s="148">
        <f t="shared" si="1"/>
        <v>0.76388888888888884</v>
      </c>
      <c r="R28" s="140">
        <f t="shared" si="2"/>
        <v>580673.33066773287</v>
      </c>
    </row>
    <row r="29" spans="14:28" x14ac:dyDescent="0.3">
      <c r="N29">
        <v>219</v>
      </c>
      <c r="O29" s="153">
        <f t="shared" si="0"/>
        <v>124.95001999200313</v>
      </c>
      <c r="P29" s="68">
        <f t="shared" si="3"/>
        <v>2699.4002399040373</v>
      </c>
      <c r="Q29" s="148">
        <f t="shared" si="1"/>
        <v>0.76041666666666663</v>
      </c>
      <c r="R29" s="140">
        <f t="shared" si="2"/>
        <v>591168.6525389842</v>
      </c>
    </row>
    <row r="30" spans="14:28" x14ac:dyDescent="0.3">
      <c r="N30">
        <v>218</v>
      </c>
      <c r="O30" s="153">
        <f t="shared" si="0"/>
        <v>129.94802079168335</v>
      </c>
      <c r="P30" s="68">
        <f t="shared" si="3"/>
        <v>2759.3762495002002</v>
      </c>
      <c r="Q30" s="148">
        <f t="shared" si="1"/>
        <v>0.75694444444444442</v>
      </c>
      <c r="R30" s="140">
        <f t="shared" si="2"/>
        <v>601544.0223910436</v>
      </c>
    </row>
    <row r="31" spans="14:28" x14ac:dyDescent="0.3">
      <c r="N31">
        <v>217</v>
      </c>
      <c r="O31" s="153">
        <f t="shared" si="0"/>
        <v>134.9460215913634</v>
      </c>
      <c r="P31" s="68">
        <f t="shared" si="3"/>
        <v>2819.3522590963612</v>
      </c>
      <c r="Q31" s="148">
        <f t="shared" si="1"/>
        <v>0.75347222222222221</v>
      </c>
      <c r="R31" s="140">
        <f t="shared" si="2"/>
        <v>611799.44022391038</v>
      </c>
    </row>
    <row r="32" spans="14:28" x14ac:dyDescent="0.3">
      <c r="N32">
        <v>216</v>
      </c>
      <c r="O32" s="153">
        <f t="shared" si="0"/>
        <v>139.9440223910436</v>
      </c>
      <c r="P32" s="68">
        <f t="shared" si="3"/>
        <v>2879.3282686925236</v>
      </c>
      <c r="Q32" s="148">
        <f t="shared" si="1"/>
        <v>0.75</v>
      </c>
      <c r="R32" s="140">
        <f t="shared" si="2"/>
        <v>621934.90603758511</v>
      </c>
    </row>
    <row r="33" spans="14:18" x14ac:dyDescent="0.3">
      <c r="N33">
        <v>215</v>
      </c>
      <c r="O33" s="153">
        <f t="shared" si="0"/>
        <v>144.94202319072366</v>
      </c>
      <c r="P33" s="68">
        <f t="shared" si="3"/>
        <v>2939.3042782886837</v>
      </c>
      <c r="Q33" s="148">
        <f t="shared" si="1"/>
        <v>0.74652777777777779</v>
      </c>
      <c r="R33" s="140">
        <f t="shared" si="2"/>
        <v>631950.41983206698</v>
      </c>
    </row>
    <row r="34" spans="14:18" x14ac:dyDescent="0.3">
      <c r="N34">
        <v>214</v>
      </c>
      <c r="O34" s="153">
        <f t="shared" si="0"/>
        <v>149.94002399040389</v>
      </c>
      <c r="P34" s="68">
        <f t="shared" si="3"/>
        <v>2999.2802878848465</v>
      </c>
      <c r="Q34" s="148">
        <f t="shared" si="1"/>
        <v>0.74305555555555558</v>
      </c>
      <c r="R34" s="140">
        <f t="shared" si="2"/>
        <v>641845.98160735716</v>
      </c>
    </row>
    <row r="35" spans="14:18" x14ac:dyDescent="0.3">
      <c r="N35">
        <v>213</v>
      </c>
      <c r="O35" s="153">
        <f t="shared" si="0"/>
        <v>154.93802479008394</v>
      </c>
      <c r="P35" s="68">
        <f t="shared" si="3"/>
        <v>3059.2562974810076</v>
      </c>
      <c r="Q35" s="148">
        <f t="shared" si="1"/>
        <v>0.73958333333333337</v>
      </c>
      <c r="R35" s="140">
        <f t="shared" si="2"/>
        <v>651621.59136345459</v>
      </c>
    </row>
    <row r="36" spans="14:18" x14ac:dyDescent="0.3">
      <c r="N36">
        <v>212</v>
      </c>
      <c r="O36" s="153">
        <f t="shared" si="0"/>
        <v>159.93602558976414</v>
      </c>
      <c r="P36" s="68">
        <f t="shared" si="3"/>
        <v>3119.2323070771699</v>
      </c>
      <c r="Q36" s="148">
        <f t="shared" si="1"/>
        <v>0.73611111111111116</v>
      </c>
      <c r="R36" s="140">
        <f t="shared" si="2"/>
        <v>661277.24910035997</v>
      </c>
    </row>
    <row r="37" spans="14:18" x14ac:dyDescent="0.3">
      <c r="N37">
        <v>211</v>
      </c>
      <c r="O37" s="153">
        <f t="shared" si="0"/>
        <v>164.9340263894442</v>
      </c>
      <c r="P37" s="68">
        <f t="shared" si="3"/>
        <v>3179.20831667333</v>
      </c>
      <c r="Q37" s="148">
        <f t="shared" si="1"/>
        <v>0.73263888888888884</v>
      </c>
      <c r="R37" s="140">
        <f t="shared" si="2"/>
        <v>670812.95481807261</v>
      </c>
    </row>
    <row r="38" spans="14:18" x14ac:dyDescent="0.3">
      <c r="N38">
        <v>210</v>
      </c>
      <c r="O38" s="153">
        <f t="shared" si="0"/>
        <v>169.9320271891244</v>
      </c>
      <c r="P38" s="68">
        <f t="shared" si="3"/>
        <v>3239.1843262694929</v>
      </c>
      <c r="Q38" s="148">
        <f t="shared" si="1"/>
        <v>0.72916666666666663</v>
      </c>
      <c r="R38" s="140">
        <f t="shared" si="2"/>
        <v>680228.70851659356</v>
      </c>
    </row>
    <row r="39" spans="14:18" x14ac:dyDescent="0.3">
      <c r="N39">
        <v>209</v>
      </c>
      <c r="O39" s="153">
        <f t="shared" si="0"/>
        <v>174.93002798880448</v>
      </c>
      <c r="P39" s="68">
        <f t="shared" si="3"/>
        <v>3299.1603358656539</v>
      </c>
      <c r="Q39" s="148">
        <f t="shared" si="1"/>
        <v>0.72569444444444442</v>
      </c>
      <c r="R39" s="140">
        <f t="shared" si="2"/>
        <v>689524.51019592164</v>
      </c>
    </row>
    <row r="40" spans="14:18" x14ac:dyDescent="0.3">
      <c r="N40">
        <v>208</v>
      </c>
      <c r="O40" s="153">
        <f t="shared" si="0"/>
        <v>179.92802878848468</v>
      </c>
      <c r="P40" s="68">
        <f t="shared" si="3"/>
        <v>3359.1363454618163</v>
      </c>
      <c r="Q40" s="148">
        <f t="shared" si="1"/>
        <v>0.72222222222222221</v>
      </c>
      <c r="R40" s="140">
        <f t="shared" si="2"/>
        <v>698700.3598560578</v>
      </c>
    </row>
    <row r="41" spans="14:18" x14ac:dyDescent="0.3">
      <c r="N41">
        <v>207</v>
      </c>
      <c r="O41" s="153">
        <f t="shared" si="0"/>
        <v>184.92602958816474</v>
      </c>
      <c r="P41" s="68">
        <f t="shared" si="3"/>
        <v>3419.1123550579769</v>
      </c>
      <c r="Q41" s="148">
        <f t="shared" si="1"/>
        <v>0.71875</v>
      </c>
      <c r="R41" s="140">
        <f t="shared" si="2"/>
        <v>707756.25749700121</v>
      </c>
    </row>
    <row r="42" spans="14:18" x14ac:dyDescent="0.3">
      <c r="N42">
        <v>206</v>
      </c>
      <c r="O42" s="153">
        <f t="shared" si="0"/>
        <v>189.92403038784479</v>
      </c>
      <c r="P42" s="68">
        <f t="shared" si="3"/>
        <v>3479.0883646541374</v>
      </c>
      <c r="Q42" s="148">
        <f t="shared" si="1"/>
        <v>0.71527777777777779</v>
      </c>
      <c r="R42" s="140">
        <f t="shared" si="2"/>
        <v>716692.20311875234</v>
      </c>
    </row>
    <row r="43" spans="14:18" x14ac:dyDescent="0.3">
      <c r="N43">
        <v>205</v>
      </c>
      <c r="O43" s="153">
        <f t="shared" si="0"/>
        <v>194.92203118752499</v>
      </c>
      <c r="P43" s="68">
        <f t="shared" si="3"/>
        <v>3539.0643742502998</v>
      </c>
      <c r="Q43" s="148">
        <f t="shared" si="1"/>
        <v>0.71180555555555558</v>
      </c>
      <c r="R43" s="140">
        <f t="shared" si="2"/>
        <v>725508.19672131143</v>
      </c>
    </row>
    <row r="44" spans="14:18" x14ac:dyDescent="0.3">
      <c r="N44">
        <v>204</v>
      </c>
      <c r="O44" s="153">
        <f t="shared" si="0"/>
        <v>199.92003198720508</v>
      </c>
      <c r="P44" s="68">
        <f t="shared" si="3"/>
        <v>3599.0403838464608</v>
      </c>
      <c r="Q44" s="148">
        <f t="shared" si="1"/>
        <v>0.70833333333333337</v>
      </c>
      <c r="R44" s="140">
        <f t="shared" si="2"/>
        <v>734204.238304678</v>
      </c>
    </row>
    <row r="45" spans="14:18" x14ac:dyDescent="0.3">
      <c r="N45">
        <v>203</v>
      </c>
      <c r="O45" s="153">
        <f t="shared" si="0"/>
        <v>204.91803278688528</v>
      </c>
      <c r="P45" s="68">
        <f t="shared" si="3"/>
        <v>3659.0163934426232</v>
      </c>
      <c r="Q45" s="148">
        <f t="shared" si="1"/>
        <v>0.70486111111111116</v>
      </c>
      <c r="R45" s="140">
        <f t="shared" si="2"/>
        <v>742780.32786885253</v>
      </c>
    </row>
    <row r="46" spans="14:18" x14ac:dyDescent="0.3">
      <c r="N46" s="167">
        <v>202</v>
      </c>
      <c r="O46" s="170">
        <f t="shared" si="0"/>
        <v>209.91603358656533</v>
      </c>
      <c r="P46" s="168">
        <f t="shared" si="3"/>
        <v>3718.9924030387842</v>
      </c>
      <c r="Q46" s="171">
        <f t="shared" si="1"/>
        <v>0.70138888888888884</v>
      </c>
      <c r="R46" s="172">
        <f t="shared" si="2"/>
        <v>751236.46541383443</v>
      </c>
    </row>
    <row r="47" spans="14:18" x14ac:dyDescent="0.3">
      <c r="N47">
        <v>201</v>
      </c>
      <c r="O47" s="153">
        <f t="shared" si="0"/>
        <v>214.91403438624553</v>
      </c>
      <c r="P47" s="68">
        <f t="shared" si="3"/>
        <v>3778.9684126349466</v>
      </c>
      <c r="Q47" s="148">
        <f t="shared" si="1"/>
        <v>0.69791666666666663</v>
      </c>
      <c r="R47" s="140">
        <f t="shared" si="2"/>
        <v>759572.65093962429</v>
      </c>
    </row>
    <row r="48" spans="14:18" x14ac:dyDescent="0.3">
      <c r="N48">
        <v>200</v>
      </c>
      <c r="O48" s="153">
        <f t="shared" si="0"/>
        <v>219.91203518592562</v>
      </c>
      <c r="P48" s="68">
        <f t="shared" si="3"/>
        <v>3838.9444222311072</v>
      </c>
      <c r="Q48" s="148">
        <f t="shared" si="1"/>
        <v>0.69444444444444442</v>
      </c>
      <c r="R48" s="140">
        <f t="shared" si="2"/>
        <v>767788.8844462214</v>
      </c>
    </row>
    <row r="49" spans="14:18" x14ac:dyDescent="0.3">
      <c r="N49">
        <v>199</v>
      </c>
      <c r="O49" s="153">
        <f t="shared" si="0"/>
        <v>224.91003598560582</v>
      </c>
      <c r="P49" s="68">
        <f t="shared" si="3"/>
        <v>3898.9204318272696</v>
      </c>
      <c r="Q49" s="148">
        <f t="shared" si="1"/>
        <v>0.69097222222222221</v>
      </c>
      <c r="R49" s="140">
        <f t="shared" si="2"/>
        <v>775885.16593362659</v>
      </c>
    </row>
    <row r="50" spans="14:18" x14ac:dyDescent="0.3">
      <c r="N50">
        <v>198</v>
      </c>
      <c r="O50" s="153">
        <f t="shared" si="0"/>
        <v>229.90803678528587</v>
      </c>
      <c r="P50" s="68">
        <f t="shared" si="3"/>
        <v>3958.8964414234306</v>
      </c>
      <c r="Q50" s="148">
        <f t="shared" si="1"/>
        <v>0.6875</v>
      </c>
      <c r="R50" s="140">
        <f t="shared" si="2"/>
        <v>783861.49540183926</v>
      </c>
    </row>
    <row r="51" spans="14:18" x14ac:dyDescent="0.3">
      <c r="N51">
        <v>197</v>
      </c>
      <c r="O51" s="153">
        <f t="shared" si="0"/>
        <v>234.90603758496607</v>
      </c>
      <c r="P51" s="68">
        <f t="shared" si="3"/>
        <v>4018.872451019593</v>
      </c>
      <c r="Q51" s="148">
        <f t="shared" si="1"/>
        <v>0.68402777777777779</v>
      </c>
      <c r="R51" s="140">
        <f t="shared" si="2"/>
        <v>791717.87285085977</v>
      </c>
    </row>
    <row r="52" spans="14:18" x14ac:dyDescent="0.3">
      <c r="N52">
        <v>196</v>
      </c>
      <c r="O52" s="153">
        <f t="shared" si="0"/>
        <v>239.90403838464613</v>
      </c>
      <c r="P52" s="68">
        <f t="shared" si="3"/>
        <v>4078.8484606157535</v>
      </c>
      <c r="Q52" s="148">
        <f t="shared" si="1"/>
        <v>0.68055555555555558</v>
      </c>
      <c r="R52" s="140">
        <f t="shared" si="2"/>
        <v>799454.29828068765</v>
      </c>
    </row>
    <row r="53" spans="14:18" x14ac:dyDescent="0.3">
      <c r="N53">
        <v>195</v>
      </c>
      <c r="O53" s="153">
        <f t="shared" si="0"/>
        <v>244.90203918432621</v>
      </c>
      <c r="P53" s="68">
        <f t="shared" si="3"/>
        <v>4138.8244702119146</v>
      </c>
      <c r="Q53" s="148">
        <f t="shared" si="1"/>
        <v>0.67708333333333337</v>
      </c>
      <c r="R53" s="140">
        <f t="shared" si="2"/>
        <v>807070.77169132337</v>
      </c>
    </row>
    <row r="54" spans="14:18" x14ac:dyDescent="0.3">
      <c r="N54">
        <v>194</v>
      </c>
      <c r="O54" s="153">
        <f t="shared" si="0"/>
        <v>249.90003998400641</v>
      </c>
      <c r="P54" s="68">
        <f t="shared" si="3"/>
        <v>4198.8004798080774</v>
      </c>
      <c r="Q54" s="148">
        <f t="shared" si="1"/>
        <v>0.67361111111111116</v>
      </c>
      <c r="R54" s="140">
        <f t="shared" si="2"/>
        <v>814567.29308276705</v>
      </c>
    </row>
    <row r="55" spans="14:18" x14ac:dyDescent="0.3">
      <c r="N55">
        <v>193</v>
      </c>
      <c r="O55" s="153">
        <f t="shared" si="0"/>
        <v>254.89804078368647</v>
      </c>
      <c r="P55" s="68">
        <f t="shared" si="3"/>
        <v>4258.7764894042375</v>
      </c>
      <c r="Q55" s="148">
        <f t="shared" si="1"/>
        <v>0.67013888888888884</v>
      </c>
      <c r="R55" s="140">
        <f t="shared" si="2"/>
        <v>821943.86245501786</v>
      </c>
    </row>
    <row r="56" spans="14:18" x14ac:dyDescent="0.3">
      <c r="N56">
        <v>192</v>
      </c>
      <c r="O56" s="153">
        <f t="shared" si="0"/>
        <v>259.8960415833667</v>
      </c>
      <c r="P56" s="68">
        <f t="shared" si="3"/>
        <v>4318.7524990004003</v>
      </c>
      <c r="Q56" s="148">
        <f t="shared" si="1"/>
        <v>0.66666666666666663</v>
      </c>
      <c r="R56" s="140">
        <f t="shared" si="2"/>
        <v>829200.47980807687</v>
      </c>
    </row>
    <row r="57" spans="14:18" x14ac:dyDescent="0.3">
      <c r="N57">
        <v>191</v>
      </c>
      <c r="O57" s="153">
        <f t="shared" si="0"/>
        <v>264.89404238304672</v>
      </c>
      <c r="P57" s="68">
        <f t="shared" si="3"/>
        <v>4378.7285085965605</v>
      </c>
      <c r="Q57" s="148">
        <f t="shared" si="1"/>
        <v>0.66319444444444442</v>
      </c>
      <c r="R57" s="140">
        <f t="shared" si="2"/>
        <v>836337.14514194301</v>
      </c>
    </row>
    <row r="58" spans="14:18" x14ac:dyDescent="0.3">
      <c r="N58">
        <v>190</v>
      </c>
      <c r="O58" s="153">
        <f t="shared" si="0"/>
        <v>269.89204318272692</v>
      </c>
      <c r="P58" s="68">
        <f t="shared" si="3"/>
        <v>4438.7045181927233</v>
      </c>
      <c r="Q58" s="148">
        <f t="shared" si="1"/>
        <v>0.65972222222222221</v>
      </c>
      <c r="R58" s="140">
        <f t="shared" si="2"/>
        <v>843353.85845661745</v>
      </c>
    </row>
    <row r="59" spans="14:18" x14ac:dyDescent="0.3">
      <c r="N59">
        <v>189</v>
      </c>
      <c r="O59" s="153">
        <f t="shared" si="0"/>
        <v>274.89004398240701</v>
      </c>
      <c r="P59" s="68">
        <f t="shared" si="3"/>
        <v>4498.6805277888843</v>
      </c>
      <c r="Q59" s="148">
        <f t="shared" si="1"/>
        <v>0.65625</v>
      </c>
      <c r="R59" s="140">
        <f t="shared" si="2"/>
        <v>850250.61975209916</v>
      </c>
    </row>
    <row r="60" spans="14:18" x14ac:dyDescent="0.3">
      <c r="N60">
        <v>188</v>
      </c>
      <c r="O60" s="153">
        <f t="shared" si="0"/>
        <v>279.88804478208721</v>
      </c>
      <c r="P60" s="68">
        <f t="shared" si="3"/>
        <v>4558.6565373850462</v>
      </c>
      <c r="Q60" s="148">
        <f t="shared" si="1"/>
        <v>0.65277777777777779</v>
      </c>
      <c r="R60" s="140">
        <f t="shared" si="2"/>
        <v>857027.42902838869</v>
      </c>
    </row>
    <row r="61" spans="14:18" x14ac:dyDescent="0.3">
      <c r="N61">
        <v>187</v>
      </c>
      <c r="O61" s="153">
        <f t="shared" si="0"/>
        <v>284.88604558176729</v>
      </c>
      <c r="P61" s="68">
        <f t="shared" si="3"/>
        <v>4618.6325469812082</v>
      </c>
      <c r="Q61" s="148">
        <f t="shared" si="1"/>
        <v>0.64930555555555558</v>
      </c>
      <c r="R61" s="140">
        <f t="shared" si="2"/>
        <v>863684.28628548596</v>
      </c>
    </row>
    <row r="62" spans="14:18" x14ac:dyDescent="0.3">
      <c r="N62">
        <v>186</v>
      </c>
      <c r="O62" s="153">
        <f t="shared" si="0"/>
        <v>289.88404638144749</v>
      </c>
      <c r="P62" s="68">
        <f t="shared" si="3"/>
        <v>4678.6085565773692</v>
      </c>
      <c r="Q62" s="148">
        <f t="shared" si="1"/>
        <v>0.64583333333333337</v>
      </c>
      <c r="R62" s="140">
        <f t="shared" si="2"/>
        <v>870221.19152339071</v>
      </c>
    </row>
    <row r="63" spans="14:18" x14ac:dyDescent="0.3">
      <c r="N63">
        <v>185</v>
      </c>
      <c r="O63" s="153">
        <f t="shared" si="0"/>
        <v>294.88204718112752</v>
      </c>
      <c r="P63" s="68">
        <f t="shared" si="3"/>
        <v>4738.5845661735302</v>
      </c>
      <c r="Q63" s="148">
        <f t="shared" si="1"/>
        <v>0.64236111111111116</v>
      </c>
      <c r="R63" s="140">
        <f t="shared" si="2"/>
        <v>876638.14474210306</v>
      </c>
    </row>
    <row r="64" spans="14:18" x14ac:dyDescent="0.3">
      <c r="N64">
        <v>184</v>
      </c>
      <c r="O64" s="153">
        <f t="shared" si="0"/>
        <v>299.88004798080777</v>
      </c>
      <c r="P64" s="68">
        <f t="shared" si="3"/>
        <v>4798.5605757696931</v>
      </c>
      <c r="Q64" s="148">
        <f t="shared" si="1"/>
        <v>0.63888888888888884</v>
      </c>
      <c r="R64" s="140">
        <f t="shared" si="2"/>
        <v>882935.14594162349</v>
      </c>
    </row>
    <row r="65" spans="14:18" x14ac:dyDescent="0.3">
      <c r="N65" s="87">
        <v>183</v>
      </c>
      <c r="O65" s="160">
        <f t="shared" si="0"/>
        <v>304.8780487804878</v>
      </c>
      <c r="P65" s="161">
        <f t="shared" si="3"/>
        <v>4858.5365853658541</v>
      </c>
      <c r="Q65" s="162">
        <f t="shared" si="1"/>
        <v>0.63541666666666663</v>
      </c>
      <c r="R65" s="163">
        <f t="shared" si="2"/>
        <v>889112.19512195128</v>
      </c>
    </row>
    <row r="66" spans="14:18" x14ac:dyDescent="0.3">
      <c r="N66">
        <v>182</v>
      </c>
      <c r="O66" s="153">
        <f t="shared" si="0"/>
        <v>309.87604958016789</v>
      </c>
      <c r="P66" s="68">
        <f t="shared" si="3"/>
        <v>4918.5125949620151</v>
      </c>
      <c r="Q66" s="148">
        <f t="shared" si="1"/>
        <v>0.63194444444444442</v>
      </c>
      <c r="R66" s="140">
        <f t="shared" si="2"/>
        <v>895169.2922830868</v>
      </c>
    </row>
    <row r="67" spans="14:18" x14ac:dyDescent="0.3">
      <c r="N67">
        <v>181</v>
      </c>
      <c r="O67" s="153">
        <f t="shared" si="0"/>
        <v>314.87405037984809</v>
      </c>
      <c r="P67" s="68">
        <f t="shared" si="3"/>
        <v>4978.4886045581761</v>
      </c>
      <c r="Q67" s="148">
        <f t="shared" si="1"/>
        <v>0.62847222222222221</v>
      </c>
      <c r="R67" s="140">
        <f t="shared" si="2"/>
        <v>901106.43742502993</v>
      </c>
    </row>
    <row r="68" spans="14:18" x14ac:dyDescent="0.3">
      <c r="N68">
        <v>180</v>
      </c>
      <c r="O68" s="153">
        <f t="shared" ref="O68:O131" si="5">(1-(N68/$N$4))/$C$7</f>
        <v>319.87205117952817</v>
      </c>
      <c r="P68" s="68">
        <f t="shared" si="3"/>
        <v>5038.4646141543381</v>
      </c>
      <c r="Q68" s="148">
        <f t="shared" ref="Q68:Q131" si="6">N68/$E$5</f>
        <v>0.625</v>
      </c>
      <c r="R68" s="140">
        <f t="shared" ref="R68:R131" si="7">P68*N68</f>
        <v>906923.63054778089</v>
      </c>
    </row>
    <row r="69" spans="14:18" x14ac:dyDescent="0.3">
      <c r="N69">
        <v>179</v>
      </c>
      <c r="O69" s="153">
        <f t="shared" si="5"/>
        <v>324.87005197920837</v>
      </c>
      <c r="P69" s="68">
        <f t="shared" ref="P69:P132" si="8">(1+(O69/100))*$P$4</f>
        <v>5098.4406237505</v>
      </c>
      <c r="Q69" s="148">
        <f t="shared" si="6"/>
        <v>0.62152777777777779</v>
      </c>
      <c r="R69" s="140">
        <f t="shared" si="7"/>
        <v>912620.87165133946</v>
      </c>
    </row>
    <row r="70" spans="14:18" x14ac:dyDescent="0.3">
      <c r="N70">
        <v>178</v>
      </c>
      <c r="O70" s="153">
        <f t="shared" si="5"/>
        <v>329.8680527788884</v>
      </c>
      <c r="P70" s="68">
        <f t="shared" si="8"/>
        <v>5158.4166333466601</v>
      </c>
      <c r="Q70" s="148">
        <f t="shared" si="6"/>
        <v>0.61805555555555558</v>
      </c>
      <c r="R70" s="140">
        <f t="shared" si="7"/>
        <v>918198.16073570552</v>
      </c>
    </row>
    <row r="71" spans="14:18" x14ac:dyDescent="0.3">
      <c r="N71">
        <v>177</v>
      </c>
      <c r="O71" s="153">
        <f t="shared" si="5"/>
        <v>334.8660535785686</v>
      </c>
      <c r="P71" s="68">
        <f t="shared" si="8"/>
        <v>5218.3926429428229</v>
      </c>
      <c r="Q71" s="148">
        <f t="shared" si="6"/>
        <v>0.61458333333333337</v>
      </c>
      <c r="R71" s="140">
        <f t="shared" si="7"/>
        <v>923655.49780087965</v>
      </c>
    </row>
    <row r="72" spans="14:18" x14ac:dyDescent="0.3">
      <c r="N72">
        <v>176</v>
      </c>
      <c r="O72" s="153">
        <f t="shared" si="5"/>
        <v>339.86405437824868</v>
      </c>
      <c r="P72" s="68">
        <f t="shared" si="8"/>
        <v>5278.368652538984</v>
      </c>
      <c r="Q72" s="148">
        <f t="shared" si="6"/>
        <v>0.61111111111111116</v>
      </c>
      <c r="R72" s="140">
        <f t="shared" si="7"/>
        <v>928992.88284686115</v>
      </c>
    </row>
    <row r="73" spans="14:18" x14ac:dyDescent="0.3">
      <c r="N73">
        <v>175</v>
      </c>
      <c r="O73" s="153">
        <f t="shared" si="5"/>
        <v>344.86205517792888</v>
      </c>
      <c r="P73" s="68">
        <f t="shared" si="8"/>
        <v>5338.3446621351468</v>
      </c>
      <c r="Q73" s="148">
        <f t="shared" si="6"/>
        <v>0.60763888888888884</v>
      </c>
      <c r="R73" s="140">
        <f t="shared" si="7"/>
        <v>934210.31587365072</v>
      </c>
    </row>
    <row r="74" spans="14:18" x14ac:dyDescent="0.3">
      <c r="N74">
        <v>174</v>
      </c>
      <c r="O74" s="153">
        <f t="shared" si="5"/>
        <v>349.86005597760897</v>
      </c>
      <c r="P74" s="68">
        <f t="shared" si="8"/>
        <v>5398.3206717313078</v>
      </c>
      <c r="Q74" s="148">
        <f t="shared" si="6"/>
        <v>0.60416666666666663</v>
      </c>
      <c r="R74" s="140">
        <f t="shared" si="7"/>
        <v>939307.79688124754</v>
      </c>
    </row>
    <row r="75" spans="14:18" x14ac:dyDescent="0.3">
      <c r="N75">
        <v>173</v>
      </c>
      <c r="O75" s="153">
        <f t="shared" si="5"/>
        <v>354.85805677728916</v>
      </c>
      <c r="P75" s="68">
        <f t="shared" si="8"/>
        <v>5458.2966813274697</v>
      </c>
      <c r="Q75" s="148">
        <f t="shared" si="6"/>
        <v>0.60069444444444442</v>
      </c>
      <c r="R75" s="140">
        <f t="shared" si="7"/>
        <v>944285.32586965221</v>
      </c>
    </row>
    <row r="76" spans="14:18" x14ac:dyDescent="0.3">
      <c r="N76">
        <v>172</v>
      </c>
      <c r="O76" s="153">
        <f t="shared" si="5"/>
        <v>359.85605757696919</v>
      </c>
      <c r="P76" s="68">
        <f t="shared" si="8"/>
        <v>5518.2726909236308</v>
      </c>
      <c r="Q76" s="148">
        <f t="shared" si="6"/>
        <v>0.59722222222222221</v>
      </c>
      <c r="R76" s="140">
        <f t="shared" si="7"/>
        <v>949142.90283886448</v>
      </c>
    </row>
    <row r="77" spans="14:18" x14ac:dyDescent="0.3">
      <c r="N77">
        <v>171</v>
      </c>
      <c r="O77" s="153">
        <f t="shared" si="5"/>
        <v>364.85405837664939</v>
      </c>
      <c r="P77" s="68">
        <f t="shared" si="8"/>
        <v>5578.2487005197918</v>
      </c>
      <c r="Q77" s="148">
        <f t="shared" si="6"/>
        <v>0.59375</v>
      </c>
      <c r="R77" s="140">
        <f t="shared" si="7"/>
        <v>953880.52778888436</v>
      </c>
    </row>
    <row r="78" spans="14:18" x14ac:dyDescent="0.3">
      <c r="N78">
        <v>170</v>
      </c>
      <c r="O78" s="153">
        <f t="shared" si="5"/>
        <v>369.85205917632948</v>
      </c>
      <c r="P78" s="68">
        <f t="shared" si="8"/>
        <v>5638.2247101159537</v>
      </c>
      <c r="Q78" s="148">
        <f t="shared" si="6"/>
        <v>0.59027777777777779</v>
      </c>
      <c r="R78" s="140">
        <f t="shared" si="7"/>
        <v>958498.20071971219</v>
      </c>
    </row>
    <row r="79" spans="14:18" x14ac:dyDescent="0.3">
      <c r="N79">
        <v>169</v>
      </c>
      <c r="O79" s="153">
        <f t="shared" si="5"/>
        <v>374.85005997600956</v>
      </c>
      <c r="P79" s="68">
        <f t="shared" si="8"/>
        <v>5698.2007197121147</v>
      </c>
      <c r="Q79" s="148">
        <f t="shared" si="6"/>
        <v>0.58680555555555558</v>
      </c>
      <c r="R79" s="140">
        <f t="shared" si="7"/>
        <v>962995.92163134739</v>
      </c>
    </row>
    <row r="80" spans="14:18" x14ac:dyDescent="0.3">
      <c r="N80">
        <v>168</v>
      </c>
      <c r="O80" s="153">
        <f t="shared" si="5"/>
        <v>379.84806077568976</v>
      </c>
      <c r="P80" s="68">
        <f t="shared" si="8"/>
        <v>5758.1767293082776</v>
      </c>
      <c r="Q80" s="148">
        <f t="shared" si="6"/>
        <v>0.58333333333333337</v>
      </c>
      <c r="R80" s="140">
        <f t="shared" si="7"/>
        <v>967373.69052379066</v>
      </c>
    </row>
    <row r="81" spans="14:18" x14ac:dyDescent="0.3">
      <c r="N81">
        <v>167</v>
      </c>
      <c r="O81" s="153">
        <f t="shared" si="5"/>
        <v>384.84606157536979</v>
      </c>
      <c r="P81" s="68">
        <f t="shared" si="8"/>
        <v>5818.1527389044377</v>
      </c>
      <c r="Q81" s="148">
        <f t="shared" si="6"/>
        <v>0.57986111111111116</v>
      </c>
      <c r="R81" s="140">
        <f t="shared" si="7"/>
        <v>971631.50739704107</v>
      </c>
    </row>
    <row r="82" spans="14:18" x14ac:dyDescent="0.3">
      <c r="N82">
        <v>166</v>
      </c>
      <c r="O82" s="153">
        <f t="shared" si="5"/>
        <v>389.84406237504999</v>
      </c>
      <c r="P82" s="68">
        <f t="shared" si="8"/>
        <v>5878.1287485005996</v>
      </c>
      <c r="Q82" s="148">
        <f t="shared" si="6"/>
        <v>0.57638888888888884</v>
      </c>
      <c r="R82" s="140">
        <f t="shared" si="7"/>
        <v>975769.37225109956</v>
      </c>
    </row>
    <row r="83" spans="14:18" x14ac:dyDescent="0.3">
      <c r="N83">
        <v>165</v>
      </c>
      <c r="O83" s="153">
        <f t="shared" si="5"/>
        <v>394.84206317473007</v>
      </c>
      <c r="P83" s="68">
        <f t="shared" si="8"/>
        <v>5938.1047580967606</v>
      </c>
      <c r="Q83" s="148">
        <f t="shared" si="6"/>
        <v>0.57291666666666663</v>
      </c>
      <c r="R83" s="140">
        <f t="shared" si="7"/>
        <v>979787.28508596553</v>
      </c>
    </row>
    <row r="84" spans="14:18" x14ac:dyDescent="0.3">
      <c r="N84">
        <v>164</v>
      </c>
      <c r="O84" s="153">
        <f t="shared" si="5"/>
        <v>399.84006397441027</v>
      </c>
      <c r="P84" s="68">
        <f t="shared" si="8"/>
        <v>5998.0807676929235</v>
      </c>
      <c r="Q84" s="148">
        <f t="shared" si="6"/>
        <v>0.56944444444444442</v>
      </c>
      <c r="R84" s="140">
        <f t="shared" si="7"/>
        <v>983685.24590163946</v>
      </c>
    </row>
    <row r="85" spans="14:18" x14ac:dyDescent="0.3">
      <c r="N85">
        <v>163</v>
      </c>
      <c r="O85" s="153">
        <f t="shared" si="5"/>
        <v>404.83806477409036</v>
      </c>
      <c r="P85" s="68">
        <f t="shared" si="8"/>
        <v>6058.0567772890845</v>
      </c>
      <c r="Q85" s="148">
        <f t="shared" si="6"/>
        <v>0.56597222222222221</v>
      </c>
      <c r="R85" s="140">
        <f t="shared" si="7"/>
        <v>987463.25469812076</v>
      </c>
    </row>
    <row r="86" spans="14:18" x14ac:dyDescent="0.3">
      <c r="N86">
        <v>162</v>
      </c>
      <c r="O86" s="153">
        <f t="shared" si="5"/>
        <v>409.83606557377055</v>
      </c>
      <c r="P86" s="68">
        <f t="shared" si="8"/>
        <v>6118.0327868852464</v>
      </c>
      <c r="Q86" s="148">
        <f t="shared" si="6"/>
        <v>0.5625</v>
      </c>
      <c r="R86" s="140">
        <f t="shared" si="7"/>
        <v>991121.31147540989</v>
      </c>
    </row>
    <row r="87" spans="14:18" x14ac:dyDescent="0.3">
      <c r="N87">
        <v>161</v>
      </c>
      <c r="O87" s="153">
        <f t="shared" si="5"/>
        <v>414.83406637345064</v>
      </c>
      <c r="P87" s="68">
        <f t="shared" si="8"/>
        <v>6178.0087964814084</v>
      </c>
      <c r="Q87" s="148">
        <f t="shared" si="6"/>
        <v>0.55902777777777779</v>
      </c>
      <c r="R87" s="140">
        <f t="shared" si="7"/>
        <v>994659.41623350675</v>
      </c>
    </row>
    <row r="88" spans="14:18" x14ac:dyDescent="0.3">
      <c r="N88">
        <v>160</v>
      </c>
      <c r="O88" s="153">
        <f t="shared" si="5"/>
        <v>419.83206717313084</v>
      </c>
      <c r="P88" s="68">
        <f t="shared" si="8"/>
        <v>6237.9848060775703</v>
      </c>
      <c r="Q88" s="148">
        <f t="shared" si="6"/>
        <v>0.55555555555555558</v>
      </c>
      <c r="R88" s="140">
        <f t="shared" si="7"/>
        <v>998077.56897241122</v>
      </c>
    </row>
    <row r="89" spans="14:18" x14ac:dyDescent="0.3">
      <c r="N89">
        <v>159</v>
      </c>
      <c r="O89" s="153">
        <f t="shared" si="5"/>
        <v>424.83006797281087</v>
      </c>
      <c r="P89" s="68">
        <f t="shared" si="8"/>
        <v>6297.9608156737304</v>
      </c>
      <c r="Q89" s="148">
        <f t="shared" si="6"/>
        <v>0.55208333333333337</v>
      </c>
      <c r="R89" s="140">
        <f t="shared" si="7"/>
        <v>1001375.7696921232</v>
      </c>
    </row>
    <row r="90" spans="14:18" x14ac:dyDescent="0.3">
      <c r="N90">
        <v>158</v>
      </c>
      <c r="O90" s="153">
        <f t="shared" si="5"/>
        <v>429.82806877249095</v>
      </c>
      <c r="P90" s="68">
        <f t="shared" si="8"/>
        <v>6357.9368252698905</v>
      </c>
      <c r="Q90" s="148">
        <f t="shared" si="6"/>
        <v>0.54861111111111116</v>
      </c>
      <c r="R90" s="140">
        <f t="shared" si="7"/>
        <v>1004554.0183926427</v>
      </c>
    </row>
    <row r="91" spans="14:18" x14ac:dyDescent="0.3">
      <c r="N91">
        <v>157</v>
      </c>
      <c r="O91" s="153">
        <f t="shared" si="5"/>
        <v>434.82606957217115</v>
      </c>
      <c r="P91" s="68">
        <f t="shared" si="8"/>
        <v>6417.9128348660533</v>
      </c>
      <c r="Q91" s="148">
        <f t="shared" si="6"/>
        <v>0.54513888888888884</v>
      </c>
      <c r="R91" s="140">
        <f t="shared" si="7"/>
        <v>1007612.3150739704</v>
      </c>
    </row>
    <row r="92" spans="14:18" x14ac:dyDescent="0.3">
      <c r="N92">
        <v>156</v>
      </c>
      <c r="O92" s="153">
        <f t="shared" si="5"/>
        <v>439.82407037185123</v>
      </c>
      <c r="P92" s="68">
        <f t="shared" si="8"/>
        <v>6477.8888444622144</v>
      </c>
      <c r="Q92" s="148">
        <f t="shared" si="6"/>
        <v>0.54166666666666663</v>
      </c>
      <c r="R92" s="140">
        <f t="shared" si="7"/>
        <v>1010550.6597361055</v>
      </c>
    </row>
    <row r="93" spans="14:18" x14ac:dyDescent="0.3">
      <c r="N93">
        <v>155</v>
      </c>
      <c r="O93" s="153">
        <f t="shared" si="5"/>
        <v>444.82207117153143</v>
      </c>
      <c r="P93" s="68">
        <f t="shared" si="8"/>
        <v>6537.8648540583772</v>
      </c>
      <c r="Q93" s="148">
        <f t="shared" si="6"/>
        <v>0.53819444444444442</v>
      </c>
      <c r="R93" s="140">
        <f t="shared" si="7"/>
        <v>1013369.0523790484</v>
      </c>
    </row>
    <row r="94" spans="14:18" x14ac:dyDescent="0.3">
      <c r="N94">
        <v>154</v>
      </c>
      <c r="O94" s="153">
        <f t="shared" si="5"/>
        <v>449.82007197121146</v>
      </c>
      <c r="P94" s="68">
        <f t="shared" si="8"/>
        <v>6597.8408636545373</v>
      </c>
      <c r="Q94" s="148">
        <f t="shared" si="6"/>
        <v>0.53472222222222221</v>
      </c>
      <c r="R94" s="140">
        <f t="shared" si="7"/>
        <v>1016067.4930027988</v>
      </c>
    </row>
    <row r="95" spans="14:18" x14ac:dyDescent="0.3">
      <c r="N95">
        <v>153</v>
      </c>
      <c r="O95" s="153">
        <f t="shared" si="5"/>
        <v>454.81807277089166</v>
      </c>
      <c r="P95" s="68">
        <f t="shared" si="8"/>
        <v>6657.8168732507002</v>
      </c>
      <c r="Q95" s="148">
        <f t="shared" si="6"/>
        <v>0.53125</v>
      </c>
      <c r="R95" s="140">
        <f t="shared" si="7"/>
        <v>1018645.9816073572</v>
      </c>
    </row>
    <row r="96" spans="14:18" x14ac:dyDescent="0.3">
      <c r="N96">
        <v>152</v>
      </c>
      <c r="O96" s="153">
        <f t="shared" si="5"/>
        <v>459.81607357057175</v>
      </c>
      <c r="P96" s="68">
        <f t="shared" si="8"/>
        <v>6717.7928828468612</v>
      </c>
      <c r="Q96" s="148">
        <f t="shared" si="6"/>
        <v>0.52777777777777779</v>
      </c>
      <c r="R96" s="140">
        <f t="shared" si="7"/>
        <v>1021104.5181927229</v>
      </c>
    </row>
    <row r="97" spans="14:18" x14ac:dyDescent="0.3">
      <c r="N97">
        <v>151</v>
      </c>
      <c r="O97" s="153">
        <f t="shared" si="5"/>
        <v>464.81407437025194</v>
      </c>
      <c r="P97" s="68">
        <f t="shared" si="8"/>
        <v>6777.768892443024</v>
      </c>
      <c r="Q97" s="148">
        <f t="shared" si="6"/>
        <v>0.52430555555555558</v>
      </c>
      <c r="R97" s="140">
        <f t="shared" si="7"/>
        <v>1023443.1027588967</v>
      </c>
    </row>
    <row r="98" spans="14:18" x14ac:dyDescent="0.3">
      <c r="N98">
        <v>150</v>
      </c>
      <c r="O98" s="153">
        <f t="shared" si="5"/>
        <v>469.81207516993203</v>
      </c>
      <c r="P98" s="68">
        <f t="shared" si="8"/>
        <v>6837.7449020391841</v>
      </c>
      <c r="Q98" s="148">
        <f t="shared" si="6"/>
        <v>0.52083333333333337</v>
      </c>
      <c r="R98" s="140">
        <f t="shared" si="7"/>
        <v>1025661.7353058776</v>
      </c>
    </row>
    <row r="99" spans="14:18" x14ac:dyDescent="0.3">
      <c r="N99">
        <v>149</v>
      </c>
      <c r="O99" s="153">
        <f t="shared" si="5"/>
        <v>474.81007596961223</v>
      </c>
      <c r="P99" s="68">
        <f t="shared" si="8"/>
        <v>6897.7209116353461</v>
      </c>
      <c r="Q99" s="148">
        <f t="shared" si="6"/>
        <v>0.51736111111111116</v>
      </c>
      <c r="R99" s="140">
        <f t="shared" si="7"/>
        <v>1027760.4158336666</v>
      </c>
    </row>
    <row r="100" spans="14:18" x14ac:dyDescent="0.3">
      <c r="N100">
        <v>148</v>
      </c>
      <c r="O100" s="153">
        <f t="shared" si="5"/>
        <v>479.80807676929226</v>
      </c>
      <c r="P100" s="68">
        <f t="shared" si="8"/>
        <v>6957.6969212315071</v>
      </c>
      <c r="Q100" s="148">
        <f t="shared" si="6"/>
        <v>0.51388888888888884</v>
      </c>
      <c r="R100" s="140">
        <f t="shared" si="7"/>
        <v>1029739.144342263</v>
      </c>
    </row>
    <row r="101" spans="14:18" x14ac:dyDescent="0.3">
      <c r="N101">
        <v>147</v>
      </c>
      <c r="O101" s="153">
        <f t="shared" si="5"/>
        <v>484.80607756897251</v>
      </c>
      <c r="P101" s="68">
        <f t="shared" si="8"/>
        <v>7017.6729308276699</v>
      </c>
      <c r="Q101" s="148">
        <f t="shared" si="6"/>
        <v>0.51041666666666663</v>
      </c>
      <c r="R101" s="140">
        <f t="shared" si="7"/>
        <v>1031597.9208316675</v>
      </c>
    </row>
    <row r="102" spans="14:18" x14ac:dyDescent="0.3">
      <c r="N102">
        <v>146</v>
      </c>
      <c r="O102" s="153">
        <f t="shared" si="5"/>
        <v>489.80407836865254</v>
      </c>
      <c r="P102" s="68">
        <f t="shared" si="8"/>
        <v>7077.6489404238309</v>
      </c>
      <c r="Q102" s="148">
        <f t="shared" si="6"/>
        <v>0.50694444444444442</v>
      </c>
      <c r="R102" s="140">
        <f t="shared" si="7"/>
        <v>1033336.7453018794</v>
      </c>
    </row>
    <row r="103" spans="14:18" x14ac:dyDescent="0.3">
      <c r="N103">
        <v>145</v>
      </c>
      <c r="O103" s="153">
        <f t="shared" si="5"/>
        <v>494.80207916833263</v>
      </c>
      <c r="P103" s="68">
        <f t="shared" si="8"/>
        <v>7137.624950019992</v>
      </c>
      <c r="Q103" s="148">
        <f t="shared" si="6"/>
        <v>0.50347222222222221</v>
      </c>
      <c r="R103" s="140">
        <f t="shared" si="7"/>
        <v>1034955.6177528988</v>
      </c>
    </row>
    <row r="104" spans="14:18" x14ac:dyDescent="0.3">
      <c r="N104">
        <v>144</v>
      </c>
      <c r="O104" s="153">
        <f t="shared" si="5"/>
        <v>499.80007996801282</v>
      </c>
      <c r="P104" s="68">
        <f t="shared" si="8"/>
        <v>7197.6009596161539</v>
      </c>
      <c r="Q104" s="148">
        <f t="shared" si="6"/>
        <v>0.5</v>
      </c>
      <c r="R104" s="140">
        <f t="shared" si="7"/>
        <v>1036454.5381847261</v>
      </c>
    </row>
    <row r="105" spans="14:18" x14ac:dyDescent="0.3">
      <c r="N105">
        <v>143</v>
      </c>
      <c r="O105" s="153">
        <f t="shared" si="5"/>
        <v>504.79808076769291</v>
      </c>
      <c r="P105" s="68">
        <f t="shared" si="8"/>
        <v>7257.5769692123149</v>
      </c>
      <c r="Q105" s="148">
        <f t="shared" si="6"/>
        <v>0.49652777777777779</v>
      </c>
      <c r="R105" s="140">
        <f t="shared" si="7"/>
        <v>1037833.5065973611</v>
      </c>
    </row>
    <row r="106" spans="14:18" x14ac:dyDescent="0.3">
      <c r="N106">
        <v>142</v>
      </c>
      <c r="O106" s="153">
        <f t="shared" si="5"/>
        <v>509.79608156737311</v>
      </c>
      <c r="P106" s="68">
        <f t="shared" si="8"/>
        <v>7317.5529788084768</v>
      </c>
      <c r="Q106" s="148">
        <f t="shared" si="6"/>
        <v>0.49305555555555558</v>
      </c>
      <c r="R106" s="140">
        <f t="shared" si="7"/>
        <v>1039092.5229908037</v>
      </c>
    </row>
    <row r="107" spans="14:18" x14ac:dyDescent="0.3">
      <c r="N107">
        <v>141</v>
      </c>
      <c r="O107" s="153">
        <f t="shared" si="5"/>
        <v>514.79408236705319</v>
      </c>
      <c r="P107" s="68">
        <f t="shared" si="8"/>
        <v>7377.5289884046388</v>
      </c>
      <c r="Q107" s="148">
        <f t="shared" si="6"/>
        <v>0.48958333333333331</v>
      </c>
      <c r="R107" s="140">
        <f t="shared" si="7"/>
        <v>1040231.5873650541</v>
      </c>
    </row>
    <row r="108" spans="14:18" x14ac:dyDescent="0.3">
      <c r="N108">
        <v>140</v>
      </c>
      <c r="O108" s="153">
        <f t="shared" si="5"/>
        <v>519.79208316673339</v>
      </c>
      <c r="P108" s="68">
        <f t="shared" si="8"/>
        <v>7437.5049980008007</v>
      </c>
      <c r="Q108" s="148">
        <f t="shared" si="6"/>
        <v>0.4861111111111111</v>
      </c>
      <c r="R108" s="140">
        <f t="shared" si="7"/>
        <v>1041250.6997201121</v>
      </c>
    </row>
    <row r="109" spans="14:18" x14ac:dyDescent="0.3">
      <c r="N109">
        <v>139</v>
      </c>
      <c r="O109" s="153">
        <f t="shared" si="5"/>
        <v>524.79008396641336</v>
      </c>
      <c r="P109" s="68">
        <f t="shared" si="8"/>
        <v>7497.4810075969599</v>
      </c>
      <c r="Q109" s="148">
        <f t="shared" si="6"/>
        <v>0.4826388888888889</v>
      </c>
      <c r="R109" s="140">
        <f t="shared" si="7"/>
        <v>1042149.8600559775</v>
      </c>
    </row>
    <row r="110" spans="14:18" x14ac:dyDescent="0.3">
      <c r="N110">
        <v>138</v>
      </c>
      <c r="O110" s="153">
        <f t="shared" si="5"/>
        <v>529.78808476609368</v>
      </c>
      <c r="P110" s="68">
        <f t="shared" si="8"/>
        <v>7557.4570171931246</v>
      </c>
      <c r="Q110" s="148">
        <f t="shared" si="6"/>
        <v>0.47916666666666669</v>
      </c>
      <c r="R110" s="140">
        <f t="shared" si="7"/>
        <v>1042929.0683726512</v>
      </c>
    </row>
    <row r="111" spans="14:18" x14ac:dyDescent="0.3">
      <c r="N111">
        <v>137</v>
      </c>
      <c r="O111" s="153">
        <f t="shared" si="5"/>
        <v>534.78608556577365</v>
      </c>
      <c r="P111" s="68">
        <f t="shared" si="8"/>
        <v>7617.4330267892838</v>
      </c>
      <c r="Q111" s="148">
        <f t="shared" si="6"/>
        <v>0.47569444444444442</v>
      </c>
      <c r="R111" s="140">
        <f t="shared" si="7"/>
        <v>1043588.3246701319</v>
      </c>
    </row>
    <row r="112" spans="14:18" x14ac:dyDescent="0.3">
      <c r="N112">
        <v>136</v>
      </c>
      <c r="O112" s="153">
        <f t="shared" si="5"/>
        <v>539.78408636545385</v>
      </c>
      <c r="P112" s="68">
        <f t="shared" si="8"/>
        <v>7677.4090363854466</v>
      </c>
      <c r="Q112" s="148">
        <f t="shared" si="6"/>
        <v>0.47222222222222221</v>
      </c>
      <c r="R112" s="140">
        <f t="shared" si="7"/>
        <v>1044127.6289484208</v>
      </c>
    </row>
    <row r="113" spans="14:18" x14ac:dyDescent="0.3">
      <c r="N113">
        <v>135</v>
      </c>
      <c r="O113" s="153">
        <f t="shared" si="5"/>
        <v>544.78208716513393</v>
      </c>
      <c r="P113" s="68">
        <f t="shared" si="8"/>
        <v>7737.3850459816076</v>
      </c>
      <c r="Q113" s="148">
        <f t="shared" si="6"/>
        <v>0.46875</v>
      </c>
      <c r="R113" s="140">
        <f t="shared" si="7"/>
        <v>1044546.981207517</v>
      </c>
    </row>
    <row r="114" spans="14:18" x14ac:dyDescent="0.3">
      <c r="N114">
        <v>134</v>
      </c>
      <c r="O114" s="153">
        <f t="shared" si="5"/>
        <v>549.78008796481402</v>
      </c>
      <c r="P114" s="68">
        <f t="shared" si="8"/>
        <v>7797.3610555777677</v>
      </c>
      <c r="Q114" s="148">
        <f t="shared" si="6"/>
        <v>0.46527777777777779</v>
      </c>
      <c r="R114" s="140">
        <f t="shared" si="7"/>
        <v>1044846.3814474209</v>
      </c>
    </row>
    <row r="115" spans="14:18" x14ac:dyDescent="0.3">
      <c r="N115">
        <v>133</v>
      </c>
      <c r="O115" s="153">
        <f t="shared" si="5"/>
        <v>554.77808876449421</v>
      </c>
      <c r="P115" s="68">
        <f t="shared" si="8"/>
        <v>7857.3370651739306</v>
      </c>
      <c r="Q115" s="148">
        <f t="shared" si="6"/>
        <v>0.46180555555555558</v>
      </c>
      <c r="R115" s="140">
        <f t="shared" si="7"/>
        <v>1045025.8296681328</v>
      </c>
    </row>
    <row r="116" spans="14:18" x14ac:dyDescent="0.3">
      <c r="N116" s="154">
        <v>132</v>
      </c>
      <c r="O116" s="155">
        <f t="shared" si="5"/>
        <v>559.7760895641743</v>
      </c>
      <c r="P116" s="156">
        <f t="shared" si="8"/>
        <v>7917.3130747700916</v>
      </c>
      <c r="Q116" s="164">
        <f t="shared" si="6"/>
        <v>0.45833333333333331</v>
      </c>
      <c r="R116" s="157">
        <f t="shared" si="7"/>
        <v>1045085.3258696521</v>
      </c>
    </row>
    <row r="117" spans="14:18" x14ac:dyDescent="0.3">
      <c r="N117">
        <v>131</v>
      </c>
      <c r="O117" s="153">
        <f t="shared" si="5"/>
        <v>564.7740903638545</v>
      </c>
      <c r="P117" s="68">
        <f t="shared" si="8"/>
        <v>7977.2890843662544</v>
      </c>
      <c r="Q117" s="148">
        <f t="shared" si="6"/>
        <v>0.4548611111111111</v>
      </c>
      <c r="R117" s="140">
        <f t="shared" si="7"/>
        <v>1045024.8700519793</v>
      </c>
    </row>
    <row r="118" spans="14:18" x14ac:dyDescent="0.3">
      <c r="N118">
        <v>130</v>
      </c>
      <c r="O118" s="153">
        <f t="shared" si="5"/>
        <v>569.77209116353458</v>
      </c>
      <c r="P118" s="68">
        <f t="shared" si="8"/>
        <v>8037.2650939624154</v>
      </c>
      <c r="Q118" s="148">
        <f t="shared" si="6"/>
        <v>0.4513888888888889</v>
      </c>
      <c r="R118" s="140">
        <f t="shared" si="7"/>
        <v>1044844.462215114</v>
      </c>
    </row>
    <row r="119" spans="14:18" x14ac:dyDescent="0.3">
      <c r="N119">
        <v>129</v>
      </c>
      <c r="O119" s="153">
        <f t="shared" si="5"/>
        <v>574.77009196321478</v>
      </c>
      <c r="P119" s="68">
        <f t="shared" si="8"/>
        <v>8097.2411035585783</v>
      </c>
      <c r="Q119" s="148">
        <f t="shared" si="6"/>
        <v>0.44791666666666669</v>
      </c>
      <c r="R119" s="140">
        <f t="shared" si="7"/>
        <v>1044544.1023590566</v>
      </c>
    </row>
    <row r="120" spans="14:18" x14ac:dyDescent="0.3">
      <c r="N120">
        <v>128</v>
      </c>
      <c r="O120" s="153">
        <f t="shared" si="5"/>
        <v>579.76809276289487</v>
      </c>
      <c r="P120" s="68">
        <f t="shared" si="8"/>
        <v>8157.2171131547384</v>
      </c>
      <c r="Q120" s="148">
        <f t="shared" si="6"/>
        <v>0.44444444444444442</v>
      </c>
      <c r="R120" s="140">
        <f t="shared" si="7"/>
        <v>1044123.7904838065</v>
      </c>
    </row>
    <row r="121" spans="14:18" x14ac:dyDescent="0.3">
      <c r="N121">
        <v>127</v>
      </c>
      <c r="O121" s="153">
        <f t="shared" si="5"/>
        <v>584.76609356257507</v>
      </c>
      <c r="P121" s="68">
        <f t="shared" si="8"/>
        <v>8217.1931227509012</v>
      </c>
      <c r="Q121" s="148">
        <f t="shared" si="6"/>
        <v>0.44097222222222221</v>
      </c>
      <c r="R121" s="140">
        <f t="shared" si="7"/>
        <v>1043583.5265893645</v>
      </c>
    </row>
    <row r="122" spans="14:18" x14ac:dyDescent="0.3">
      <c r="N122">
        <v>126</v>
      </c>
      <c r="O122" s="153">
        <f t="shared" si="5"/>
        <v>589.76409436225504</v>
      </c>
      <c r="P122" s="68">
        <f t="shared" si="8"/>
        <v>8277.1691323470604</v>
      </c>
      <c r="Q122" s="148">
        <f t="shared" si="6"/>
        <v>0.4375</v>
      </c>
      <c r="R122" s="140">
        <f t="shared" si="7"/>
        <v>1042923.3106757296</v>
      </c>
    </row>
    <row r="123" spans="14:18" x14ac:dyDescent="0.3">
      <c r="N123">
        <v>125</v>
      </c>
      <c r="O123" s="153">
        <f t="shared" si="5"/>
        <v>594.76209516193524</v>
      </c>
      <c r="P123" s="68">
        <f t="shared" si="8"/>
        <v>8337.1451419432233</v>
      </c>
      <c r="Q123" s="148">
        <f t="shared" si="6"/>
        <v>0.43402777777777779</v>
      </c>
      <c r="R123" s="140">
        <f t="shared" si="7"/>
        <v>1042143.1427429029</v>
      </c>
    </row>
    <row r="124" spans="14:18" x14ac:dyDescent="0.3">
      <c r="N124">
        <v>124</v>
      </c>
      <c r="O124" s="153">
        <f t="shared" si="5"/>
        <v>599.76009596161532</v>
      </c>
      <c r="P124" s="68">
        <f t="shared" si="8"/>
        <v>8397.1211515393843</v>
      </c>
      <c r="Q124" s="148">
        <f t="shared" si="6"/>
        <v>0.43055555555555558</v>
      </c>
      <c r="R124" s="140">
        <f t="shared" si="7"/>
        <v>1041243.0227908837</v>
      </c>
    </row>
    <row r="125" spans="14:18" x14ac:dyDescent="0.3">
      <c r="N125">
        <v>123</v>
      </c>
      <c r="O125" s="153">
        <f t="shared" si="5"/>
        <v>604.75809676129552</v>
      </c>
      <c r="P125" s="68">
        <f t="shared" si="8"/>
        <v>8457.0971611355453</v>
      </c>
      <c r="Q125" s="148">
        <f t="shared" si="6"/>
        <v>0.42708333333333331</v>
      </c>
      <c r="R125" s="140">
        <f t="shared" si="7"/>
        <v>1040222.9508196721</v>
      </c>
    </row>
    <row r="126" spans="14:18" x14ac:dyDescent="0.3">
      <c r="N126">
        <v>122</v>
      </c>
      <c r="O126" s="153">
        <f t="shared" si="5"/>
        <v>609.7560975609756</v>
      </c>
      <c r="P126" s="68">
        <f t="shared" si="8"/>
        <v>8517.0731707317082</v>
      </c>
      <c r="Q126" s="148">
        <f t="shared" si="6"/>
        <v>0.4236111111111111</v>
      </c>
      <c r="R126" s="140">
        <f t="shared" si="7"/>
        <v>1039082.9268292683</v>
      </c>
    </row>
    <row r="127" spans="14:18" x14ac:dyDescent="0.3">
      <c r="N127">
        <v>121</v>
      </c>
      <c r="O127" s="153">
        <f t="shared" si="5"/>
        <v>614.75409836065569</v>
      </c>
      <c r="P127" s="68">
        <f t="shared" si="8"/>
        <v>8577.0491803278692</v>
      </c>
      <c r="Q127" s="148">
        <f t="shared" si="6"/>
        <v>0.4201388888888889</v>
      </c>
      <c r="R127" s="140">
        <f t="shared" si="7"/>
        <v>1037822.9508196722</v>
      </c>
    </row>
    <row r="128" spans="14:18" x14ac:dyDescent="0.3">
      <c r="N128">
        <v>120</v>
      </c>
      <c r="O128" s="153">
        <f t="shared" si="5"/>
        <v>619.75209916033589</v>
      </c>
      <c r="P128" s="68">
        <f t="shared" si="8"/>
        <v>8637.0251899240302</v>
      </c>
      <c r="Q128" s="148">
        <f t="shared" si="6"/>
        <v>0.41666666666666669</v>
      </c>
      <c r="R128" s="140">
        <f t="shared" si="7"/>
        <v>1036443.0227908837</v>
      </c>
    </row>
    <row r="129" spans="14:18" x14ac:dyDescent="0.3">
      <c r="N129">
        <v>119</v>
      </c>
      <c r="O129" s="153">
        <f t="shared" si="5"/>
        <v>624.75009996001609</v>
      </c>
      <c r="P129" s="68">
        <f t="shared" si="8"/>
        <v>8697.001199520193</v>
      </c>
      <c r="Q129" s="148">
        <f t="shared" si="6"/>
        <v>0.41319444444444442</v>
      </c>
      <c r="R129" s="140">
        <f t="shared" si="7"/>
        <v>1034943.142742903</v>
      </c>
    </row>
    <row r="130" spans="14:18" x14ac:dyDescent="0.3">
      <c r="N130">
        <v>118</v>
      </c>
      <c r="O130" s="153">
        <f t="shared" si="5"/>
        <v>629.74810075969617</v>
      </c>
      <c r="P130" s="68">
        <f t="shared" si="8"/>
        <v>8756.9772091163541</v>
      </c>
      <c r="Q130" s="148">
        <f t="shared" si="6"/>
        <v>0.40972222222222221</v>
      </c>
      <c r="R130" s="140">
        <f t="shared" si="7"/>
        <v>1033323.3106757298</v>
      </c>
    </row>
    <row r="131" spans="14:18" x14ac:dyDescent="0.3">
      <c r="N131">
        <v>117</v>
      </c>
      <c r="O131" s="153">
        <f t="shared" si="5"/>
        <v>634.74610155937626</v>
      </c>
      <c r="P131" s="68">
        <f t="shared" si="8"/>
        <v>8816.9532187125151</v>
      </c>
      <c r="Q131" s="148">
        <f t="shared" si="6"/>
        <v>0.40625</v>
      </c>
      <c r="R131" s="140">
        <f t="shared" si="7"/>
        <v>1031583.5265893643</v>
      </c>
    </row>
    <row r="132" spans="14:18" x14ac:dyDescent="0.3">
      <c r="N132">
        <v>116</v>
      </c>
      <c r="O132" s="153">
        <f t="shared" ref="O132:O195" si="9">(1-(N132/$N$4))/$C$7</f>
        <v>639.74410235905646</v>
      </c>
      <c r="P132" s="68">
        <f t="shared" si="8"/>
        <v>8876.9292283086779</v>
      </c>
      <c r="Q132" s="148">
        <f t="shared" ref="Q132:Q195" si="10">N132/$E$5</f>
        <v>0.40277777777777779</v>
      </c>
      <c r="R132" s="140">
        <f t="shared" ref="R132:R195" si="11">P132*N132</f>
        <v>1029723.7904838066</v>
      </c>
    </row>
    <row r="133" spans="14:18" x14ac:dyDescent="0.3">
      <c r="N133">
        <v>115</v>
      </c>
      <c r="O133" s="153">
        <f t="shared" si="9"/>
        <v>644.74210315873654</v>
      </c>
      <c r="P133" s="68">
        <f t="shared" ref="P133:P196" si="12">(1+(O133/100))*$P$4</f>
        <v>8936.9052379048371</v>
      </c>
      <c r="Q133" s="148">
        <f t="shared" si="10"/>
        <v>0.39930555555555558</v>
      </c>
      <c r="R133" s="140">
        <f t="shared" si="11"/>
        <v>1027744.1023590562</v>
      </c>
    </row>
    <row r="134" spans="14:18" x14ac:dyDescent="0.3">
      <c r="N134">
        <v>114</v>
      </c>
      <c r="O134" s="153">
        <f t="shared" si="9"/>
        <v>649.74010395841674</v>
      </c>
      <c r="P134" s="68">
        <f t="shared" si="12"/>
        <v>8996.881247501</v>
      </c>
      <c r="Q134" s="148">
        <f t="shared" si="10"/>
        <v>0.39583333333333331</v>
      </c>
      <c r="R134" s="140">
        <f t="shared" si="11"/>
        <v>1025644.462215114</v>
      </c>
    </row>
    <row r="135" spans="14:18" x14ac:dyDescent="0.3">
      <c r="N135">
        <v>113</v>
      </c>
      <c r="O135" s="153">
        <f t="shared" si="9"/>
        <v>654.73810475809671</v>
      </c>
      <c r="P135" s="68">
        <f t="shared" si="12"/>
        <v>9056.857257097161</v>
      </c>
      <c r="Q135" s="148">
        <f t="shared" si="10"/>
        <v>0.3923611111111111</v>
      </c>
      <c r="R135" s="140">
        <f t="shared" si="11"/>
        <v>1023424.8700519792</v>
      </c>
    </row>
    <row r="136" spans="14:18" x14ac:dyDescent="0.3">
      <c r="N136">
        <v>112</v>
      </c>
      <c r="O136" s="153">
        <f t="shared" si="9"/>
        <v>659.7361055577768</v>
      </c>
      <c r="P136" s="68">
        <f t="shared" si="12"/>
        <v>9116.8332666933202</v>
      </c>
      <c r="Q136" s="148">
        <f t="shared" si="10"/>
        <v>0.3888888888888889</v>
      </c>
      <c r="R136" s="140">
        <f t="shared" si="11"/>
        <v>1021085.3258696519</v>
      </c>
    </row>
    <row r="137" spans="14:18" x14ac:dyDescent="0.3">
      <c r="N137">
        <v>111</v>
      </c>
      <c r="O137" s="153">
        <f t="shared" si="9"/>
        <v>664.73410635745699</v>
      </c>
      <c r="P137" s="68">
        <f t="shared" si="12"/>
        <v>9176.809276289483</v>
      </c>
      <c r="Q137" s="148">
        <f t="shared" si="10"/>
        <v>0.38541666666666669</v>
      </c>
      <c r="R137" s="140">
        <f t="shared" si="11"/>
        <v>1018625.8296681326</v>
      </c>
    </row>
    <row r="138" spans="14:18" x14ac:dyDescent="0.3">
      <c r="N138">
        <v>110</v>
      </c>
      <c r="O138" s="153">
        <f t="shared" si="9"/>
        <v>669.73210715713719</v>
      </c>
      <c r="P138" s="68">
        <f t="shared" si="12"/>
        <v>9236.7852858856459</v>
      </c>
      <c r="Q138" s="148">
        <f t="shared" si="10"/>
        <v>0.38194444444444442</v>
      </c>
      <c r="R138" s="140">
        <f t="shared" si="11"/>
        <v>1016046.381447421</v>
      </c>
    </row>
    <row r="139" spans="14:18" x14ac:dyDescent="0.3">
      <c r="N139">
        <v>109</v>
      </c>
      <c r="O139" s="153">
        <f t="shared" si="9"/>
        <v>674.73010795681728</v>
      </c>
      <c r="P139" s="68">
        <f t="shared" si="12"/>
        <v>9296.7612954818069</v>
      </c>
      <c r="Q139" s="148">
        <f t="shared" si="10"/>
        <v>0.37847222222222221</v>
      </c>
      <c r="R139" s="140">
        <f t="shared" si="11"/>
        <v>1013346.981207517</v>
      </c>
    </row>
    <row r="140" spans="14:18" x14ac:dyDescent="0.3">
      <c r="N140">
        <v>108</v>
      </c>
      <c r="O140" s="153">
        <f t="shared" si="9"/>
        <v>679.72810875649736</v>
      </c>
      <c r="P140" s="68">
        <f t="shared" si="12"/>
        <v>9356.7373050779679</v>
      </c>
      <c r="Q140" s="148">
        <f t="shared" si="10"/>
        <v>0.375</v>
      </c>
      <c r="R140" s="140">
        <f t="shared" si="11"/>
        <v>1010527.6289484205</v>
      </c>
    </row>
    <row r="141" spans="14:18" x14ac:dyDescent="0.3">
      <c r="N141">
        <v>107</v>
      </c>
      <c r="O141" s="153">
        <f t="shared" si="9"/>
        <v>684.72610955617756</v>
      </c>
      <c r="P141" s="68">
        <f t="shared" si="12"/>
        <v>9416.7133146741307</v>
      </c>
      <c r="Q141" s="148">
        <f t="shared" si="10"/>
        <v>0.37152777777777779</v>
      </c>
      <c r="R141" s="140">
        <f t="shared" si="11"/>
        <v>1007588.324670132</v>
      </c>
    </row>
    <row r="142" spans="14:18" x14ac:dyDescent="0.3">
      <c r="N142">
        <v>106</v>
      </c>
      <c r="O142" s="153">
        <f t="shared" si="9"/>
        <v>689.72411035585776</v>
      </c>
      <c r="P142" s="68">
        <f t="shared" si="12"/>
        <v>9476.6893242702936</v>
      </c>
      <c r="Q142" s="148">
        <f t="shared" si="10"/>
        <v>0.36805555555555558</v>
      </c>
      <c r="R142" s="140">
        <f t="shared" si="11"/>
        <v>1004529.0683726511</v>
      </c>
    </row>
    <row r="143" spans="14:18" x14ac:dyDescent="0.3">
      <c r="N143">
        <v>105</v>
      </c>
      <c r="O143" s="153">
        <f t="shared" si="9"/>
        <v>694.72211115553785</v>
      </c>
      <c r="P143" s="68">
        <f t="shared" si="12"/>
        <v>9536.6653338664546</v>
      </c>
      <c r="Q143" s="148">
        <f t="shared" si="10"/>
        <v>0.36458333333333331</v>
      </c>
      <c r="R143" s="140">
        <f t="shared" si="11"/>
        <v>1001349.8600559777</v>
      </c>
    </row>
    <row r="144" spans="14:18" x14ac:dyDescent="0.3">
      <c r="N144">
        <v>104</v>
      </c>
      <c r="O144" s="153">
        <f t="shared" si="9"/>
        <v>699.72011195521793</v>
      </c>
      <c r="P144" s="68">
        <f t="shared" si="12"/>
        <v>9596.6413434626156</v>
      </c>
      <c r="Q144" s="148">
        <f t="shared" si="10"/>
        <v>0.3611111111111111</v>
      </c>
      <c r="R144" s="140">
        <f t="shared" si="11"/>
        <v>998050.69972011202</v>
      </c>
    </row>
    <row r="145" spans="14:18" x14ac:dyDescent="0.3">
      <c r="N145">
        <v>103</v>
      </c>
      <c r="O145" s="153">
        <f t="shared" si="9"/>
        <v>704.7181127548979</v>
      </c>
      <c r="P145" s="68">
        <f t="shared" si="12"/>
        <v>9656.617353058773</v>
      </c>
      <c r="Q145" s="148">
        <f t="shared" si="10"/>
        <v>0.3576388888888889</v>
      </c>
      <c r="R145" s="140">
        <f t="shared" si="11"/>
        <v>994631.58736505359</v>
      </c>
    </row>
    <row r="146" spans="14:18" x14ac:dyDescent="0.3">
      <c r="N146">
        <v>102</v>
      </c>
      <c r="O146" s="153">
        <f t="shared" si="9"/>
        <v>709.71611355457821</v>
      </c>
      <c r="P146" s="68">
        <f t="shared" si="12"/>
        <v>9716.5933626549395</v>
      </c>
      <c r="Q146" s="148">
        <f t="shared" si="10"/>
        <v>0.35416666666666669</v>
      </c>
      <c r="R146" s="140">
        <f t="shared" si="11"/>
        <v>991092.52299080382</v>
      </c>
    </row>
    <row r="147" spans="14:18" x14ac:dyDescent="0.3">
      <c r="N147">
        <v>101</v>
      </c>
      <c r="O147" s="153">
        <f t="shared" si="9"/>
        <v>714.71411435425841</v>
      </c>
      <c r="P147" s="68">
        <f t="shared" si="12"/>
        <v>9776.5693722511005</v>
      </c>
      <c r="Q147" s="148">
        <f t="shared" si="10"/>
        <v>0.35069444444444442</v>
      </c>
      <c r="R147" s="140">
        <f t="shared" si="11"/>
        <v>987433.50659736118</v>
      </c>
    </row>
    <row r="148" spans="14:18" x14ac:dyDescent="0.3">
      <c r="N148">
        <v>100</v>
      </c>
      <c r="O148" s="153">
        <f t="shared" si="9"/>
        <v>719.71211515393838</v>
      </c>
      <c r="P148" s="68">
        <f t="shared" si="12"/>
        <v>9836.5453818472615</v>
      </c>
      <c r="Q148" s="148">
        <f t="shared" si="10"/>
        <v>0.34722222222222221</v>
      </c>
      <c r="R148" s="140">
        <f t="shared" si="11"/>
        <v>983654.53818472615</v>
      </c>
    </row>
    <row r="149" spans="14:18" x14ac:dyDescent="0.3">
      <c r="N149">
        <v>99</v>
      </c>
      <c r="O149" s="153">
        <f t="shared" si="9"/>
        <v>724.71011595361847</v>
      </c>
      <c r="P149" s="68">
        <f t="shared" si="12"/>
        <v>9896.5213914434225</v>
      </c>
      <c r="Q149" s="148">
        <f t="shared" si="10"/>
        <v>0.34375</v>
      </c>
      <c r="R149" s="140">
        <f t="shared" si="11"/>
        <v>979755.61775289883</v>
      </c>
    </row>
    <row r="150" spans="14:18" x14ac:dyDescent="0.3">
      <c r="N150">
        <v>98</v>
      </c>
      <c r="O150" s="153">
        <f t="shared" si="9"/>
        <v>729.70811675329867</v>
      </c>
      <c r="P150" s="68">
        <f t="shared" si="12"/>
        <v>9956.4974010395836</v>
      </c>
      <c r="Q150" s="148">
        <f t="shared" si="10"/>
        <v>0.34027777777777779</v>
      </c>
      <c r="R150" s="140">
        <f t="shared" si="11"/>
        <v>975736.74530187924</v>
      </c>
    </row>
    <row r="151" spans="14:18" x14ac:dyDescent="0.3">
      <c r="N151">
        <v>97</v>
      </c>
      <c r="O151" s="153">
        <f t="shared" si="9"/>
        <v>734.70611755297887</v>
      </c>
      <c r="P151" s="68">
        <f t="shared" si="12"/>
        <v>10016.473410635746</v>
      </c>
      <c r="Q151" s="148">
        <f t="shared" si="10"/>
        <v>0.33680555555555558</v>
      </c>
      <c r="R151" s="140">
        <f t="shared" si="11"/>
        <v>971597.92083166738</v>
      </c>
    </row>
    <row r="152" spans="14:18" x14ac:dyDescent="0.3">
      <c r="N152">
        <v>96</v>
      </c>
      <c r="O152" s="153">
        <f t="shared" si="9"/>
        <v>739.70411835265895</v>
      </c>
      <c r="P152" s="68">
        <f t="shared" si="12"/>
        <v>10076.449420231907</v>
      </c>
      <c r="Q152" s="148">
        <f t="shared" si="10"/>
        <v>0.33333333333333331</v>
      </c>
      <c r="R152" s="140">
        <f t="shared" si="11"/>
        <v>967339.14434226311</v>
      </c>
    </row>
    <row r="153" spans="14:18" x14ac:dyDescent="0.3">
      <c r="N153">
        <v>95</v>
      </c>
      <c r="O153" s="153">
        <f t="shared" si="9"/>
        <v>744.70211915233904</v>
      </c>
      <c r="P153" s="68">
        <f t="shared" si="12"/>
        <v>10136.425429828068</v>
      </c>
      <c r="Q153" s="148">
        <f t="shared" si="10"/>
        <v>0.3298611111111111</v>
      </c>
      <c r="R153" s="140">
        <f t="shared" si="11"/>
        <v>962960.41583366646</v>
      </c>
    </row>
    <row r="154" spans="14:18" x14ac:dyDescent="0.3">
      <c r="N154">
        <v>94</v>
      </c>
      <c r="O154" s="153">
        <f t="shared" si="9"/>
        <v>749.70011995201924</v>
      </c>
      <c r="P154" s="68">
        <f t="shared" si="12"/>
        <v>10196.401439424229</v>
      </c>
      <c r="Q154" s="148">
        <f t="shared" si="10"/>
        <v>0.3263888888888889</v>
      </c>
      <c r="R154" s="140">
        <f t="shared" si="11"/>
        <v>958461.73530587752</v>
      </c>
    </row>
    <row r="155" spans="14:18" x14ac:dyDescent="0.3">
      <c r="N155">
        <v>93</v>
      </c>
      <c r="O155" s="153">
        <f t="shared" si="9"/>
        <v>754.69812075169943</v>
      </c>
      <c r="P155" s="68">
        <f t="shared" si="12"/>
        <v>10256.377449020394</v>
      </c>
      <c r="Q155" s="148">
        <f t="shared" si="10"/>
        <v>0.32291666666666669</v>
      </c>
      <c r="R155" s="140">
        <f t="shared" si="11"/>
        <v>953843.10275889665</v>
      </c>
    </row>
    <row r="156" spans="14:18" x14ac:dyDescent="0.3">
      <c r="N156">
        <v>92</v>
      </c>
      <c r="O156" s="153">
        <f t="shared" si="9"/>
        <v>759.69612155137952</v>
      </c>
      <c r="P156" s="68">
        <f t="shared" si="12"/>
        <v>10316.353458616555</v>
      </c>
      <c r="Q156" s="148">
        <f t="shared" si="10"/>
        <v>0.31944444444444442</v>
      </c>
      <c r="R156" s="140">
        <f t="shared" si="11"/>
        <v>949104.51819272304</v>
      </c>
    </row>
    <row r="157" spans="14:18" x14ac:dyDescent="0.3">
      <c r="N157">
        <v>91</v>
      </c>
      <c r="O157" s="153">
        <f t="shared" si="9"/>
        <v>764.6941223510596</v>
      </c>
      <c r="P157" s="68">
        <f t="shared" si="12"/>
        <v>10376.329468212714</v>
      </c>
      <c r="Q157" s="148">
        <f t="shared" si="10"/>
        <v>0.31597222222222221</v>
      </c>
      <c r="R157" s="140">
        <f t="shared" si="11"/>
        <v>944245.98160735704</v>
      </c>
    </row>
    <row r="158" spans="14:18" x14ac:dyDescent="0.3">
      <c r="N158">
        <v>90</v>
      </c>
      <c r="O158" s="153">
        <f t="shared" si="9"/>
        <v>769.69212315073958</v>
      </c>
      <c r="P158" s="68">
        <f t="shared" si="12"/>
        <v>10436.305477808875</v>
      </c>
      <c r="Q158" s="148">
        <f t="shared" si="10"/>
        <v>0.3125</v>
      </c>
      <c r="R158" s="140">
        <f t="shared" si="11"/>
        <v>939267.49300279876</v>
      </c>
    </row>
    <row r="159" spans="14:18" x14ac:dyDescent="0.3">
      <c r="N159">
        <v>89</v>
      </c>
      <c r="O159" s="153">
        <f t="shared" si="9"/>
        <v>774.69012395041977</v>
      </c>
      <c r="P159" s="68">
        <f t="shared" si="12"/>
        <v>10496.281487405036</v>
      </c>
      <c r="Q159" s="148">
        <f t="shared" si="10"/>
        <v>0.30902777777777779</v>
      </c>
      <c r="R159" s="140">
        <f t="shared" si="11"/>
        <v>934169.0523790482</v>
      </c>
    </row>
    <row r="160" spans="14:18" x14ac:dyDescent="0.3">
      <c r="N160">
        <v>88</v>
      </c>
      <c r="O160" s="153">
        <f t="shared" si="9"/>
        <v>779.68812475009997</v>
      </c>
      <c r="P160" s="68">
        <f t="shared" si="12"/>
        <v>10556.257497001199</v>
      </c>
      <c r="Q160" s="148">
        <f t="shared" si="10"/>
        <v>0.30555555555555558</v>
      </c>
      <c r="R160" s="140">
        <f t="shared" si="11"/>
        <v>928950.65973610547</v>
      </c>
    </row>
    <row r="161" spans="14:18" x14ac:dyDescent="0.3">
      <c r="N161">
        <v>87</v>
      </c>
      <c r="O161" s="153">
        <f t="shared" si="9"/>
        <v>784.68612554978006</v>
      </c>
      <c r="P161" s="68">
        <f t="shared" si="12"/>
        <v>10616.23350659736</v>
      </c>
      <c r="Q161" s="148">
        <f t="shared" si="10"/>
        <v>0.30208333333333331</v>
      </c>
      <c r="R161" s="140">
        <f t="shared" si="11"/>
        <v>923612.31507397036</v>
      </c>
    </row>
    <row r="162" spans="14:18" x14ac:dyDescent="0.3">
      <c r="N162">
        <v>86</v>
      </c>
      <c r="O162" s="153">
        <f t="shared" si="9"/>
        <v>789.68412634946014</v>
      </c>
      <c r="P162" s="68">
        <f t="shared" si="12"/>
        <v>10676.209516193521</v>
      </c>
      <c r="Q162" s="148">
        <f t="shared" si="10"/>
        <v>0.2986111111111111</v>
      </c>
      <c r="R162" s="140">
        <f t="shared" si="11"/>
        <v>918154.01839264284</v>
      </c>
    </row>
    <row r="163" spans="14:18" x14ac:dyDescent="0.3">
      <c r="N163">
        <v>85</v>
      </c>
      <c r="O163" s="153">
        <f t="shared" si="9"/>
        <v>794.68212714914034</v>
      </c>
      <c r="P163" s="68">
        <f t="shared" si="12"/>
        <v>10736.185525789684</v>
      </c>
      <c r="Q163" s="148">
        <f t="shared" si="10"/>
        <v>0.2951388888888889</v>
      </c>
      <c r="R163" s="140">
        <f t="shared" si="11"/>
        <v>912575.76969212317</v>
      </c>
    </row>
    <row r="164" spans="14:18" x14ac:dyDescent="0.3">
      <c r="N164">
        <v>84</v>
      </c>
      <c r="O164" s="153">
        <f t="shared" si="9"/>
        <v>799.68012794882054</v>
      </c>
      <c r="P164" s="68">
        <f t="shared" si="12"/>
        <v>10796.161535385847</v>
      </c>
      <c r="Q164" s="148">
        <f t="shared" si="10"/>
        <v>0.29166666666666669</v>
      </c>
      <c r="R164" s="140">
        <f t="shared" si="11"/>
        <v>906877.5689724111</v>
      </c>
    </row>
    <row r="165" spans="14:18" x14ac:dyDescent="0.3">
      <c r="N165">
        <v>83</v>
      </c>
      <c r="O165" s="153">
        <f t="shared" si="9"/>
        <v>804.67812874850063</v>
      </c>
      <c r="P165" s="68">
        <f t="shared" si="12"/>
        <v>10856.137544982006</v>
      </c>
      <c r="Q165" s="148">
        <f t="shared" si="10"/>
        <v>0.28819444444444442</v>
      </c>
      <c r="R165" s="140">
        <f t="shared" si="11"/>
        <v>901059.41623350652</v>
      </c>
    </row>
    <row r="166" spans="14:18" x14ac:dyDescent="0.3">
      <c r="N166">
        <v>82</v>
      </c>
      <c r="O166" s="153">
        <f t="shared" si="9"/>
        <v>809.67612954818071</v>
      </c>
      <c r="P166" s="68">
        <f t="shared" si="12"/>
        <v>10916.113554578169</v>
      </c>
      <c r="Q166" s="148">
        <f t="shared" si="10"/>
        <v>0.28472222222222221</v>
      </c>
      <c r="R166" s="140">
        <f t="shared" si="11"/>
        <v>895121.31147540989</v>
      </c>
    </row>
    <row r="167" spans="14:18" x14ac:dyDescent="0.3">
      <c r="N167">
        <v>81</v>
      </c>
      <c r="O167" s="153">
        <f t="shared" si="9"/>
        <v>814.67413034786091</v>
      </c>
      <c r="P167" s="68">
        <f t="shared" si="12"/>
        <v>10976.089564174332</v>
      </c>
      <c r="Q167" s="148">
        <f t="shared" si="10"/>
        <v>0.28125</v>
      </c>
      <c r="R167" s="140">
        <f t="shared" si="11"/>
        <v>889063.25469812087</v>
      </c>
    </row>
    <row r="168" spans="14:18" x14ac:dyDescent="0.3">
      <c r="N168">
        <v>80</v>
      </c>
      <c r="O168" s="153">
        <f t="shared" si="9"/>
        <v>819.67213114754111</v>
      </c>
      <c r="P168" s="68">
        <f t="shared" si="12"/>
        <v>11036.065573770493</v>
      </c>
      <c r="Q168" s="148">
        <f t="shared" si="10"/>
        <v>0.27777777777777779</v>
      </c>
      <c r="R168" s="140">
        <f t="shared" si="11"/>
        <v>882885.24590163946</v>
      </c>
    </row>
    <row r="169" spans="14:18" x14ac:dyDescent="0.3">
      <c r="N169">
        <v>79</v>
      </c>
      <c r="O169" s="153">
        <f t="shared" si="9"/>
        <v>824.67013194722119</v>
      </c>
      <c r="P169" s="68">
        <f t="shared" si="12"/>
        <v>11096.041583366654</v>
      </c>
      <c r="Q169" s="148">
        <f t="shared" si="10"/>
        <v>0.27430555555555558</v>
      </c>
      <c r="R169" s="140">
        <f t="shared" si="11"/>
        <v>876587.28508596565</v>
      </c>
    </row>
    <row r="170" spans="14:18" x14ac:dyDescent="0.3">
      <c r="N170">
        <v>78</v>
      </c>
      <c r="O170" s="153">
        <f t="shared" si="9"/>
        <v>829.66813274690128</v>
      </c>
      <c r="P170" s="68">
        <f t="shared" si="12"/>
        <v>11156.017592962817</v>
      </c>
      <c r="Q170" s="148">
        <f t="shared" si="10"/>
        <v>0.27083333333333331</v>
      </c>
      <c r="R170" s="140">
        <f t="shared" si="11"/>
        <v>870169.37225109967</v>
      </c>
    </row>
    <row r="171" spans="14:18" x14ac:dyDescent="0.3">
      <c r="N171">
        <v>77</v>
      </c>
      <c r="O171" s="153">
        <f t="shared" si="9"/>
        <v>834.66613354658125</v>
      </c>
      <c r="P171" s="68">
        <f t="shared" si="12"/>
        <v>11215.993602558976</v>
      </c>
      <c r="Q171" s="148">
        <f t="shared" si="10"/>
        <v>0.2673611111111111</v>
      </c>
      <c r="R171" s="140">
        <f t="shared" si="11"/>
        <v>863631.50739704119</v>
      </c>
    </row>
    <row r="172" spans="14:18" x14ac:dyDescent="0.3">
      <c r="N172">
        <v>76</v>
      </c>
      <c r="O172" s="153">
        <f t="shared" si="9"/>
        <v>839.66413434626145</v>
      </c>
      <c r="P172" s="68">
        <f t="shared" si="12"/>
        <v>11275.969612155137</v>
      </c>
      <c r="Q172" s="148">
        <f t="shared" si="10"/>
        <v>0.2638888888888889</v>
      </c>
      <c r="R172" s="140">
        <f t="shared" si="11"/>
        <v>856973.69052379043</v>
      </c>
    </row>
    <row r="173" spans="14:18" x14ac:dyDescent="0.3">
      <c r="N173">
        <v>75</v>
      </c>
      <c r="O173" s="153">
        <f t="shared" si="9"/>
        <v>844.66213514594165</v>
      </c>
      <c r="P173" s="68">
        <f t="shared" si="12"/>
        <v>11335.9456217513</v>
      </c>
      <c r="Q173" s="148">
        <f t="shared" si="10"/>
        <v>0.26041666666666669</v>
      </c>
      <c r="R173" s="140">
        <f t="shared" si="11"/>
        <v>850195.9216313475</v>
      </c>
    </row>
    <row r="174" spans="14:18" x14ac:dyDescent="0.3">
      <c r="N174">
        <v>74</v>
      </c>
      <c r="O174" s="153">
        <f t="shared" si="9"/>
        <v>849.66013594562173</v>
      </c>
      <c r="P174" s="68">
        <f t="shared" si="12"/>
        <v>11395.921631347461</v>
      </c>
      <c r="Q174" s="148">
        <f t="shared" si="10"/>
        <v>0.25694444444444442</v>
      </c>
      <c r="R174" s="140">
        <f t="shared" si="11"/>
        <v>843298.20071971207</v>
      </c>
    </row>
    <row r="175" spans="14:18" x14ac:dyDescent="0.3">
      <c r="N175">
        <v>73</v>
      </c>
      <c r="O175" s="153">
        <f t="shared" si="9"/>
        <v>854.65813674530182</v>
      </c>
      <c r="P175" s="68">
        <f t="shared" si="12"/>
        <v>11455.897640943622</v>
      </c>
      <c r="Q175" s="148">
        <f t="shared" si="10"/>
        <v>0.25347222222222221</v>
      </c>
      <c r="R175" s="140">
        <f t="shared" si="11"/>
        <v>836280.52778888436</v>
      </c>
    </row>
    <row r="176" spans="14:18" x14ac:dyDescent="0.3">
      <c r="N176">
        <v>72</v>
      </c>
      <c r="O176" s="153">
        <f t="shared" si="9"/>
        <v>859.65613754498202</v>
      </c>
      <c r="P176" s="68">
        <f t="shared" si="12"/>
        <v>11515.873650539785</v>
      </c>
      <c r="Q176" s="148">
        <f t="shared" si="10"/>
        <v>0.25</v>
      </c>
      <c r="R176" s="140">
        <f t="shared" si="11"/>
        <v>829142.90283886448</v>
      </c>
    </row>
    <row r="177" spans="14:18" x14ac:dyDescent="0.3">
      <c r="N177">
        <v>71</v>
      </c>
      <c r="O177" s="153">
        <f t="shared" si="9"/>
        <v>864.65413834466221</v>
      </c>
      <c r="P177" s="68">
        <f t="shared" si="12"/>
        <v>11575.849660135947</v>
      </c>
      <c r="Q177" s="148">
        <f t="shared" si="10"/>
        <v>0.24652777777777779</v>
      </c>
      <c r="R177" s="140">
        <f t="shared" si="11"/>
        <v>821885.32586965233</v>
      </c>
    </row>
    <row r="178" spans="14:18" x14ac:dyDescent="0.3">
      <c r="N178">
        <v>70</v>
      </c>
      <c r="O178" s="153">
        <f t="shared" si="9"/>
        <v>869.6521391443423</v>
      </c>
      <c r="P178" s="68">
        <f t="shared" si="12"/>
        <v>11635.825669732107</v>
      </c>
      <c r="Q178" s="148">
        <f t="shared" si="10"/>
        <v>0.24305555555555555</v>
      </c>
      <c r="R178" s="140">
        <f t="shared" si="11"/>
        <v>814507.79688124743</v>
      </c>
    </row>
    <row r="179" spans="14:18" x14ac:dyDescent="0.3">
      <c r="N179">
        <v>69</v>
      </c>
      <c r="O179" s="153">
        <f t="shared" si="9"/>
        <v>874.65013994402238</v>
      </c>
      <c r="P179" s="68">
        <f t="shared" si="12"/>
        <v>11695.801679328268</v>
      </c>
      <c r="Q179" s="148">
        <f t="shared" si="10"/>
        <v>0.23958333333333334</v>
      </c>
      <c r="R179" s="140">
        <f t="shared" si="11"/>
        <v>807010.31587365048</v>
      </c>
    </row>
    <row r="180" spans="14:18" x14ac:dyDescent="0.3">
      <c r="N180">
        <v>68</v>
      </c>
      <c r="O180" s="153">
        <f t="shared" si="9"/>
        <v>879.64814074370258</v>
      </c>
      <c r="P180" s="68">
        <f t="shared" si="12"/>
        <v>11755.777688924432</v>
      </c>
      <c r="Q180" s="148">
        <f t="shared" si="10"/>
        <v>0.2361111111111111</v>
      </c>
      <c r="R180" s="140">
        <f t="shared" si="11"/>
        <v>799392.88284686138</v>
      </c>
    </row>
    <row r="181" spans="14:18" x14ac:dyDescent="0.3">
      <c r="N181">
        <v>67</v>
      </c>
      <c r="O181" s="153">
        <f t="shared" si="9"/>
        <v>884.64614154338267</v>
      </c>
      <c r="P181" s="68">
        <f t="shared" si="12"/>
        <v>11815.753698520593</v>
      </c>
      <c r="Q181" s="148">
        <f t="shared" si="10"/>
        <v>0.2326388888888889</v>
      </c>
      <c r="R181" s="140">
        <f t="shared" si="11"/>
        <v>791655.49780087976</v>
      </c>
    </row>
    <row r="182" spans="14:18" x14ac:dyDescent="0.3">
      <c r="N182">
        <v>66</v>
      </c>
      <c r="O182" s="153">
        <f t="shared" si="9"/>
        <v>889.64414234306287</v>
      </c>
      <c r="P182" s="68">
        <f t="shared" si="12"/>
        <v>11875.729708116754</v>
      </c>
      <c r="Q182" s="148">
        <f t="shared" si="10"/>
        <v>0.22916666666666666</v>
      </c>
      <c r="R182" s="140">
        <f t="shared" si="11"/>
        <v>783798.16073570575</v>
      </c>
    </row>
    <row r="183" spans="14:18" x14ac:dyDescent="0.3">
      <c r="N183">
        <v>65</v>
      </c>
      <c r="O183" s="153">
        <f t="shared" si="9"/>
        <v>894.64214314274295</v>
      </c>
      <c r="P183" s="68">
        <f t="shared" si="12"/>
        <v>11935.705717712915</v>
      </c>
      <c r="Q183" s="148">
        <f t="shared" si="10"/>
        <v>0.22569444444444445</v>
      </c>
      <c r="R183" s="140">
        <f t="shared" si="11"/>
        <v>775820.87165133946</v>
      </c>
    </row>
    <row r="184" spans="14:18" x14ac:dyDescent="0.3">
      <c r="N184">
        <v>64</v>
      </c>
      <c r="O184" s="153">
        <f t="shared" si="9"/>
        <v>899.64014394242292</v>
      </c>
      <c r="P184" s="68">
        <f t="shared" si="12"/>
        <v>11995.681727309075</v>
      </c>
      <c r="Q184" s="148">
        <f t="shared" si="10"/>
        <v>0.22222222222222221</v>
      </c>
      <c r="R184" s="140">
        <f t="shared" si="11"/>
        <v>767723.63054778078</v>
      </c>
    </row>
    <row r="185" spans="14:18" x14ac:dyDescent="0.3">
      <c r="N185">
        <v>63</v>
      </c>
      <c r="O185" s="153">
        <f t="shared" si="9"/>
        <v>904.63814474210312</v>
      </c>
      <c r="P185" s="68">
        <f t="shared" si="12"/>
        <v>12055.657736905239</v>
      </c>
      <c r="Q185" s="148">
        <f t="shared" si="10"/>
        <v>0.21875</v>
      </c>
      <c r="R185" s="140">
        <f t="shared" si="11"/>
        <v>759506.43742503005</v>
      </c>
    </row>
    <row r="186" spans="14:18" x14ac:dyDescent="0.3">
      <c r="N186">
        <v>62</v>
      </c>
      <c r="O186" s="153">
        <f t="shared" si="9"/>
        <v>909.63614554178332</v>
      </c>
      <c r="P186" s="68">
        <f t="shared" si="12"/>
        <v>12115.6337465014</v>
      </c>
      <c r="Q186" s="148">
        <f t="shared" si="10"/>
        <v>0.21527777777777779</v>
      </c>
      <c r="R186" s="140">
        <f t="shared" si="11"/>
        <v>751169.2922830868</v>
      </c>
    </row>
    <row r="187" spans="14:18" x14ac:dyDescent="0.3">
      <c r="N187">
        <v>61</v>
      </c>
      <c r="O187" s="153">
        <f t="shared" si="9"/>
        <v>914.63414634146341</v>
      </c>
      <c r="P187" s="68">
        <f t="shared" si="12"/>
        <v>12175.609756097561</v>
      </c>
      <c r="Q187" s="148">
        <f t="shared" si="10"/>
        <v>0.21180555555555555</v>
      </c>
      <c r="R187" s="140">
        <f t="shared" si="11"/>
        <v>742712.19512195128</v>
      </c>
    </row>
    <row r="188" spans="14:18" x14ac:dyDescent="0.3">
      <c r="N188">
        <v>60</v>
      </c>
      <c r="O188" s="153">
        <f t="shared" si="9"/>
        <v>919.63214714114349</v>
      </c>
      <c r="P188" s="68">
        <f t="shared" si="12"/>
        <v>12235.585765693722</v>
      </c>
      <c r="Q188" s="148">
        <f t="shared" si="10"/>
        <v>0.20833333333333334</v>
      </c>
      <c r="R188" s="140">
        <f t="shared" si="11"/>
        <v>734135.14594162337</v>
      </c>
    </row>
    <row r="189" spans="14:18" x14ac:dyDescent="0.3">
      <c r="N189">
        <v>59</v>
      </c>
      <c r="O189" s="153">
        <f t="shared" si="9"/>
        <v>924.63014794082369</v>
      </c>
      <c r="P189" s="68">
        <f t="shared" si="12"/>
        <v>12295.561775289883</v>
      </c>
      <c r="Q189" s="148">
        <f t="shared" si="10"/>
        <v>0.2048611111111111</v>
      </c>
      <c r="R189" s="140">
        <f t="shared" si="11"/>
        <v>725438.14474210306</v>
      </c>
    </row>
    <row r="190" spans="14:18" x14ac:dyDescent="0.3">
      <c r="N190">
        <v>58</v>
      </c>
      <c r="O190" s="153">
        <f t="shared" si="9"/>
        <v>929.62814874050389</v>
      </c>
      <c r="P190" s="68">
        <f t="shared" si="12"/>
        <v>12355.537784886048</v>
      </c>
      <c r="Q190" s="148">
        <f t="shared" si="10"/>
        <v>0.2013888888888889</v>
      </c>
      <c r="R190" s="140">
        <f t="shared" si="11"/>
        <v>716621.19152339082</v>
      </c>
    </row>
    <row r="191" spans="14:18" x14ac:dyDescent="0.3">
      <c r="N191">
        <v>57</v>
      </c>
      <c r="O191" s="153">
        <f t="shared" si="9"/>
        <v>934.62614954018397</v>
      </c>
      <c r="P191" s="68">
        <f t="shared" si="12"/>
        <v>12415.513794482209</v>
      </c>
      <c r="Q191" s="148">
        <f t="shared" si="10"/>
        <v>0.19791666666666666</v>
      </c>
      <c r="R191" s="140">
        <f t="shared" si="11"/>
        <v>707684.28628548596</v>
      </c>
    </row>
    <row r="192" spans="14:18" x14ac:dyDescent="0.3">
      <c r="N192">
        <v>56</v>
      </c>
      <c r="O192" s="153">
        <f t="shared" si="9"/>
        <v>939.62415033986406</v>
      </c>
      <c r="P192" s="68">
        <f t="shared" si="12"/>
        <v>12475.489804078368</v>
      </c>
      <c r="Q192" s="148">
        <f t="shared" si="10"/>
        <v>0.19444444444444445</v>
      </c>
      <c r="R192" s="140">
        <f t="shared" si="11"/>
        <v>698627.42902838858</v>
      </c>
    </row>
    <row r="193" spans="14:18" x14ac:dyDescent="0.3">
      <c r="N193">
        <v>55</v>
      </c>
      <c r="O193" s="153">
        <f t="shared" si="9"/>
        <v>944.62215113954426</v>
      </c>
      <c r="P193" s="68">
        <f t="shared" si="12"/>
        <v>12535.465813674531</v>
      </c>
      <c r="Q193" s="148">
        <f t="shared" si="10"/>
        <v>0.19097222222222221</v>
      </c>
      <c r="R193" s="140">
        <f t="shared" si="11"/>
        <v>689450.61975209916</v>
      </c>
    </row>
    <row r="194" spans="14:18" x14ac:dyDescent="0.3">
      <c r="N194">
        <v>54</v>
      </c>
      <c r="O194" s="153">
        <f t="shared" si="9"/>
        <v>949.62015193922434</v>
      </c>
      <c r="P194" s="68">
        <f t="shared" si="12"/>
        <v>12595.441823270692</v>
      </c>
      <c r="Q194" s="148">
        <f t="shared" si="10"/>
        <v>0.1875</v>
      </c>
      <c r="R194" s="140">
        <f t="shared" si="11"/>
        <v>680153.85845661734</v>
      </c>
    </row>
    <row r="195" spans="14:18" x14ac:dyDescent="0.3">
      <c r="N195">
        <v>53</v>
      </c>
      <c r="O195" s="153">
        <f t="shared" si="9"/>
        <v>954.61815273890454</v>
      </c>
      <c r="P195" s="68">
        <f t="shared" si="12"/>
        <v>12655.417832866855</v>
      </c>
      <c r="Q195" s="148">
        <f t="shared" si="10"/>
        <v>0.18402777777777779</v>
      </c>
      <c r="R195" s="140">
        <f t="shared" si="11"/>
        <v>670737.14514194336</v>
      </c>
    </row>
    <row r="196" spans="14:18" x14ac:dyDescent="0.3">
      <c r="N196">
        <v>52</v>
      </c>
      <c r="O196" s="153">
        <f t="shared" ref="O196:O247" si="13">(1-(N196/$N$4))/$C$7</f>
        <v>959.61615353858451</v>
      </c>
      <c r="P196" s="68">
        <f t="shared" si="12"/>
        <v>12715.393842463014</v>
      </c>
      <c r="Q196" s="148">
        <f t="shared" ref="Q196:Q247" si="14">N196/$E$5</f>
        <v>0.18055555555555555</v>
      </c>
      <c r="R196" s="140">
        <f t="shared" ref="R196:R247" si="15">P196*N196</f>
        <v>661200.47980807675</v>
      </c>
    </row>
    <row r="197" spans="14:18" x14ac:dyDescent="0.3">
      <c r="N197">
        <v>51</v>
      </c>
      <c r="O197" s="153">
        <f t="shared" si="13"/>
        <v>964.6141543382646</v>
      </c>
      <c r="P197" s="68">
        <f t="shared" ref="P197:P247" si="16">(1+(O197/100))*$P$4</f>
        <v>12775.369852059175</v>
      </c>
      <c r="Q197" s="148">
        <f t="shared" si="14"/>
        <v>0.17708333333333334</v>
      </c>
      <c r="R197" s="140">
        <f t="shared" si="15"/>
        <v>651543.86245501798</v>
      </c>
    </row>
    <row r="198" spans="14:18" x14ac:dyDescent="0.3">
      <c r="N198">
        <v>50</v>
      </c>
      <c r="O198" s="153">
        <f t="shared" si="13"/>
        <v>969.6121551379448</v>
      </c>
      <c r="P198" s="68">
        <f t="shared" si="16"/>
        <v>12835.345861655338</v>
      </c>
      <c r="Q198" s="148">
        <f t="shared" si="14"/>
        <v>0.1736111111111111</v>
      </c>
      <c r="R198" s="140">
        <f t="shared" si="15"/>
        <v>641767.29308276693</v>
      </c>
    </row>
    <row r="199" spans="14:18" x14ac:dyDescent="0.3">
      <c r="N199">
        <v>49</v>
      </c>
      <c r="O199" s="153">
        <f t="shared" si="13"/>
        <v>974.610155937625</v>
      </c>
      <c r="P199" s="68">
        <f t="shared" si="16"/>
        <v>12895.321871251499</v>
      </c>
      <c r="Q199" s="148">
        <f t="shared" si="14"/>
        <v>0.1701388888888889</v>
      </c>
      <c r="R199" s="140">
        <f t="shared" si="15"/>
        <v>631870.77169132349</v>
      </c>
    </row>
    <row r="200" spans="14:18" x14ac:dyDescent="0.3">
      <c r="N200">
        <v>48</v>
      </c>
      <c r="O200" s="153">
        <f t="shared" si="13"/>
        <v>979.60815673730508</v>
      </c>
      <c r="P200" s="68">
        <f t="shared" si="16"/>
        <v>12955.297880847662</v>
      </c>
      <c r="Q200" s="148">
        <f t="shared" si="14"/>
        <v>0.16666666666666666</v>
      </c>
      <c r="R200" s="140">
        <f t="shared" si="15"/>
        <v>621854.29828068777</v>
      </c>
    </row>
    <row r="201" spans="14:18" x14ac:dyDescent="0.3">
      <c r="N201">
        <v>47</v>
      </c>
      <c r="O201" s="153">
        <f t="shared" si="13"/>
        <v>984.60615753698517</v>
      </c>
      <c r="P201" s="68">
        <f t="shared" si="16"/>
        <v>13015.273890443823</v>
      </c>
      <c r="Q201" s="148">
        <f t="shared" si="14"/>
        <v>0.16319444444444445</v>
      </c>
      <c r="R201" s="140">
        <f t="shared" si="15"/>
        <v>611717.87285085965</v>
      </c>
    </row>
    <row r="202" spans="14:18" x14ac:dyDescent="0.3">
      <c r="N202">
        <v>46</v>
      </c>
      <c r="O202" s="153">
        <f t="shared" si="13"/>
        <v>989.60415833666536</v>
      </c>
      <c r="P202" s="68">
        <f t="shared" si="16"/>
        <v>13075.249900039984</v>
      </c>
      <c r="Q202" s="148">
        <f t="shared" si="14"/>
        <v>0.15972222222222221</v>
      </c>
      <c r="R202" s="140">
        <f t="shared" si="15"/>
        <v>601461.49540183926</v>
      </c>
    </row>
    <row r="203" spans="14:18" x14ac:dyDescent="0.3">
      <c r="N203">
        <v>45</v>
      </c>
      <c r="O203" s="153">
        <f t="shared" si="13"/>
        <v>994.60215913634545</v>
      </c>
      <c r="P203" s="68">
        <f t="shared" si="16"/>
        <v>13135.225909636145</v>
      </c>
      <c r="Q203" s="148">
        <f t="shared" si="14"/>
        <v>0.15625</v>
      </c>
      <c r="R203" s="140">
        <f t="shared" si="15"/>
        <v>591085.16593362647</v>
      </c>
    </row>
    <row r="204" spans="14:18" x14ac:dyDescent="0.3">
      <c r="N204">
        <v>44</v>
      </c>
      <c r="O204" s="153">
        <f t="shared" si="13"/>
        <v>999.60015993602565</v>
      </c>
      <c r="P204" s="68">
        <f t="shared" si="16"/>
        <v>13195.201919232308</v>
      </c>
      <c r="Q204" s="148">
        <f t="shared" si="14"/>
        <v>0.15277777777777779</v>
      </c>
      <c r="R204" s="140">
        <f t="shared" si="15"/>
        <v>580588.88444622152</v>
      </c>
    </row>
    <row r="205" spans="14:18" x14ac:dyDescent="0.3">
      <c r="N205">
        <v>43</v>
      </c>
      <c r="O205" s="153">
        <f t="shared" si="13"/>
        <v>1004.5981607357057</v>
      </c>
      <c r="P205" s="68">
        <f t="shared" si="16"/>
        <v>13255.177928828467</v>
      </c>
      <c r="Q205" s="148">
        <f t="shared" si="14"/>
        <v>0.14930555555555555</v>
      </c>
      <c r="R205" s="140">
        <f t="shared" si="15"/>
        <v>569972.65093962406</v>
      </c>
    </row>
    <row r="206" spans="14:18" x14ac:dyDescent="0.3">
      <c r="N206">
        <v>42</v>
      </c>
      <c r="O206" s="153">
        <f t="shared" si="13"/>
        <v>1009.5961615353859</v>
      </c>
      <c r="P206" s="68">
        <f t="shared" si="16"/>
        <v>13315.153938424632</v>
      </c>
      <c r="Q206" s="148">
        <f t="shared" si="14"/>
        <v>0.14583333333333334</v>
      </c>
      <c r="R206" s="140">
        <f t="shared" si="15"/>
        <v>559236.46541383455</v>
      </c>
    </row>
    <row r="207" spans="14:18" x14ac:dyDescent="0.3">
      <c r="N207">
        <v>41</v>
      </c>
      <c r="O207" s="153">
        <f t="shared" si="13"/>
        <v>1014.594162335066</v>
      </c>
      <c r="P207" s="68">
        <f t="shared" si="16"/>
        <v>13375.129948020793</v>
      </c>
      <c r="Q207" s="148">
        <f t="shared" si="14"/>
        <v>0.1423611111111111</v>
      </c>
      <c r="R207" s="140">
        <f t="shared" si="15"/>
        <v>548380.32786885253</v>
      </c>
    </row>
    <row r="208" spans="14:18" x14ac:dyDescent="0.3">
      <c r="N208">
        <v>40</v>
      </c>
      <c r="O208" s="153">
        <f t="shared" si="13"/>
        <v>1019.5921631347462</v>
      </c>
      <c r="P208" s="68">
        <f t="shared" si="16"/>
        <v>13435.105957616954</v>
      </c>
      <c r="Q208" s="148">
        <f t="shared" si="14"/>
        <v>0.1388888888888889</v>
      </c>
      <c r="R208" s="140">
        <f t="shared" si="15"/>
        <v>537404.23830467812</v>
      </c>
    </row>
    <row r="209" spans="14:18" x14ac:dyDescent="0.3">
      <c r="N209">
        <v>39</v>
      </c>
      <c r="O209" s="153">
        <f t="shared" si="13"/>
        <v>1024.5901639344263</v>
      </c>
      <c r="P209" s="68">
        <f t="shared" si="16"/>
        <v>13495.081967213115</v>
      </c>
      <c r="Q209" s="148">
        <f t="shared" si="14"/>
        <v>0.13541666666666666</v>
      </c>
      <c r="R209" s="140">
        <f t="shared" si="15"/>
        <v>526308.19672131143</v>
      </c>
    </row>
    <row r="210" spans="14:18" x14ac:dyDescent="0.3">
      <c r="N210">
        <v>38</v>
      </c>
      <c r="O210" s="153">
        <f t="shared" si="13"/>
        <v>1029.5881647341064</v>
      </c>
      <c r="P210" s="68">
        <f t="shared" si="16"/>
        <v>13555.057976809278</v>
      </c>
      <c r="Q210" s="148">
        <f t="shared" si="14"/>
        <v>0.13194444444444445</v>
      </c>
      <c r="R210" s="140">
        <f t="shared" si="15"/>
        <v>515092.20311875257</v>
      </c>
    </row>
    <row r="211" spans="14:18" x14ac:dyDescent="0.3">
      <c r="N211">
        <v>37</v>
      </c>
      <c r="O211" s="153">
        <f t="shared" si="13"/>
        <v>1034.5861655337865</v>
      </c>
      <c r="P211" s="68">
        <f t="shared" si="16"/>
        <v>13615.033986405439</v>
      </c>
      <c r="Q211" s="148">
        <f t="shared" si="14"/>
        <v>0.12847222222222221</v>
      </c>
      <c r="R211" s="140">
        <f t="shared" si="15"/>
        <v>503756.25749700121</v>
      </c>
    </row>
    <row r="212" spans="14:18" x14ac:dyDescent="0.3">
      <c r="N212">
        <v>36</v>
      </c>
      <c r="O212" s="153">
        <f t="shared" si="13"/>
        <v>1039.5841663334668</v>
      </c>
      <c r="P212" s="68">
        <f t="shared" si="16"/>
        <v>13675.009996001601</v>
      </c>
      <c r="Q212" s="148">
        <f t="shared" si="14"/>
        <v>0.125</v>
      </c>
      <c r="R212" s="140">
        <f t="shared" si="15"/>
        <v>492300.35985605768</v>
      </c>
    </row>
    <row r="213" spans="14:18" x14ac:dyDescent="0.3">
      <c r="N213">
        <v>35</v>
      </c>
      <c r="O213" s="153">
        <f t="shared" si="13"/>
        <v>1044.5821671331469</v>
      </c>
      <c r="P213" s="68">
        <f t="shared" si="16"/>
        <v>13734.986005597762</v>
      </c>
      <c r="Q213" s="148">
        <f t="shared" si="14"/>
        <v>0.12152777777777778</v>
      </c>
      <c r="R213" s="140">
        <f t="shared" si="15"/>
        <v>480724.5101959217</v>
      </c>
    </row>
    <row r="214" spans="14:18" x14ac:dyDescent="0.3">
      <c r="N214">
        <v>34</v>
      </c>
      <c r="O214" s="153">
        <f t="shared" si="13"/>
        <v>1049.5801679328267</v>
      </c>
      <c r="P214" s="68">
        <f t="shared" si="16"/>
        <v>13794.96201519392</v>
      </c>
      <c r="Q214" s="148">
        <f t="shared" si="14"/>
        <v>0.11805555555555555</v>
      </c>
      <c r="R214" s="140">
        <f t="shared" si="15"/>
        <v>469028.70851659327</v>
      </c>
    </row>
    <row r="215" spans="14:18" x14ac:dyDescent="0.3">
      <c r="N215">
        <v>33</v>
      </c>
      <c r="O215" s="153">
        <f t="shared" si="13"/>
        <v>1054.578168732507</v>
      </c>
      <c r="P215" s="68">
        <f t="shared" si="16"/>
        <v>13854.938024790083</v>
      </c>
      <c r="Q215" s="148">
        <f t="shared" si="14"/>
        <v>0.11458333333333333</v>
      </c>
      <c r="R215" s="140">
        <f t="shared" si="15"/>
        <v>457212.95481807273</v>
      </c>
    </row>
    <row r="216" spans="14:18" x14ac:dyDescent="0.3">
      <c r="N216">
        <v>32</v>
      </c>
      <c r="O216" s="153">
        <f t="shared" si="13"/>
        <v>1059.5761695321871</v>
      </c>
      <c r="P216" s="68">
        <f t="shared" si="16"/>
        <v>13914.914034386245</v>
      </c>
      <c r="Q216" s="148">
        <f t="shared" si="14"/>
        <v>0.1111111111111111</v>
      </c>
      <c r="R216" s="140">
        <f t="shared" si="15"/>
        <v>445277.24910035986</v>
      </c>
    </row>
    <row r="217" spans="14:18" x14ac:dyDescent="0.3">
      <c r="N217">
        <v>31</v>
      </c>
      <c r="O217" s="153">
        <f t="shared" si="13"/>
        <v>1064.5741703318672</v>
      </c>
      <c r="P217" s="68">
        <f t="shared" si="16"/>
        <v>13974.890043982406</v>
      </c>
      <c r="Q217" s="148">
        <f t="shared" si="14"/>
        <v>0.1076388888888889</v>
      </c>
      <c r="R217" s="140">
        <f t="shared" si="15"/>
        <v>433221.59136345459</v>
      </c>
    </row>
    <row r="218" spans="14:18" x14ac:dyDescent="0.3">
      <c r="N218">
        <v>30</v>
      </c>
      <c r="O218" s="153">
        <f t="shared" si="13"/>
        <v>1069.5721711315473</v>
      </c>
      <c r="P218" s="68">
        <f t="shared" si="16"/>
        <v>14034.866053578568</v>
      </c>
      <c r="Q218" s="148">
        <f t="shared" si="14"/>
        <v>0.10416666666666667</v>
      </c>
      <c r="R218" s="140">
        <f t="shared" si="15"/>
        <v>421045.98160735704</v>
      </c>
    </row>
    <row r="219" spans="14:18" x14ac:dyDescent="0.3">
      <c r="N219">
        <v>29</v>
      </c>
      <c r="O219" s="153">
        <f t="shared" si="13"/>
        <v>1074.5701719312276</v>
      </c>
      <c r="P219" s="68">
        <f t="shared" si="16"/>
        <v>14094.84206317473</v>
      </c>
      <c r="Q219" s="148">
        <f t="shared" si="14"/>
        <v>0.10069444444444445</v>
      </c>
      <c r="R219" s="140">
        <f t="shared" si="15"/>
        <v>408750.41983206716</v>
      </c>
    </row>
    <row r="220" spans="14:18" x14ac:dyDescent="0.3">
      <c r="N220">
        <v>28</v>
      </c>
      <c r="O220" s="153">
        <f t="shared" si="13"/>
        <v>1079.5681727309077</v>
      </c>
      <c r="P220" s="68">
        <f t="shared" si="16"/>
        <v>14154.818072770893</v>
      </c>
      <c r="Q220" s="148">
        <f t="shared" si="14"/>
        <v>9.7222222222222224E-2</v>
      </c>
      <c r="R220" s="140">
        <f t="shared" si="15"/>
        <v>396334.90603758499</v>
      </c>
    </row>
    <row r="221" spans="14:18" x14ac:dyDescent="0.3">
      <c r="N221">
        <v>27</v>
      </c>
      <c r="O221" s="153">
        <f t="shared" si="13"/>
        <v>1084.5661735305878</v>
      </c>
      <c r="P221" s="68">
        <f t="shared" si="16"/>
        <v>14214.794082367054</v>
      </c>
      <c r="Q221" s="148">
        <f t="shared" si="14"/>
        <v>9.375E-2</v>
      </c>
      <c r="R221" s="140">
        <f t="shared" si="15"/>
        <v>383799.44022391044</v>
      </c>
    </row>
    <row r="222" spans="14:18" x14ac:dyDescent="0.3">
      <c r="N222">
        <v>26</v>
      </c>
      <c r="O222" s="153">
        <f t="shared" si="13"/>
        <v>1089.5641743302679</v>
      </c>
      <c r="P222" s="68">
        <f t="shared" si="16"/>
        <v>14274.770091963215</v>
      </c>
      <c r="Q222" s="148">
        <f t="shared" si="14"/>
        <v>9.0277777777777776E-2</v>
      </c>
      <c r="R222" s="140">
        <f t="shared" si="15"/>
        <v>371144.0223910436</v>
      </c>
    </row>
    <row r="223" spans="14:18" x14ac:dyDescent="0.3">
      <c r="N223">
        <v>25</v>
      </c>
      <c r="O223" s="153">
        <f t="shared" si="13"/>
        <v>1094.5621751299479</v>
      </c>
      <c r="P223" s="68">
        <f t="shared" si="16"/>
        <v>14334.746101559374</v>
      </c>
      <c r="Q223" s="148">
        <f t="shared" si="14"/>
        <v>8.6805555555555552E-2</v>
      </c>
      <c r="R223" s="140">
        <f t="shared" si="15"/>
        <v>358368.65253898437</v>
      </c>
    </row>
    <row r="224" spans="14:18" x14ac:dyDescent="0.3">
      <c r="N224">
        <v>24</v>
      </c>
      <c r="O224" s="153">
        <f t="shared" si="13"/>
        <v>1099.5601759296283</v>
      </c>
      <c r="P224" s="68">
        <f t="shared" si="16"/>
        <v>14394.722111155541</v>
      </c>
      <c r="Q224" s="148">
        <f t="shared" si="14"/>
        <v>8.3333333333333329E-2</v>
      </c>
      <c r="R224" s="140">
        <f t="shared" si="15"/>
        <v>345473.33066773298</v>
      </c>
    </row>
    <row r="225" spans="14:18" x14ac:dyDescent="0.3">
      <c r="N225">
        <v>23</v>
      </c>
      <c r="O225" s="153">
        <f t="shared" si="13"/>
        <v>1104.5581767293083</v>
      </c>
      <c r="P225" s="68">
        <f t="shared" si="16"/>
        <v>14454.6981207517</v>
      </c>
      <c r="Q225" s="148">
        <f t="shared" si="14"/>
        <v>7.9861111111111105E-2</v>
      </c>
      <c r="R225" s="140">
        <f t="shared" si="15"/>
        <v>332458.05677728908</v>
      </c>
    </row>
    <row r="226" spans="14:18" x14ac:dyDescent="0.3">
      <c r="N226">
        <v>22</v>
      </c>
      <c r="O226" s="153">
        <f t="shared" si="13"/>
        <v>1109.5561775289884</v>
      </c>
      <c r="P226" s="68">
        <f t="shared" si="16"/>
        <v>14514.674130347861</v>
      </c>
      <c r="Q226" s="148">
        <f t="shared" si="14"/>
        <v>7.6388888888888895E-2</v>
      </c>
      <c r="R226" s="140">
        <f t="shared" si="15"/>
        <v>319322.83086765296</v>
      </c>
    </row>
    <row r="227" spans="14:18" x14ac:dyDescent="0.3">
      <c r="N227">
        <v>21</v>
      </c>
      <c r="O227" s="153">
        <f t="shared" si="13"/>
        <v>1114.5541783286685</v>
      </c>
      <c r="P227" s="68">
        <f t="shared" si="16"/>
        <v>14574.650139944022</v>
      </c>
      <c r="Q227" s="148">
        <f t="shared" si="14"/>
        <v>7.2916666666666671E-2</v>
      </c>
      <c r="R227" s="140">
        <f t="shared" si="15"/>
        <v>306067.65293882444</v>
      </c>
    </row>
    <row r="228" spans="14:18" x14ac:dyDescent="0.3">
      <c r="N228">
        <v>20</v>
      </c>
      <c r="O228" s="153">
        <f t="shared" si="13"/>
        <v>1119.5521791283486</v>
      </c>
      <c r="P228" s="68">
        <f t="shared" si="16"/>
        <v>14634.626149540183</v>
      </c>
      <c r="Q228" s="148">
        <f t="shared" si="14"/>
        <v>6.9444444444444448E-2</v>
      </c>
      <c r="R228" s="140">
        <f t="shared" si="15"/>
        <v>292692.52299080364</v>
      </c>
    </row>
    <row r="229" spans="14:18" x14ac:dyDescent="0.3">
      <c r="N229">
        <v>19</v>
      </c>
      <c r="O229" s="153">
        <f t="shared" si="13"/>
        <v>1124.5501799280287</v>
      </c>
      <c r="P229" s="68">
        <f t="shared" si="16"/>
        <v>14694.602159136344</v>
      </c>
      <c r="Q229" s="148">
        <f t="shared" si="14"/>
        <v>6.5972222222222224E-2</v>
      </c>
      <c r="R229" s="140">
        <f t="shared" si="15"/>
        <v>279197.44102359057</v>
      </c>
    </row>
    <row r="230" spans="14:18" x14ac:dyDescent="0.3">
      <c r="N230">
        <v>18</v>
      </c>
      <c r="O230" s="153">
        <f t="shared" si="13"/>
        <v>1129.548180727709</v>
      </c>
      <c r="P230" s="68">
        <f t="shared" si="16"/>
        <v>14754.578168732509</v>
      </c>
      <c r="Q230" s="148">
        <f t="shared" si="14"/>
        <v>6.25E-2</v>
      </c>
      <c r="R230" s="140">
        <f t="shared" si="15"/>
        <v>265582.40703718516</v>
      </c>
    </row>
    <row r="231" spans="14:18" x14ac:dyDescent="0.3">
      <c r="N231">
        <v>17</v>
      </c>
      <c r="O231" s="153">
        <f t="shared" si="13"/>
        <v>1134.5461815273891</v>
      </c>
      <c r="P231" s="68">
        <f t="shared" si="16"/>
        <v>14814.55417832867</v>
      </c>
      <c r="Q231" s="148">
        <f t="shared" si="14"/>
        <v>5.9027777777777776E-2</v>
      </c>
      <c r="R231" s="140">
        <f t="shared" si="15"/>
        <v>251847.42103158738</v>
      </c>
    </row>
    <row r="232" spans="14:18" x14ac:dyDescent="0.3">
      <c r="N232">
        <v>16</v>
      </c>
      <c r="O232" s="153">
        <f t="shared" si="13"/>
        <v>1139.5441823270692</v>
      </c>
      <c r="P232" s="68">
        <f t="shared" si="16"/>
        <v>14874.530187924831</v>
      </c>
      <c r="Q232" s="148">
        <f t="shared" si="14"/>
        <v>5.5555555555555552E-2</v>
      </c>
      <c r="R232" s="140">
        <f t="shared" si="15"/>
        <v>237992.48300679729</v>
      </c>
    </row>
    <row r="233" spans="14:18" x14ac:dyDescent="0.3">
      <c r="N233">
        <v>15</v>
      </c>
      <c r="O233" s="153">
        <f t="shared" si="13"/>
        <v>1144.5421831267493</v>
      </c>
      <c r="P233" s="68">
        <f t="shared" si="16"/>
        <v>14934.50619752099</v>
      </c>
      <c r="Q233" s="148">
        <f t="shared" si="14"/>
        <v>5.2083333333333336E-2</v>
      </c>
      <c r="R233" s="140">
        <f t="shared" si="15"/>
        <v>224017.59296281484</v>
      </c>
    </row>
    <row r="234" spans="14:18" x14ac:dyDescent="0.3">
      <c r="N234">
        <v>14</v>
      </c>
      <c r="O234" s="153">
        <f t="shared" si="13"/>
        <v>1149.5401839264296</v>
      </c>
      <c r="P234" s="68">
        <f t="shared" si="16"/>
        <v>14994.482207117157</v>
      </c>
      <c r="Q234" s="148">
        <f t="shared" si="14"/>
        <v>4.8611111111111112E-2</v>
      </c>
      <c r="R234" s="140">
        <f t="shared" si="15"/>
        <v>209922.7508996402</v>
      </c>
    </row>
    <row r="235" spans="14:18" x14ac:dyDescent="0.3">
      <c r="N235">
        <v>13</v>
      </c>
      <c r="O235" s="153">
        <f t="shared" si="13"/>
        <v>1154.5381847261096</v>
      </c>
      <c r="P235" s="68">
        <f t="shared" si="16"/>
        <v>15054.458216713316</v>
      </c>
      <c r="Q235" s="148">
        <f t="shared" si="14"/>
        <v>4.5138888888888888E-2</v>
      </c>
      <c r="R235" s="140">
        <f t="shared" si="15"/>
        <v>195707.95681727311</v>
      </c>
    </row>
    <row r="236" spans="14:18" x14ac:dyDescent="0.3">
      <c r="N236">
        <v>12</v>
      </c>
      <c r="O236" s="153">
        <f t="shared" si="13"/>
        <v>1159.5361855257897</v>
      </c>
      <c r="P236" s="68">
        <f t="shared" si="16"/>
        <v>15114.434226309477</v>
      </c>
      <c r="Q236" s="148">
        <f t="shared" si="14"/>
        <v>4.1666666666666664E-2</v>
      </c>
      <c r="R236" s="140">
        <f t="shared" si="15"/>
        <v>181373.21071571374</v>
      </c>
    </row>
    <row r="237" spans="14:18" x14ac:dyDescent="0.3">
      <c r="N237">
        <v>11</v>
      </c>
      <c r="O237" s="153">
        <f t="shared" si="13"/>
        <v>1164.5341863254698</v>
      </c>
      <c r="P237" s="68">
        <f t="shared" si="16"/>
        <v>15174.410235905638</v>
      </c>
      <c r="Q237" s="148">
        <f t="shared" si="14"/>
        <v>3.8194444444444448E-2</v>
      </c>
      <c r="R237" s="140">
        <f t="shared" si="15"/>
        <v>166918.51259496203</v>
      </c>
    </row>
    <row r="238" spans="14:18" x14ac:dyDescent="0.3">
      <c r="N238">
        <v>10</v>
      </c>
      <c r="O238" s="153">
        <f t="shared" si="13"/>
        <v>1169.5321871251499</v>
      </c>
      <c r="P238" s="68">
        <f t="shared" si="16"/>
        <v>15234.386245501799</v>
      </c>
      <c r="Q238" s="148">
        <f t="shared" si="14"/>
        <v>3.4722222222222224E-2</v>
      </c>
      <c r="R238" s="140">
        <f t="shared" si="15"/>
        <v>152343.86245501798</v>
      </c>
    </row>
    <row r="239" spans="14:18" x14ac:dyDescent="0.3">
      <c r="N239">
        <v>9</v>
      </c>
      <c r="O239" s="153">
        <f t="shared" si="13"/>
        <v>1174.5301879248302</v>
      </c>
      <c r="P239" s="68">
        <f t="shared" si="16"/>
        <v>15294.362255097963</v>
      </c>
      <c r="Q239" s="148">
        <f t="shared" si="14"/>
        <v>3.125E-2</v>
      </c>
      <c r="R239" s="140">
        <f t="shared" si="15"/>
        <v>137649.26029588166</v>
      </c>
    </row>
    <row r="240" spans="14:18" x14ac:dyDescent="0.3">
      <c r="N240">
        <v>8</v>
      </c>
      <c r="O240" s="153">
        <f t="shared" si="13"/>
        <v>1179.5281887245101</v>
      </c>
      <c r="P240" s="68">
        <f t="shared" si="16"/>
        <v>15354.338264694123</v>
      </c>
      <c r="Q240" s="148">
        <f t="shared" si="14"/>
        <v>2.7777777777777776E-2</v>
      </c>
      <c r="R240" s="140">
        <f t="shared" si="15"/>
        <v>122834.70611755298</v>
      </c>
    </row>
    <row r="241" spans="14:18" x14ac:dyDescent="0.3">
      <c r="N241">
        <v>7</v>
      </c>
      <c r="O241" s="153">
        <f t="shared" si="13"/>
        <v>1184.5261895241904</v>
      </c>
      <c r="P241" s="68">
        <f t="shared" si="16"/>
        <v>15414.314274290286</v>
      </c>
      <c r="Q241" s="148">
        <f t="shared" si="14"/>
        <v>2.4305555555555556E-2</v>
      </c>
      <c r="R241" s="140">
        <f t="shared" si="15"/>
        <v>107900.199920032</v>
      </c>
    </row>
    <row r="242" spans="14:18" x14ac:dyDescent="0.3">
      <c r="N242">
        <v>6</v>
      </c>
      <c r="O242" s="153">
        <f t="shared" si="13"/>
        <v>1189.5241903238705</v>
      </c>
      <c r="P242" s="68">
        <f t="shared" si="16"/>
        <v>15474.290283886447</v>
      </c>
      <c r="Q242" s="148">
        <f t="shared" si="14"/>
        <v>2.0833333333333332E-2</v>
      </c>
      <c r="R242" s="140">
        <f t="shared" si="15"/>
        <v>92845.741703318679</v>
      </c>
    </row>
    <row r="243" spans="14:18" x14ac:dyDescent="0.3">
      <c r="N243">
        <v>5</v>
      </c>
      <c r="O243" s="153">
        <f t="shared" si="13"/>
        <v>1194.5221911235506</v>
      </c>
      <c r="P243" s="68">
        <f t="shared" si="16"/>
        <v>15534.266293482606</v>
      </c>
      <c r="Q243" s="148">
        <f t="shared" si="14"/>
        <v>1.7361111111111112E-2</v>
      </c>
      <c r="R243" s="140">
        <f t="shared" si="15"/>
        <v>77671.331467413023</v>
      </c>
    </row>
    <row r="244" spans="14:18" x14ac:dyDescent="0.3">
      <c r="N244">
        <v>4</v>
      </c>
      <c r="O244" s="153">
        <f t="shared" si="13"/>
        <v>1199.5201919232306</v>
      </c>
      <c r="P244" s="68">
        <f t="shared" si="16"/>
        <v>15594.242303078767</v>
      </c>
      <c r="Q244" s="148">
        <f t="shared" si="14"/>
        <v>1.3888888888888888E-2</v>
      </c>
      <c r="R244" s="140">
        <f t="shared" si="15"/>
        <v>62376.969212315067</v>
      </c>
    </row>
    <row r="245" spans="14:18" x14ac:dyDescent="0.3">
      <c r="N245">
        <v>3</v>
      </c>
      <c r="O245" s="153">
        <f t="shared" si="13"/>
        <v>1204.518192722911</v>
      </c>
      <c r="P245" s="68">
        <f t="shared" si="16"/>
        <v>15654.218312674931</v>
      </c>
      <c r="Q245" s="148">
        <f t="shared" si="14"/>
        <v>1.0416666666666666E-2</v>
      </c>
      <c r="R245" s="140">
        <f t="shared" si="15"/>
        <v>46962.654938024796</v>
      </c>
    </row>
    <row r="246" spans="14:18" x14ac:dyDescent="0.3">
      <c r="N246">
        <v>2</v>
      </c>
      <c r="O246" s="153">
        <f t="shared" si="13"/>
        <v>1209.516193522591</v>
      </c>
      <c r="P246" s="68">
        <f t="shared" si="16"/>
        <v>15714.194322271092</v>
      </c>
      <c r="Q246" s="148">
        <f t="shared" si="14"/>
        <v>6.9444444444444441E-3</v>
      </c>
      <c r="R246" s="140">
        <f t="shared" si="15"/>
        <v>31428.388644542185</v>
      </c>
    </row>
    <row r="247" spans="14:18" x14ac:dyDescent="0.3">
      <c r="N247">
        <v>1</v>
      </c>
      <c r="O247" s="153">
        <f t="shared" si="13"/>
        <v>1214.5141943222711</v>
      </c>
      <c r="P247" s="68">
        <f t="shared" si="16"/>
        <v>15774.170331867253</v>
      </c>
      <c r="Q247" s="148">
        <f t="shared" si="14"/>
        <v>3.472222222222222E-3</v>
      </c>
      <c r="R247" s="140">
        <f t="shared" si="15"/>
        <v>15774.170331867253</v>
      </c>
    </row>
  </sheetData>
  <mergeCells count="5">
    <mergeCell ref="E4:F4"/>
    <mergeCell ref="H4:I4"/>
    <mergeCell ref="T21:U21"/>
    <mergeCell ref="T22:U22"/>
    <mergeCell ref="T23:U23"/>
  </mergeCells>
  <hyperlinks>
    <hyperlink ref="B15" r:id="rId1" display="https://www.rtl.nl/nieuws/economie/artikel/5490525/tickets-fors-duurder-maar-we-blijven-vliegen" xr:uid="{D83D55FC-A274-4574-AF65-B55060995964}"/>
    <hyperlink ref="AB23" r:id="rId2" location=":~:text=Airlines%20must%20maintain%20a%20high%20load%20factor%20to,factors%20due%20to%20cost%20structures%20&amp;%20revenue%20sources." display="https://simpleflying.com/load-factor-airline-profitability-relationship-analysis/ - :~:text=Airlines%20must%20maintain%20a%20high%20load%20factor%20to,factors%20due%20to%20cost%20structures%20&amp;%20revenue%20sources." xr:uid="{682F3545-BC88-41A1-8C15-67F77F7492CA}"/>
    <hyperlink ref="AB24" r:id="rId3" location=":~:text=The%20optimal%20load%20factor%20for%20most%20airlines%20would,factor%20between%2072.5%%20and%2078.9%%20to%20break%20even." display="https://executiveflyers.com/what-is-load-factor-in-aviation/ - :~:text=The%20optimal%20load%20factor%20for%20most%20airlines%20would,factor%20between%2072.5%%20and%2078.9%%20to%20break%20even." xr:uid="{5A80809B-A32A-44CB-B1E9-51B35E1B810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C8B6-E087-49F3-8BD4-FD655F158505}">
  <dimension ref="A1:K51"/>
  <sheetViews>
    <sheetView zoomScale="73" workbookViewId="0">
      <selection activeCell="F16" sqref="F16"/>
    </sheetView>
  </sheetViews>
  <sheetFormatPr defaultColWidth="20.6640625" defaultRowHeight="14.4" x14ac:dyDescent="0.3"/>
  <sheetData>
    <row r="1" spans="1:11" x14ac:dyDescent="0.3">
      <c r="C1" t="s">
        <v>2250</v>
      </c>
      <c r="D1" t="s">
        <v>2271</v>
      </c>
      <c r="E1" t="s">
        <v>2251</v>
      </c>
      <c r="H1" t="s">
        <v>2246</v>
      </c>
      <c r="I1" t="s">
        <v>2247</v>
      </c>
      <c r="J1" t="s">
        <v>2248</v>
      </c>
      <c r="K1" t="s">
        <v>2249</v>
      </c>
    </row>
    <row r="2" spans="1:11" x14ac:dyDescent="0.3">
      <c r="B2" s="209" t="s">
        <v>2220</v>
      </c>
      <c r="C2" s="210" t="s">
        <v>2228</v>
      </c>
      <c r="D2" s="210" t="s">
        <v>2228</v>
      </c>
      <c r="E2" s="210" t="s">
        <v>2228</v>
      </c>
      <c r="F2" s="119"/>
      <c r="G2" s="209" t="s">
        <v>2223</v>
      </c>
      <c r="H2" s="210"/>
      <c r="I2" s="210"/>
      <c r="J2" s="210"/>
      <c r="K2" s="210"/>
    </row>
    <row r="3" spans="1:11" x14ac:dyDescent="0.3">
      <c r="B3" s="209"/>
      <c r="C3" s="210"/>
      <c r="D3" s="210"/>
      <c r="E3" s="210"/>
      <c r="F3" s="119"/>
      <c r="G3" s="209"/>
      <c r="H3" s="210"/>
      <c r="I3" s="210"/>
      <c r="J3" s="210"/>
      <c r="K3" s="210"/>
    </row>
    <row r="4" spans="1:11" x14ac:dyDescent="0.3">
      <c r="B4" s="209" t="s">
        <v>2221</v>
      </c>
      <c r="C4" s="210" t="s">
        <v>2228</v>
      </c>
      <c r="D4" s="210" t="s">
        <v>2228</v>
      </c>
      <c r="E4" s="210" t="s">
        <v>2228</v>
      </c>
      <c r="F4" s="119"/>
      <c r="G4" s="209" t="s">
        <v>2224</v>
      </c>
      <c r="H4" s="210"/>
      <c r="I4" s="210"/>
      <c r="J4" s="210"/>
      <c r="K4" s="210"/>
    </row>
    <row r="5" spans="1:11" x14ac:dyDescent="0.3">
      <c r="B5" s="209"/>
      <c r="C5" s="210"/>
      <c r="D5" s="210"/>
      <c r="E5" s="210"/>
      <c r="F5" s="119"/>
      <c r="G5" s="209"/>
      <c r="H5" s="210"/>
      <c r="I5" s="210"/>
      <c r="J5" s="210"/>
      <c r="K5" s="210"/>
    </row>
    <row r="6" spans="1:11" x14ac:dyDescent="0.3">
      <c r="B6" s="209" t="s">
        <v>2222</v>
      </c>
      <c r="C6" s="210" t="s">
        <v>2228</v>
      </c>
      <c r="D6" s="210" t="s">
        <v>2228</v>
      </c>
      <c r="E6" s="210" t="s">
        <v>2228</v>
      </c>
      <c r="F6" s="119"/>
      <c r="G6" s="209" t="s">
        <v>2225</v>
      </c>
      <c r="H6" s="210"/>
      <c r="I6" s="210"/>
      <c r="J6" s="210"/>
      <c r="K6" s="210"/>
    </row>
    <row r="7" spans="1:11" x14ac:dyDescent="0.3">
      <c r="B7" s="209"/>
      <c r="C7" s="210"/>
      <c r="D7" s="210"/>
      <c r="E7" s="210"/>
      <c r="F7" s="119"/>
      <c r="G7" s="209"/>
      <c r="H7" s="210"/>
      <c r="I7" s="210"/>
      <c r="J7" s="210"/>
      <c r="K7" s="210"/>
    </row>
    <row r="8" spans="1:11" x14ac:dyDescent="0.3">
      <c r="B8" s="134"/>
      <c r="C8" s="119"/>
      <c r="D8" s="119"/>
      <c r="E8" s="119"/>
      <c r="F8" s="119"/>
      <c r="G8" s="209" t="s">
        <v>2062</v>
      </c>
      <c r="H8" s="210" t="s">
        <v>2228</v>
      </c>
      <c r="I8" s="211" t="s">
        <v>2229</v>
      </c>
      <c r="J8" s="211" t="s">
        <v>2229</v>
      </c>
      <c r="K8" s="210" t="s">
        <v>2228</v>
      </c>
    </row>
    <row r="9" spans="1:11" x14ac:dyDescent="0.3">
      <c r="B9" s="134"/>
      <c r="C9" s="119"/>
      <c r="D9" s="119" t="s">
        <v>2252</v>
      </c>
      <c r="E9" s="119"/>
      <c r="F9" s="119"/>
      <c r="G9" s="209"/>
      <c r="H9" s="210"/>
      <c r="I9" s="210"/>
      <c r="J9" s="210"/>
      <c r="K9" s="210"/>
    </row>
    <row r="10" spans="1:11" x14ac:dyDescent="0.3">
      <c r="B10" s="134"/>
      <c r="C10" s="119"/>
      <c r="D10" s="119"/>
      <c r="E10" s="119"/>
      <c r="F10" s="119"/>
      <c r="G10" s="134"/>
      <c r="H10" s="119"/>
      <c r="I10" s="119"/>
      <c r="J10" s="119"/>
      <c r="K10" s="119"/>
    </row>
    <row r="11" spans="1:11" x14ac:dyDescent="0.3">
      <c r="B11" t="s">
        <v>2272</v>
      </c>
      <c r="C11" t="s">
        <v>2268</v>
      </c>
      <c r="D11" t="s">
        <v>2269</v>
      </c>
      <c r="E11" t="s">
        <v>2270</v>
      </c>
    </row>
    <row r="12" spans="1:11" x14ac:dyDescent="0.3">
      <c r="A12" t="s">
        <v>2273</v>
      </c>
      <c r="H12" s="212" t="s">
        <v>2223</v>
      </c>
      <c r="I12" s="214" t="s">
        <v>2226</v>
      </c>
      <c r="J12" s="215" t="s">
        <v>2230</v>
      </c>
      <c r="K12" s="216"/>
    </row>
    <row r="13" spans="1:11" x14ac:dyDescent="0.3">
      <c r="A13" t="s">
        <v>2275</v>
      </c>
      <c r="B13" s="59">
        <f>Dashboard!I6</f>
        <v>675.83243565913017</v>
      </c>
      <c r="C13" s="59">
        <f>Dashboard!$I7</f>
        <v>337.91621782956508</v>
      </c>
      <c r="D13" s="59">
        <f>Dashboard!$I7</f>
        <v>337.91621782956508</v>
      </c>
      <c r="E13" s="59">
        <f>Dashboard!$I7</f>
        <v>337.91621782956508</v>
      </c>
      <c r="H13" s="213"/>
      <c r="I13" s="210"/>
      <c r="J13" s="210"/>
      <c r="K13" s="217"/>
    </row>
    <row r="14" spans="1:11" x14ac:dyDescent="0.3">
      <c r="A14" t="s">
        <v>2281</v>
      </c>
      <c r="B14">
        <f>KPI´s!$O22</f>
        <v>1814056</v>
      </c>
      <c r="C14">
        <f>KPI´s!$P22</f>
        <v>2109600</v>
      </c>
      <c r="D14">
        <f>KPI´s!$O22</f>
        <v>1814056</v>
      </c>
      <c r="E14">
        <f>KPI´s!$O22</f>
        <v>1814056</v>
      </c>
      <c r="H14" s="213"/>
      <c r="I14" s="210" t="s">
        <v>1682</v>
      </c>
      <c r="J14" s="210" t="s">
        <v>2231</v>
      </c>
      <c r="K14" s="217"/>
    </row>
    <row r="15" spans="1:11" x14ac:dyDescent="0.3">
      <c r="A15" t="s">
        <v>2136</v>
      </c>
      <c r="D15" s="144">
        <v>774681377.27999997</v>
      </c>
      <c r="E15" s="143">
        <f>'Lithium Carbon Offsetting'!M3</f>
        <v>2117627480.8518677</v>
      </c>
      <c r="H15" s="213"/>
      <c r="I15" s="210"/>
      <c r="J15" s="210"/>
      <c r="K15" s="217"/>
    </row>
    <row r="16" spans="1:11" x14ac:dyDescent="0.3">
      <c r="A16" t="s">
        <v>2201</v>
      </c>
      <c r="H16" s="213"/>
      <c r="I16" s="211" t="s">
        <v>2227</v>
      </c>
      <c r="J16" s="210" t="s">
        <v>2232</v>
      </c>
      <c r="K16" s="217"/>
    </row>
    <row r="17" spans="1:11" x14ac:dyDescent="0.3">
      <c r="A17" t="s">
        <v>2274</v>
      </c>
      <c r="H17" s="213"/>
      <c r="I17" s="210"/>
      <c r="J17" s="210"/>
      <c r="K17" s="217"/>
    </row>
    <row r="18" spans="1:11" x14ac:dyDescent="0.3">
      <c r="H18" s="213"/>
      <c r="I18" s="210" t="s">
        <v>2228</v>
      </c>
      <c r="J18" s="210" t="s">
        <v>2233</v>
      </c>
      <c r="K18" s="217"/>
    </row>
    <row r="19" spans="1:11" x14ac:dyDescent="0.3">
      <c r="H19" s="213"/>
      <c r="I19" s="210"/>
      <c r="J19" s="210"/>
      <c r="K19" s="217"/>
    </row>
    <row r="20" spans="1:11" x14ac:dyDescent="0.3">
      <c r="H20" s="213"/>
      <c r="I20" s="211" t="s">
        <v>2229</v>
      </c>
      <c r="J20" s="210" t="s">
        <v>2234</v>
      </c>
      <c r="K20" s="217"/>
    </row>
    <row r="21" spans="1:11" x14ac:dyDescent="0.3">
      <c r="H21" s="213"/>
      <c r="I21" s="210"/>
      <c r="J21" s="210"/>
      <c r="K21" s="217"/>
    </row>
    <row r="22" spans="1:11" x14ac:dyDescent="0.3">
      <c r="H22" s="212" t="s">
        <v>2224</v>
      </c>
      <c r="I22" s="214" t="s">
        <v>2226</v>
      </c>
      <c r="J22" s="215" t="s">
        <v>2235</v>
      </c>
      <c r="K22" s="216"/>
    </row>
    <row r="23" spans="1:11" x14ac:dyDescent="0.3">
      <c r="H23" s="213"/>
      <c r="I23" s="210"/>
      <c r="J23" s="210"/>
      <c r="K23" s="217"/>
    </row>
    <row r="24" spans="1:11" x14ac:dyDescent="0.3">
      <c r="H24" s="213"/>
      <c r="I24" s="210" t="s">
        <v>1682</v>
      </c>
      <c r="J24" s="210"/>
      <c r="K24" s="217"/>
    </row>
    <row r="25" spans="1:11" x14ac:dyDescent="0.3">
      <c r="H25" s="213"/>
      <c r="I25" s="210"/>
      <c r="J25" s="210"/>
      <c r="K25" s="217"/>
    </row>
    <row r="26" spans="1:11" x14ac:dyDescent="0.3">
      <c r="H26" s="213"/>
      <c r="I26" s="211" t="s">
        <v>2227</v>
      </c>
      <c r="J26" s="210" t="s">
        <v>2236</v>
      </c>
      <c r="K26" s="217"/>
    </row>
    <row r="27" spans="1:11" x14ac:dyDescent="0.3">
      <c r="H27" s="213"/>
      <c r="I27" s="210"/>
      <c r="J27" s="210"/>
      <c r="K27" s="217"/>
    </row>
    <row r="28" spans="1:11" x14ac:dyDescent="0.3">
      <c r="H28" s="213"/>
      <c r="I28" s="210" t="s">
        <v>2228</v>
      </c>
      <c r="J28" s="210"/>
      <c r="K28" s="217"/>
    </row>
    <row r="29" spans="1:11" x14ac:dyDescent="0.3">
      <c r="H29" s="213"/>
      <c r="I29" s="210"/>
      <c r="J29" s="210"/>
      <c r="K29" s="217"/>
    </row>
    <row r="30" spans="1:11" x14ac:dyDescent="0.3">
      <c r="H30" s="213"/>
      <c r="I30" s="211" t="s">
        <v>2229</v>
      </c>
      <c r="J30" s="210" t="s">
        <v>2237</v>
      </c>
      <c r="K30" s="217"/>
    </row>
    <row r="31" spans="1:11" x14ac:dyDescent="0.3">
      <c r="H31" s="213"/>
      <c r="I31" s="210"/>
      <c r="J31" s="210"/>
      <c r="K31" s="217"/>
    </row>
    <row r="32" spans="1:11" x14ac:dyDescent="0.3">
      <c r="H32" s="212" t="s">
        <v>2225</v>
      </c>
      <c r="I32" s="214" t="s">
        <v>2226</v>
      </c>
      <c r="J32" s="215" t="s">
        <v>2238</v>
      </c>
      <c r="K32" s="216"/>
    </row>
    <row r="33" spans="8:11" x14ac:dyDescent="0.3">
      <c r="H33" s="213"/>
      <c r="I33" s="210"/>
      <c r="J33" s="210"/>
      <c r="K33" s="217"/>
    </row>
    <row r="34" spans="8:11" x14ac:dyDescent="0.3">
      <c r="H34" s="213"/>
      <c r="I34" s="210" t="s">
        <v>1682</v>
      </c>
      <c r="J34" s="210"/>
      <c r="K34" s="217"/>
    </row>
    <row r="35" spans="8:11" x14ac:dyDescent="0.3">
      <c r="H35" s="213"/>
      <c r="I35" s="210"/>
      <c r="J35" s="210"/>
      <c r="K35" s="217"/>
    </row>
    <row r="36" spans="8:11" x14ac:dyDescent="0.3">
      <c r="H36" s="213"/>
      <c r="I36" s="211" t="s">
        <v>2227</v>
      </c>
      <c r="J36" s="210" t="s">
        <v>2245</v>
      </c>
      <c r="K36" s="217"/>
    </row>
    <row r="37" spans="8:11" x14ac:dyDescent="0.3">
      <c r="H37" s="213"/>
      <c r="I37" s="210"/>
      <c r="J37" s="210"/>
      <c r="K37" s="217"/>
    </row>
    <row r="38" spans="8:11" x14ac:dyDescent="0.3">
      <c r="H38" s="213"/>
      <c r="I38" s="210" t="s">
        <v>2228</v>
      </c>
      <c r="J38" s="210"/>
      <c r="K38" s="217"/>
    </row>
    <row r="39" spans="8:11" x14ac:dyDescent="0.3">
      <c r="H39" s="213"/>
      <c r="I39" s="210"/>
      <c r="J39" s="210"/>
      <c r="K39" s="217"/>
    </row>
    <row r="40" spans="8:11" x14ac:dyDescent="0.3">
      <c r="H40" s="213"/>
      <c r="I40" s="211" t="s">
        <v>2229</v>
      </c>
      <c r="J40" s="210" t="s">
        <v>2239</v>
      </c>
      <c r="K40" s="217"/>
    </row>
    <row r="41" spans="8:11" x14ac:dyDescent="0.3">
      <c r="H41" s="218"/>
      <c r="I41" s="208"/>
      <c r="J41" s="208"/>
      <c r="K41" s="219"/>
    </row>
    <row r="42" spans="8:11" x14ac:dyDescent="0.3">
      <c r="H42" s="212" t="s">
        <v>2062</v>
      </c>
      <c r="I42" s="214" t="s">
        <v>2226</v>
      </c>
      <c r="J42" s="215" t="s">
        <v>2244</v>
      </c>
      <c r="K42" s="216"/>
    </row>
    <row r="43" spans="8:11" x14ac:dyDescent="0.3">
      <c r="H43" s="213"/>
      <c r="I43" s="210"/>
      <c r="J43" s="210"/>
      <c r="K43" s="217"/>
    </row>
    <row r="44" spans="8:11" x14ac:dyDescent="0.3">
      <c r="H44" s="213"/>
      <c r="I44" s="210" t="s">
        <v>1682</v>
      </c>
      <c r="J44" s="210" t="s">
        <v>2241</v>
      </c>
      <c r="K44" s="217"/>
    </row>
    <row r="45" spans="8:11" x14ac:dyDescent="0.3">
      <c r="H45" s="213"/>
      <c r="I45" s="210"/>
      <c r="J45" s="210"/>
      <c r="K45" s="217"/>
    </row>
    <row r="46" spans="8:11" x14ac:dyDescent="0.3">
      <c r="H46" s="213"/>
      <c r="I46" s="211" t="s">
        <v>2227</v>
      </c>
      <c r="J46" s="210" t="s">
        <v>2240</v>
      </c>
      <c r="K46" s="217"/>
    </row>
    <row r="47" spans="8:11" x14ac:dyDescent="0.3">
      <c r="H47" s="213"/>
      <c r="I47" s="210"/>
      <c r="J47" s="210"/>
      <c r="K47" s="217"/>
    </row>
    <row r="48" spans="8:11" x14ac:dyDescent="0.3">
      <c r="H48" s="213"/>
      <c r="I48" s="210" t="s">
        <v>2228</v>
      </c>
      <c r="J48" s="210" t="s">
        <v>2242</v>
      </c>
      <c r="K48" s="217"/>
    </row>
    <row r="49" spans="8:11" x14ac:dyDescent="0.3">
      <c r="H49" s="213"/>
      <c r="I49" s="210"/>
      <c r="J49" s="210"/>
      <c r="K49" s="217"/>
    </row>
    <row r="50" spans="8:11" x14ac:dyDescent="0.3">
      <c r="H50" s="213"/>
      <c r="I50" s="211" t="s">
        <v>2229</v>
      </c>
      <c r="J50" s="210" t="s">
        <v>2243</v>
      </c>
      <c r="K50" s="217"/>
    </row>
    <row r="51" spans="8:11" x14ac:dyDescent="0.3">
      <c r="H51" s="218"/>
      <c r="I51" s="208"/>
      <c r="J51" s="208"/>
      <c r="K51" s="219"/>
    </row>
  </sheetData>
  <mergeCells count="76">
    <mergeCell ref="I48:I49"/>
    <mergeCell ref="J48:K49"/>
    <mergeCell ref="I50:I51"/>
    <mergeCell ref="J50:K51"/>
    <mergeCell ref="G8:G9"/>
    <mergeCell ref="H8:H9"/>
    <mergeCell ref="I8:I9"/>
    <mergeCell ref="J8:J9"/>
    <mergeCell ref="K8:K9"/>
    <mergeCell ref="J36:K37"/>
    <mergeCell ref="J38:K39"/>
    <mergeCell ref="J40:K41"/>
    <mergeCell ref="H42:H51"/>
    <mergeCell ref="I42:I43"/>
    <mergeCell ref="J42:K43"/>
    <mergeCell ref="I44:I45"/>
    <mergeCell ref="J44:K45"/>
    <mergeCell ref="I46:I47"/>
    <mergeCell ref="J46:K47"/>
    <mergeCell ref="J24:K25"/>
    <mergeCell ref="J26:K27"/>
    <mergeCell ref="J28:K29"/>
    <mergeCell ref="J30:K31"/>
    <mergeCell ref="J32:K33"/>
    <mergeCell ref="J34:K35"/>
    <mergeCell ref="J12:K13"/>
    <mergeCell ref="J14:K15"/>
    <mergeCell ref="J16:K17"/>
    <mergeCell ref="J18:K19"/>
    <mergeCell ref="J20:K21"/>
    <mergeCell ref="J22:K23"/>
    <mergeCell ref="H32:H41"/>
    <mergeCell ref="I32:I33"/>
    <mergeCell ref="I34:I35"/>
    <mergeCell ref="I36:I37"/>
    <mergeCell ref="I38:I39"/>
    <mergeCell ref="I40:I41"/>
    <mergeCell ref="I18:I19"/>
    <mergeCell ref="I20:I21"/>
    <mergeCell ref="H12:H21"/>
    <mergeCell ref="H22:H31"/>
    <mergeCell ref="I22:I23"/>
    <mergeCell ref="I24:I25"/>
    <mergeCell ref="I26:I27"/>
    <mergeCell ref="I28:I29"/>
    <mergeCell ref="I30:I31"/>
    <mergeCell ref="I12:I13"/>
    <mergeCell ref="I14:I15"/>
    <mergeCell ref="I16:I17"/>
    <mergeCell ref="K2:K3"/>
    <mergeCell ref="K4:K5"/>
    <mergeCell ref="K6:K7"/>
    <mergeCell ref="G2:G3"/>
    <mergeCell ref="G4:G5"/>
    <mergeCell ref="G6:G7"/>
    <mergeCell ref="E6:E7"/>
    <mergeCell ref="H2:H3"/>
    <mergeCell ref="I2:I3"/>
    <mergeCell ref="J2:J3"/>
    <mergeCell ref="H4:H5"/>
    <mergeCell ref="I4:I5"/>
    <mergeCell ref="J4:J5"/>
    <mergeCell ref="H6:H7"/>
    <mergeCell ref="I6:I7"/>
    <mergeCell ref="E2:E3"/>
    <mergeCell ref="E4:E5"/>
    <mergeCell ref="J6:J7"/>
    <mergeCell ref="B2:B3"/>
    <mergeCell ref="B4:B5"/>
    <mergeCell ref="B6:B7"/>
    <mergeCell ref="C2:C3"/>
    <mergeCell ref="D2:D3"/>
    <mergeCell ref="C4:C5"/>
    <mergeCell ref="D4:D5"/>
    <mergeCell ref="C6:C7"/>
    <mergeCell ref="D6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zoomScale="99" zoomScaleNormal="115" workbookViewId="0">
      <selection activeCell="I23" sqref="I23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16.5546875" style="4" customWidth="1"/>
    <col min="4" max="4" width="14.6640625" style="4" customWidth="1"/>
    <col min="5" max="5" width="10.44140625" style="4" bestFit="1" customWidth="1"/>
    <col min="6" max="6" width="5.88671875" style="4" hidden="1" customWidth="1"/>
    <col min="7" max="7" width="3.88671875" style="4" hidden="1" customWidth="1"/>
    <col min="8" max="8" width="5.109375" style="4" customWidth="1"/>
    <col min="9" max="9" width="22.88671875" style="4" bestFit="1" customWidth="1"/>
    <col min="10" max="10" width="18.44140625" style="4" customWidth="1"/>
    <col min="11" max="11" width="15.5546875" style="4" bestFit="1" customWidth="1"/>
    <col min="12" max="12" width="14.6640625" style="4" bestFit="1" customWidth="1"/>
    <col min="13" max="16" width="14.6640625" style="4" customWidth="1"/>
    <col min="17" max="17" width="9.109375" style="4"/>
    <col min="18" max="19" width="19.88671875" style="4" customWidth="1"/>
    <col min="20" max="20" width="9.109375" style="4" customWidth="1"/>
    <col min="21" max="21" width="16.6640625" style="4" customWidth="1"/>
    <col min="22" max="22" width="20.33203125" style="4" customWidth="1"/>
    <col min="23" max="23" width="15" style="4" bestFit="1" customWidth="1"/>
    <col min="24" max="16384" width="9.109375" style="4"/>
  </cols>
  <sheetData>
    <row r="1" spans="1:23" ht="15" thickBot="1" x14ac:dyDescent="0.35">
      <c r="A1" s="13"/>
      <c r="B1" s="12" t="s">
        <v>0</v>
      </c>
      <c r="C1" s="3" t="s">
        <v>1604</v>
      </c>
      <c r="D1" s="3" t="s">
        <v>1605</v>
      </c>
      <c r="E1" s="3" t="s">
        <v>1</v>
      </c>
      <c r="F1" s="3"/>
      <c r="G1" s="3"/>
      <c r="H1" s="3"/>
      <c r="I1" s="3" t="s">
        <v>22</v>
      </c>
      <c r="J1" s="3" t="s">
        <v>2182</v>
      </c>
      <c r="K1" s="1" t="s">
        <v>1632</v>
      </c>
      <c r="L1" s="1" t="s">
        <v>1631</v>
      </c>
      <c r="M1" s="7" t="s">
        <v>1646</v>
      </c>
      <c r="N1" s="7" t="s">
        <v>1647</v>
      </c>
      <c r="O1" s="7" t="s">
        <v>2276</v>
      </c>
      <c r="P1" s="7" t="s">
        <v>2277</v>
      </c>
      <c r="Q1" s="4" t="s">
        <v>44</v>
      </c>
      <c r="R1" s="4" t="s">
        <v>2278</v>
      </c>
      <c r="S1" s="4" t="s">
        <v>2279</v>
      </c>
      <c r="T1" s="4" t="s">
        <v>1634</v>
      </c>
      <c r="U1" s="4" t="s">
        <v>45</v>
      </c>
      <c r="V1" s="4" t="s">
        <v>1670</v>
      </c>
    </row>
    <row r="2" spans="1:23" s="10" customFormat="1" x14ac:dyDescent="0.3">
      <c r="A2" s="220" t="s">
        <v>46</v>
      </c>
      <c r="B2" s="8" t="s">
        <v>2</v>
      </c>
      <c r="C2" s="8" t="s">
        <v>30</v>
      </c>
      <c r="D2" s="8" t="s">
        <v>1395</v>
      </c>
      <c r="E2" s="9" t="s">
        <v>23</v>
      </c>
      <c r="F2" s="8" t="s">
        <v>24</v>
      </c>
      <c r="G2" s="8" t="s">
        <v>25</v>
      </c>
      <c r="H2" s="8" t="s">
        <v>26</v>
      </c>
      <c r="I2" s="8">
        <f>IF(H2="day",(E2*365*2),(E2*52*2))</f>
        <v>1460</v>
      </c>
      <c r="J2" s="36">
        <f>'CO2 calculations'!J3*I2</f>
        <v>3174040</v>
      </c>
      <c r="K2" s="36">
        <f>'CO2 calculations'!K3</f>
        <v>8348.16</v>
      </c>
      <c r="L2" s="36">
        <f>K2*I2</f>
        <v>12188313.6</v>
      </c>
      <c r="M2" s="36">
        <f t="shared" ref="M2:M22" si="0">L2*(3.16/3.84)</f>
        <v>10029966.4</v>
      </c>
      <c r="N2" s="36">
        <f t="shared" ref="N2:N22" si="1">L2-M2</f>
        <v>2158347.1999999993</v>
      </c>
      <c r="O2" s="36">
        <f>R2/'CO2 calculations'!C3</f>
        <v>219000.00000000003</v>
      </c>
      <c r="P2" s="36">
        <f>'Aircraft Data'!$J$4*I2</f>
        <v>262800</v>
      </c>
      <c r="Q2" s="76">
        <f>'Aircraft Data'!$J$6*'CO2 calculations'!C3</f>
        <v>55560.000000000007</v>
      </c>
      <c r="R2" s="76">
        <f>Q2*I2</f>
        <v>81117600.000000015</v>
      </c>
      <c r="S2" s="76"/>
      <c r="T2" s="74">
        <f>Q2*0.8</f>
        <v>44448.000000000007</v>
      </c>
      <c r="U2" s="76">
        <f>R2*0.8</f>
        <v>64894080.000000015</v>
      </c>
      <c r="V2" s="80">
        <f>'CO2 calculations'!AV3</f>
        <v>2826.2000000000003</v>
      </c>
      <c r="W2" s="10">
        <f>V2*I2</f>
        <v>4126252.0000000005</v>
      </c>
    </row>
    <row r="3" spans="1:23" x14ac:dyDescent="0.3">
      <c r="A3" s="221"/>
      <c r="B3" s="5" t="s">
        <v>3</v>
      </c>
      <c r="C3" s="5" t="s">
        <v>36</v>
      </c>
      <c r="D3" s="5" t="s">
        <v>1424</v>
      </c>
      <c r="E3" s="6">
        <v>1</v>
      </c>
      <c r="F3" s="5" t="s">
        <v>24</v>
      </c>
      <c r="G3" s="5" t="s">
        <v>25</v>
      </c>
      <c r="H3" s="5" t="s">
        <v>26</v>
      </c>
      <c r="I3" s="5">
        <f t="shared" ref="I3:I21" si="2">IF(H3="day",(E3*365*2),(E3*52*2))</f>
        <v>730</v>
      </c>
      <c r="J3" s="38">
        <f>'CO2 calculations'!J4*I3</f>
        <v>2097436</v>
      </c>
      <c r="K3" s="40">
        <f>'CO2 calculations'!K4</f>
        <v>11033.088</v>
      </c>
      <c r="L3" s="40">
        <f>K3*I3</f>
        <v>8054154.2400000002</v>
      </c>
      <c r="M3" s="38">
        <f t="shared" si="0"/>
        <v>6627897.7600000007</v>
      </c>
      <c r="N3" s="38">
        <f t="shared" si="1"/>
        <v>1426256.4799999995</v>
      </c>
      <c r="O3" s="36">
        <f>R3/'CO2 calculations'!C4</f>
        <v>109500.00000000001</v>
      </c>
      <c r="P3" s="38">
        <f>'Aircraft Data'!$J$4*I3</f>
        <v>131400</v>
      </c>
      <c r="Q3" s="51">
        <f>'Aircraft Data'!$J$6*'CO2 calculations'!C4</f>
        <v>73061.400000000009</v>
      </c>
      <c r="R3" s="51">
        <f>Q3*I3</f>
        <v>53334822.000000007</v>
      </c>
      <c r="S3" s="51"/>
      <c r="T3" s="75">
        <f>Q3*0.8</f>
        <v>58449.12000000001</v>
      </c>
      <c r="U3" s="51">
        <f t="shared" ref="U3:U15" si="3">R3*0.8</f>
        <v>42667857.600000009</v>
      </c>
      <c r="V3" s="81">
        <f>'CO2 calculations'!AV4</f>
        <v>3735.16</v>
      </c>
      <c r="W3" s="4">
        <f t="shared" ref="W3:W21" si="4">V3*I3</f>
        <v>2726666.8</v>
      </c>
    </row>
    <row r="4" spans="1:23" s="10" customFormat="1" x14ac:dyDescent="0.3">
      <c r="A4" s="221"/>
      <c r="B4" s="8" t="s">
        <v>4</v>
      </c>
      <c r="C4" s="8" t="s">
        <v>1603</v>
      </c>
      <c r="D4" s="8" t="s">
        <v>1114</v>
      </c>
      <c r="E4" s="9" t="s">
        <v>27</v>
      </c>
      <c r="F4" s="8" t="s">
        <v>24</v>
      </c>
      <c r="G4" s="8" t="s">
        <v>25</v>
      </c>
      <c r="H4" s="8" t="s">
        <v>28</v>
      </c>
      <c r="I4" s="8">
        <f t="shared" si="2"/>
        <v>312</v>
      </c>
      <c r="J4" s="36">
        <f>'CO2 calculations'!J5*I4</f>
        <v>1441533.6</v>
      </c>
      <c r="K4" s="36">
        <f>'CO2 calculations'!K5</f>
        <v>17741.952000000001</v>
      </c>
      <c r="L4" s="36">
        <f t="shared" ref="L4:L15" si="5">K4*I4</f>
        <v>5535489.0240000002</v>
      </c>
      <c r="M4" s="36">
        <f t="shared" si="0"/>
        <v>4555246.1760000009</v>
      </c>
      <c r="N4" s="36">
        <f t="shared" si="1"/>
        <v>980242.8479999993</v>
      </c>
      <c r="O4" s="36">
        <f>R4/'CO2 calculations'!C5</f>
        <v>46800.000000000007</v>
      </c>
      <c r="P4" s="36">
        <f>'Aircraft Data'!$J$4*I4</f>
        <v>56160</v>
      </c>
      <c r="Q4" s="76">
        <f>'Aircraft Data'!$J$6*'CO2 calculations'!C5</f>
        <v>172791.6</v>
      </c>
      <c r="R4" s="76">
        <f t="shared" ref="R4:R14" si="6">Q4*I4</f>
        <v>53910979.200000003</v>
      </c>
      <c r="S4" s="76"/>
      <c r="T4" s="74">
        <f t="shared" ref="T4:T15" si="7">Q4*0.8</f>
        <v>138233.28</v>
      </c>
      <c r="U4" s="76">
        <f t="shared" si="3"/>
        <v>43128783.360000007</v>
      </c>
      <c r="V4" s="80">
        <f>'CO2 calculations'!AV5</f>
        <v>6006.39</v>
      </c>
      <c r="W4" s="10">
        <f t="shared" si="4"/>
        <v>1873993.6800000002</v>
      </c>
    </row>
    <row r="5" spans="1:23" x14ac:dyDescent="0.3">
      <c r="A5" s="221"/>
      <c r="B5" s="5" t="s">
        <v>5</v>
      </c>
      <c r="C5" s="5" t="s">
        <v>1606</v>
      </c>
      <c r="D5" s="5" t="s">
        <v>1317</v>
      </c>
      <c r="E5" s="6" t="s">
        <v>27</v>
      </c>
      <c r="F5" s="5" t="s">
        <v>24</v>
      </c>
      <c r="G5" s="5" t="s">
        <v>25</v>
      </c>
      <c r="H5" s="5" t="s">
        <v>28</v>
      </c>
      <c r="I5" s="5">
        <f t="shared" si="2"/>
        <v>312</v>
      </c>
      <c r="J5" s="40">
        <f>'CO2 calculations'!J6*I5</f>
        <v>930454.2</v>
      </c>
      <c r="K5" s="40">
        <f>'CO2 calculations'!K6</f>
        <v>11451.743999999999</v>
      </c>
      <c r="L5" s="40">
        <f t="shared" si="5"/>
        <v>3572944.1279999996</v>
      </c>
      <c r="M5" s="38">
        <f t="shared" si="0"/>
        <v>2940235.2719999999</v>
      </c>
      <c r="N5" s="38">
        <f t="shared" si="1"/>
        <v>632708.85599999968</v>
      </c>
      <c r="O5" s="36">
        <f>R5/'CO2 calculations'!C6</f>
        <v>46800</v>
      </c>
      <c r="P5" s="38">
        <f>'Aircraft Data'!$J$4*I5</f>
        <v>56160</v>
      </c>
      <c r="Q5" s="51">
        <f>'Aircraft Data'!$J$6*'CO2 calculations'!C6</f>
        <v>95007.6</v>
      </c>
      <c r="R5" s="51">
        <f t="shared" si="6"/>
        <v>29642371.200000003</v>
      </c>
      <c r="S5" s="51"/>
      <c r="T5" s="75">
        <f t="shared" si="7"/>
        <v>76006.080000000002</v>
      </c>
      <c r="U5" s="51">
        <f t="shared" si="3"/>
        <v>23713896.960000005</v>
      </c>
      <c r="V5" s="81">
        <f>'CO2 calculations'!AV6</f>
        <v>3876.8924999999999</v>
      </c>
      <c r="W5" s="4">
        <f t="shared" si="4"/>
        <v>1209590.46</v>
      </c>
    </row>
    <row r="6" spans="1:23" s="10" customFormat="1" x14ac:dyDescent="0.3">
      <c r="A6" s="221"/>
      <c r="B6" s="8" t="s">
        <v>6</v>
      </c>
      <c r="C6" s="8" t="s">
        <v>1607</v>
      </c>
      <c r="D6" s="8" t="s">
        <v>1524</v>
      </c>
      <c r="E6" s="9">
        <v>1</v>
      </c>
      <c r="F6" s="8" t="s">
        <v>24</v>
      </c>
      <c r="G6" s="8" t="s">
        <v>25</v>
      </c>
      <c r="H6" s="8" t="s">
        <v>26</v>
      </c>
      <c r="I6" s="8">
        <f t="shared" si="2"/>
        <v>730</v>
      </c>
      <c r="J6" s="36">
        <f>'CO2 calculations'!J7*I6</f>
        <v>2045989.25</v>
      </c>
      <c r="K6" s="36">
        <f>'CO2 calculations'!K7</f>
        <v>10762.464</v>
      </c>
      <c r="L6" s="36">
        <f t="shared" si="5"/>
        <v>7856598.7199999997</v>
      </c>
      <c r="M6" s="36">
        <f t="shared" si="0"/>
        <v>6465326.0300000003</v>
      </c>
      <c r="N6" s="36">
        <f t="shared" si="1"/>
        <v>1391272.6899999995</v>
      </c>
      <c r="O6" s="36">
        <f>R6/'CO2 calculations'!C7</f>
        <v>109500</v>
      </c>
      <c r="P6" s="36">
        <f>'Aircraft Data'!$J$4*I6</f>
        <v>131400</v>
      </c>
      <c r="Q6" s="76">
        <f>'Aircraft Data'!$J$6*'CO2 calculations'!C7</f>
        <v>88896</v>
      </c>
      <c r="R6" s="76">
        <f t="shared" si="6"/>
        <v>64894080</v>
      </c>
      <c r="S6" s="76"/>
      <c r="T6" s="74">
        <f t="shared" si="7"/>
        <v>71116.800000000003</v>
      </c>
      <c r="U6" s="76">
        <f t="shared" si="3"/>
        <v>51915264</v>
      </c>
      <c r="V6" s="80">
        <f>'CO2 calculations'!AV7</f>
        <v>3643.5425</v>
      </c>
      <c r="W6" s="10">
        <f t="shared" si="4"/>
        <v>2659786.0249999999</v>
      </c>
    </row>
    <row r="7" spans="1:23" x14ac:dyDescent="0.3">
      <c r="A7" s="221"/>
      <c r="B7" s="5" t="s">
        <v>7</v>
      </c>
      <c r="C7" s="5" t="s">
        <v>32</v>
      </c>
      <c r="D7" s="5" t="s">
        <v>1513</v>
      </c>
      <c r="E7" s="6" t="s">
        <v>27</v>
      </c>
      <c r="F7" s="5" t="s">
        <v>24</v>
      </c>
      <c r="G7" s="5" t="s">
        <v>25</v>
      </c>
      <c r="H7" s="5" t="s">
        <v>28</v>
      </c>
      <c r="I7" s="5">
        <f t="shared" si="2"/>
        <v>312</v>
      </c>
      <c r="J7" s="40">
        <f>'CO2 calculations'!J8*I7</f>
        <v>663382.19999999995</v>
      </c>
      <c r="K7" s="40">
        <f>'CO2 calculations'!K8</f>
        <v>8164.7039999999997</v>
      </c>
      <c r="L7" s="40">
        <f t="shared" si="5"/>
        <v>2547387.648</v>
      </c>
      <c r="M7" s="38">
        <f t="shared" si="0"/>
        <v>2096287.7520000003</v>
      </c>
      <c r="N7" s="38">
        <f t="shared" si="1"/>
        <v>451099.89599999972</v>
      </c>
      <c r="O7" s="36">
        <f>R7/'CO2 calculations'!C8</f>
        <v>46800.000000000007</v>
      </c>
      <c r="P7" s="38">
        <f>'Aircraft Data'!$J$4*I7</f>
        <v>56160</v>
      </c>
      <c r="Q7" s="51">
        <f>'Aircraft Data'!$J$6*'CO2 calculations'!C8</f>
        <v>56949.000000000007</v>
      </c>
      <c r="R7" s="51">
        <f t="shared" si="6"/>
        <v>17768088.000000004</v>
      </c>
      <c r="S7" s="51"/>
      <c r="T7" s="75">
        <f t="shared" si="7"/>
        <v>45559.200000000012</v>
      </c>
      <c r="U7" s="51">
        <f t="shared" si="3"/>
        <v>14214470.400000004</v>
      </c>
      <c r="V7" s="81">
        <f>'CO2 calculations'!AV8</f>
        <v>2764.0925000000002</v>
      </c>
      <c r="W7" s="4">
        <f t="shared" si="4"/>
        <v>862396.8600000001</v>
      </c>
    </row>
    <row r="8" spans="1:23" s="10" customFormat="1" x14ac:dyDescent="0.3">
      <c r="A8" s="221"/>
      <c r="B8" s="8" t="s">
        <v>8</v>
      </c>
      <c r="C8" s="8" t="s">
        <v>1602</v>
      </c>
      <c r="D8" s="8" t="s">
        <v>1511</v>
      </c>
      <c r="E8" s="9" t="s">
        <v>27</v>
      </c>
      <c r="F8" s="8" t="s">
        <v>24</v>
      </c>
      <c r="G8" s="8" t="s">
        <v>25</v>
      </c>
      <c r="H8" s="8" t="s">
        <v>28</v>
      </c>
      <c r="I8" s="8">
        <f t="shared" si="2"/>
        <v>312</v>
      </c>
      <c r="J8" s="36">
        <f>'CO2 calculations'!J9*I8</f>
        <v>463741.19999999995</v>
      </c>
      <c r="K8" s="36">
        <f>'CO2 calculations'!K9</f>
        <v>5707.5839999999998</v>
      </c>
      <c r="L8" s="36">
        <f t="shared" si="5"/>
        <v>1780766.2079999999</v>
      </c>
      <c r="M8" s="36">
        <f t="shared" si="0"/>
        <v>1465422.192</v>
      </c>
      <c r="N8" s="36">
        <f t="shared" si="1"/>
        <v>315344.01599999983</v>
      </c>
      <c r="O8" s="36">
        <f>R8/'CO2 calculations'!C9</f>
        <v>46800.000000000007</v>
      </c>
      <c r="P8" s="36">
        <f>'Aircraft Data'!$J$4*I8</f>
        <v>56160</v>
      </c>
      <c r="Q8" s="76">
        <f>'Aircraft Data'!$J$6*'CO2 calculations'!C9</f>
        <v>34447.200000000004</v>
      </c>
      <c r="R8" s="76">
        <f t="shared" si="6"/>
        <v>10747526.400000002</v>
      </c>
      <c r="S8" s="76"/>
      <c r="T8" s="74">
        <f t="shared" si="7"/>
        <v>27557.760000000006</v>
      </c>
      <c r="U8" s="76">
        <f t="shared" si="3"/>
        <v>8598021.1200000029</v>
      </c>
      <c r="V8" s="80">
        <f>'CO2 calculations'!AV9</f>
        <v>1932.2549999999999</v>
      </c>
      <c r="W8" s="10">
        <f t="shared" si="4"/>
        <v>602863.55999999994</v>
      </c>
    </row>
    <row r="9" spans="1:23" x14ac:dyDescent="0.3">
      <c r="A9" s="221"/>
      <c r="B9" s="5" t="s">
        <v>9</v>
      </c>
      <c r="C9" s="5" t="s">
        <v>39</v>
      </c>
      <c r="D9" s="5" t="s">
        <v>1506</v>
      </c>
      <c r="E9" s="6">
        <v>1</v>
      </c>
      <c r="F9" s="5" t="s">
        <v>24</v>
      </c>
      <c r="G9" s="5" t="s">
        <v>25</v>
      </c>
      <c r="H9" s="5" t="s">
        <v>26</v>
      </c>
      <c r="I9" s="5">
        <f t="shared" si="2"/>
        <v>730</v>
      </c>
      <c r="J9" s="40">
        <f>'CO2 calculations'!J10*I9</f>
        <v>2197865.75</v>
      </c>
      <c r="K9" s="40">
        <f>'CO2 calculations'!K10</f>
        <v>11561.376</v>
      </c>
      <c r="L9" s="40">
        <f t="shared" si="5"/>
        <v>8439804.4800000004</v>
      </c>
      <c r="M9" s="38">
        <f t="shared" si="0"/>
        <v>6945255.7700000014</v>
      </c>
      <c r="N9" s="38">
        <f t="shared" si="1"/>
        <v>1494548.709999999</v>
      </c>
      <c r="O9" s="36">
        <f>R9/'CO2 calculations'!C10</f>
        <v>109500.00000000001</v>
      </c>
      <c r="P9" s="38">
        <f>'Aircraft Data'!$J$4*I9</f>
        <v>131400</v>
      </c>
      <c r="Q9" s="51">
        <f>'Aircraft Data'!$J$6*'CO2 calculations'!C10</f>
        <v>99730.200000000012</v>
      </c>
      <c r="R9" s="51">
        <f t="shared" si="6"/>
        <v>72803046.000000015</v>
      </c>
      <c r="S9" s="51"/>
      <c r="T9" s="75">
        <f t="shared" si="7"/>
        <v>79784.160000000018</v>
      </c>
      <c r="U9" s="51">
        <f t="shared" si="3"/>
        <v>58242436.800000012</v>
      </c>
      <c r="V9" s="81">
        <f>'CO2 calculations'!AV10</f>
        <v>3914.0075000000002</v>
      </c>
      <c r="W9" s="4">
        <f t="shared" si="4"/>
        <v>2857225.4750000001</v>
      </c>
    </row>
    <row r="10" spans="1:23" s="10" customFormat="1" x14ac:dyDescent="0.3">
      <c r="A10" s="221"/>
      <c r="B10" s="8" t="s">
        <v>10</v>
      </c>
      <c r="C10" s="8" t="s">
        <v>31</v>
      </c>
      <c r="D10" s="8" t="s">
        <v>741</v>
      </c>
      <c r="E10" s="9" t="s">
        <v>23</v>
      </c>
      <c r="F10" s="8" t="s">
        <v>24</v>
      </c>
      <c r="G10" s="8" t="s">
        <v>25</v>
      </c>
      <c r="H10" s="8" t="s">
        <v>26</v>
      </c>
      <c r="I10" s="8">
        <f t="shared" si="2"/>
        <v>1460</v>
      </c>
      <c r="J10" s="36">
        <f>'CO2 calculations'!J11*I10</f>
        <v>3321098.5</v>
      </c>
      <c r="K10" s="36">
        <f>'CO2 calculations'!K11</f>
        <v>8734.9439999999995</v>
      </c>
      <c r="L10" s="36">
        <f t="shared" si="5"/>
        <v>12753018.239999998</v>
      </c>
      <c r="M10" s="36">
        <f t="shared" si="0"/>
        <v>10494671.26</v>
      </c>
      <c r="N10" s="36">
        <f t="shared" si="1"/>
        <v>2258346.9799999986</v>
      </c>
      <c r="O10" s="36">
        <f>R10/'CO2 calculations'!C11</f>
        <v>219000</v>
      </c>
      <c r="P10" s="36">
        <f>'Aircraft Data'!$J$4*I10</f>
        <v>262800</v>
      </c>
      <c r="Q10" s="76">
        <f>'Aircraft Data'!$J$6*'CO2 calculations'!C11</f>
        <v>59727</v>
      </c>
      <c r="R10" s="76">
        <f t="shared" si="6"/>
        <v>87201420</v>
      </c>
      <c r="S10" s="76"/>
      <c r="T10" s="74">
        <f t="shared" si="7"/>
        <v>47781.600000000006</v>
      </c>
      <c r="U10" s="76">
        <f t="shared" si="3"/>
        <v>69761136</v>
      </c>
      <c r="V10" s="80">
        <f>'CO2 calculations'!AV11</f>
        <v>2957.1424999999999</v>
      </c>
      <c r="W10" s="10">
        <f t="shared" si="4"/>
        <v>4317428.05</v>
      </c>
    </row>
    <row r="11" spans="1:23" x14ac:dyDescent="0.3">
      <c r="A11" s="221"/>
      <c r="B11" s="5" t="s">
        <v>11</v>
      </c>
      <c r="C11" s="5" t="s">
        <v>40</v>
      </c>
      <c r="D11" s="5" t="s">
        <v>763</v>
      </c>
      <c r="E11" s="6" t="s">
        <v>27</v>
      </c>
      <c r="F11" s="5" t="s">
        <v>24</v>
      </c>
      <c r="G11" s="5" t="s">
        <v>25</v>
      </c>
      <c r="H11" s="5" t="s">
        <v>28</v>
      </c>
      <c r="I11" s="5">
        <f t="shared" si="2"/>
        <v>312</v>
      </c>
      <c r="J11" s="40">
        <f>'CO2 calculations'!J12*I11</f>
        <v>1319034.6000000001</v>
      </c>
      <c r="K11" s="40">
        <f>'CO2 calculations'!K12</f>
        <v>16234.272000000001</v>
      </c>
      <c r="L11" s="40">
        <f t="shared" si="5"/>
        <v>5065092.8640000001</v>
      </c>
      <c r="M11" s="38">
        <f t="shared" si="0"/>
        <v>4168149.3360000006</v>
      </c>
      <c r="N11" s="38">
        <f t="shared" si="1"/>
        <v>896943.52799999947</v>
      </c>
      <c r="O11" s="36">
        <f>R11/'CO2 calculations'!C12</f>
        <v>46800</v>
      </c>
      <c r="P11" s="38">
        <f>'Aircraft Data'!$J$4*I11</f>
        <v>56160</v>
      </c>
      <c r="Q11" s="51">
        <f>'Aircraft Data'!$J$6*'CO2 calculations'!C12</f>
        <v>148067.40000000002</v>
      </c>
      <c r="R11" s="51">
        <f t="shared" si="6"/>
        <v>46197028.800000004</v>
      </c>
      <c r="S11" s="51"/>
      <c r="T11" s="75">
        <f t="shared" si="7"/>
        <v>118453.92000000003</v>
      </c>
      <c r="U11" s="51">
        <f t="shared" si="3"/>
        <v>36957623.040000007</v>
      </c>
      <c r="V11" s="81">
        <f>'CO2 calculations'!AV12</f>
        <v>5495.9775000000009</v>
      </c>
      <c r="W11" s="4">
        <f t="shared" si="4"/>
        <v>1714744.9800000002</v>
      </c>
    </row>
    <row r="12" spans="1:23" s="10" customFormat="1" x14ac:dyDescent="0.3">
      <c r="A12" s="221"/>
      <c r="B12" s="8" t="s">
        <v>12</v>
      </c>
      <c r="C12" s="8" t="s">
        <v>1600</v>
      </c>
      <c r="D12" s="8" t="s">
        <v>577</v>
      </c>
      <c r="E12" s="9" t="s">
        <v>27</v>
      </c>
      <c r="F12" s="8" t="s">
        <v>24</v>
      </c>
      <c r="G12" s="8" t="s">
        <v>25</v>
      </c>
      <c r="H12" s="8" t="s">
        <v>28</v>
      </c>
      <c r="I12" s="8">
        <f t="shared" si="2"/>
        <v>312</v>
      </c>
      <c r="J12" s="36">
        <f>'CO2 calculations'!J13*I12</f>
        <v>1119495</v>
      </c>
      <c r="K12" s="36">
        <f>'CO2 calculations'!K13</f>
        <v>13778.4</v>
      </c>
      <c r="L12" s="36">
        <f t="shared" si="5"/>
        <v>4298860.8</v>
      </c>
      <c r="M12" s="36">
        <f t="shared" si="0"/>
        <v>3537604.2</v>
      </c>
      <c r="N12" s="36">
        <f t="shared" si="1"/>
        <v>761256.59999999963</v>
      </c>
      <c r="O12" s="36">
        <f>R12/'CO2 calculations'!C13</f>
        <v>46800</v>
      </c>
      <c r="P12" s="36">
        <f>'Aircraft Data'!$J$4*I12</f>
        <v>56160</v>
      </c>
      <c r="Q12" s="76">
        <f>'Aircraft Data'!$J$6*'CO2 calculations'!C13</f>
        <v>119454</v>
      </c>
      <c r="R12" s="76">
        <f t="shared" si="6"/>
        <v>37269648</v>
      </c>
      <c r="S12" s="76"/>
      <c r="T12" s="74">
        <f t="shared" si="7"/>
        <v>95563.200000000012</v>
      </c>
      <c r="U12" s="76">
        <f t="shared" si="3"/>
        <v>29815718.400000002</v>
      </c>
      <c r="V12" s="80">
        <f>'CO2 calculations'!AV13</f>
        <v>4664.5625</v>
      </c>
      <c r="W12" s="10">
        <f t="shared" si="4"/>
        <v>1455343.5</v>
      </c>
    </row>
    <row r="13" spans="1:23" x14ac:dyDescent="0.3">
      <c r="A13" s="221"/>
      <c r="B13" s="5" t="s">
        <v>13</v>
      </c>
      <c r="C13" s="5" t="s">
        <v>33</v>
      </c>
      <c r="D13" s="5" t="s">
        <v>536</v>
      </c>
      <c r="E13" s="6">
        <v>1</v>
      </c>
      <c r="F13" s="5" t="s">
        <v>24</v>
      </c>
      <c r="G13" s="5" t="s">
        <v>25</v>
      </c>
      <c r="H13" s="5" t="s">
        <v>26</v>
      </c>
      <c r="I13" s="5">
        <f t="shared" si="2"/>
        <v>730</v>
      </c>
      <c r="J13" s="40">
        <f>'CO2 calculations'!J14*I13</f>
        <v>3785341.9999999995</v>
      </c>
      <c r="K13" s="40">
        <f>'CO2 calculations'!K14</f>
        <v>19911.935999999998</v>
      </c>
      <c r="L13" s="40">
        <f>K13*I13</f>
        <v>14535713.279999999</v>
      </c>
      <c r="M13" s="38">
        <f t="shared" si="0"/>
        <v>11961680.720000001</v>
      </c>
      <c r="N13" s="38">
        <f t="shared" si="1"/>
        <v>2574032.5599999987</v>
      </c>
      <c r="O13" s="36">
        <f>R13/'CO2 calculations'!C14</f>
        <v>109499.99999999999</v>
      </c>
      <c r="P13" s="38">
        <f>'Aircraft Data'!$J$4*I13</f>
        <v>131400</v>
      </c>
      <c r="Q13" s="51">
        <f>'Aircraft Data'!$J$6*'CO2 calculations'!C14</f>
        <v>194460</v>
      </c>
      <c r="R13" s="51">
        <f t="shared" si="6"/>
        <v>141955800</v>
      </c>
      <c r="S13" s="51"/>
      <c r="T13" s="75">
        <f t="shared" si="7"/>
        <v>155568</v>
      </c>
      <c r="U13" s="51">
        <f t="shared" si="3"/>
        <v>113564640</v>
      </c>
      <c r="V13" s="81">
        <f>'CO2 calculations'!AV14</f>
        <v>6741.0199999999995</v>
      </c>
      <c r="W13" s="4">
        <f t="shared" si="4"/>
        <v>4920944.5999999996</v>
      </c>
    </row>
    <row r="14" spans="1:23" s="10" customFormat="1" x14ac:dyDescent="0.3">
      <c r="A14" s="221"/>
      <c r="B14" s="8" t="s">
        <v>14</v>
      </c>
      <c r="C14" s="8" t="s">
        <v>35</v>
      </c>
      <c r="D14" s="8" t="s">
        <v>854</v>
      </c>
      <c r="E14" s="9">
        <v>1</v>
      </c>
      <c r="F14" s="8" t="s">
        <v>24</v>
      </c>
      <c r="G14" s="8" t="s">
        <v>25</v>
      </c>
      <c r="H14" s="8" t="s">
        <v>26</v>
      </c>
      <c r="I14" s="8">
        <f t="shared" si="2"/>
        <v>730</v>
      </c>
      <c r="J14" s="36">
        <f>'CO2 calculations'!J15*I14</f>
        <v>4560401.25</v>
      </c>
      <c r="K14" s="36">
        <f>'CO2 calculations'!K15</f>
        <v>23988.959999999999</v>
      </c>
      <c r="L14" s="36">
        <f t="shared" si="5"/>
        <v>17511940.800000001</v>
      </c>
      <c r="M14" s="36">
        <f t="shared" si="0"/>
        <v>14410867.950000001</v>
      </c>
      <c r="N14" s="36">
        <f t="shared" si="1"/>
        <v>3101072.8499999996</v>
      </c>
      <c r="O14" s="36">
        <f>R14/'CO2 calculations'!C15</f>
        <v>109500</v>
      </c>
      <c r="P14" s="36">
        <f>'Aircraft Data'!$J$4*I14</f>
        <v>131400</v>
      </c>
      <c r="Q14" s="76">
        <f>'Aircraft Data'!$J$6*'CO2 calculations'!C15</f>
        <v>219184.2</v>
      </c>
      <c r="R14" s="76">
        <f t="shared" si="6"/>
        <v>160004466</v>
      </c>
      <c r="S14" s="76"/>
      <c r="T14" s="74">
        <f t="shared" si="7"/>
        <v>175347.36000000002</v>
      </c>
      <c r="U14" s="76">
        <f t="shared" si="3"/>
        <v>128003572.80000001</v>
      </c>
      <c r="V14" s="80">
        <f>'CO2 calculations'!AV15</f>
        <v>8121.2625000000007</v>
      </c>
      <c r="W14" s="10">
        <f t="shared" si="4"/>
        <v>5928521.6250000009</v>
      </c>
    </row>
    <row r="15" spans="1:23" s="47" customFormat="1" ht="15" thickBot="1" x14ac:dyDescent="0.35">
      <c r="A15" s="222"/>
      <c r="B15" s="44" t="s">
        <v>15</v>
      </c>
      <c r="C15" s="44" t="s">
        <v>34</v>
      </c>
      <c r="D15" s="44" t="s">
        <v>871</v>
      </c>
      <c r="E15" s="45">
        <v>1</v>
      </c>
      <c r="F15" s="44" t="s">
        <v>24</v>
      </c>
      <c r="G15" s="44" t="s">
        <v>25</v>
      </c>
      <c r="H15" s="44" t="s">
        <v>26</v>
      </c>
      <c r="I15" s="44">
        <f t="shared" si="2"/>
        <v>730</v>
      </c>
      <c r="J15" s="40">
        <f>'CO2 calculations'!J16*I15</f>
        <v>3846224</v>
      </c>
      <c r="K15" s="46">
        <f>'CO2 calculations'!K16</f>
        <v>20232.191999999999</v>
      </c>
      <c r="L15" s="46">
        <f t="shared" si="5"/>
        <v>14769500.16</v>
      </c>
      <c r="M15" s="38">
        <f t="shared" si="0"/>
        <v>12154067.840000002</v>
      </c>
      <c r="N15" s="38">
        <f t="shared" si="1"/>
        <v>2615432.3199999984</v>
      </c>
      <c r="O15" s="36">
        <f>R15/'CO2 calculations'!C16</f>
        <v>109500.00000000001</v>
      </c>
      <c r="P15" s="38">
        <f>'Aircraft Data'!$J$4*I15</f>
        <v>131400</v>
      </c>
      <c r="Q15" s="51">
        <f>'Aircraft Data'!$J$6*'CO2 calculations'!C16</f>
        <v>186126.00000000003</v>
      </c>
      <c r="R15" s="77">
        <f>Q15*I15</f>
        <v>135871980.00000003</v>
      </c>
      <c r="S15" s="77"/>
      <c r="T15" s="78">
        <f t="shared" si="7"/>
        <v>148900.80000000002</v>
      </c>
      <c r="U15" s="77">
        <f t="shared" si="3"/>
        <v>108697584.00000003</v>
      </c>
      <c r="V15" s="81">
        <f>'CO2 calculations'!AV16</f>
        <v>6849.4400000000005</v>
      </c>
      <c r="W15" s="4">
        <f t="shared" si="4"/>
        <v>5000091.2</v>
      </c>
    </row>
    <row r="16" spans="1:23" s="10" customFormat="1" x14ac:dyDescent="0.3">
      <c r="A16" s="223" t="s">
        <v>47</v>
      </c>
      <c r="B16" s="8" t="s">
        <v>16</v>
      </c>
      <c r="C16" s="8" t="s">
        <v>1608</v>
      </c>
      <c r="D16" s="8" t="s">
        <v>163</v>
      </c>
      <c r="E16" s="9" t="s">
        <v>27</v>
      </c>
      <c r="F16" s="8" t="s">
        <v>24</v>
      </c>
      <c r="G16" s="8" t="s">
        <v>25</v>
      </c>
      <c r="H16" s="8" t="s">
        <v>28</v>
      </c>
      <c r="I16" s="8">
        <f t="shared" si="2"/>
        <v>312</v>
      </c>
      <c r="J16" s="41">
        <f>'CO2 calculations'!J17*I16</f>
        <v>32445619.439999998</v>
      </c>
      <c r="K16" s="36">
        <f>'CO2 calculations'!K17</f>
        <v>399330.70079999999</v>
      </c>
      <c r="L16" s="36">
        <f t="shared" ref="L16:L21" si="8">K16*I16</f>
        <v>124591178.6496</v>
      </c>
      <c r="M16" s="36">
        <f t="shared" ref="M16:M21" si="9">L16*(3.16/3.84)</f>
        <v>102528157.43040001</v>
      </c>
      <c r="N16" s="36">
        <f t="shared" si="1"/>
        <v>22063021.219199985</v>
      </c>
      <c r="O16" s="36">
        <f>R16/'CO2 calculations'!C17</f>
        <v>93912</v>
      </c>
      <c r="P16" s="38">
        <f>'Aircraft Data'!$J$5*I16</f>
        <v>98280</v>
      </c>
      <c r="Q16" s="76">
        <f>'Aircraft Data'!$J$7*'CO2 calculations'!C17</f>
        <v>3450070.4280000003</v>
      </c>
      <c r="R16" s="76">
        <f>Q16*I16</f>
        <v>1076421973.536</v>
      </c>
      <c r="S16" s="76"/>
      <c r="T16" s="74">
        <f>ROUNDDOWN(Q16*0.8,0)</f>
        <v>2760056</v>
      </c>
      <c r="U16" s="76">
        <f>ROUNDDOWN(R16*0.8,0)</f>
        <v>861137578</v>
      </c>
      <c r="V16" s="82">
        <f>'CO2 calculations'!AV17</f>
        <v>135190.08100000001</v>
      </c>
      <c r="W16" s="10">
        <f t="shared" si="4"/>
        <v>42179305.272</v>
      </c>
    </row>
    <row r="17" spans="1:23" x14ac:dyDescent="0.3">
      <c r="A17" s="223"/>
      <c r="B17" s="5" t="s">
        <v>17</v>
      </c>
      <c r="C17" s="5" t="s">
        <v>37</v>
      </c>
      <c r="D17" s="5" t="s">
        <v>146</v>
      </c>
      <c r="E17" s="6" t="s">
        <v>27</v>
      </c>
      <c r="F17" s="5" t="s">
        <v>24</v>
      </c>
      <c r="G17" s="5" t="s">
        <v>25</v>
      </c>
      <c r="H17" s="5" t="s">
        <v>28</v>
      </c>
      <c r="I17" s="5">
        <f t="shared" si="2"/>
        <v>312</v>
      </c>
      <c r="J17" s="40">
        <f>'CO2 calculations'!J18*I17</f>
        <v>26093836.079999998</v>
      </c>
      <c r="K17" s="40">
        <f>'CO2 calculations'!K18</f>
        <v>321154.9056</v>
      </c>
      <c r="L17" s="40">
        <f t="shared" si="8"/>
        <v>100200330.54719999</v>
      </c>
      <c r="M17" s="40">
        <f t="shared" si="9"/>
        <v>82456522.012800008</v>
      </c>
      <c r="N17" s="38">
        <f t="shared" si="1"/>
        <v>17743808.534399986</v>
      </c>
      <c r="O17" s="36">
        <f>R17/'CO2 calculations'!C18</f>
        <v>93912</v>
      </c>
      <c r="P17" s="38">
        <f>'Aircraft Data'!$J$5*I17</f>
        <v>98280</v>
      </c>
      <c r="Q17" s="76">
        <f>'Aircraft Data'!$J$7*'CO2 calculations'!C18</f>
        <v>2661275.8480000002</v>
      </c>
      <c r="R17" s="51">
        <f>Q17*I17</f>
        <v>830318064.57600009</v>
      </c>
      <c r="S17" s="51"/>
      <c r="T17" s="79">
        <f>ROUNDDOWN(Q17*0.8,0)</f>
        <v>2129020</v>
      </c>
      <c r="U17" s="51">
        <f t="shared" ref="U17:U20" si="10">ROUNDDOWN(R17*0.8,0)</f>
        <v>664254451</v>
      </c>
      <c r="V17" s="83">
        <f>'CO2 calculations'!AV18</f>
        <v>108724.317</v>
      </c>
      <c r="W17" s="4">
        <f t="shared" si="4"/>
        <v>33921986.903999999</v>
      </c>
    </row>
    <row r="18" spans="1:23" s="10" customFormat="1" x14ac:dyDescent="0.3">
      <c r="A18" s="223"/>
      <c r="B18" s="8" t="s">
        <v>18</v>
      </c>
      <c r="C18" s="8" t="s">
        <v>38</v>
      </c>
      <c r="D18" s="8" t="s">
        <v>1610</v>
      </c>
      <c r="E18" s="9" t="s">
        <v>29</v>
      </c>
      <c r="F18" s="8" t="s">
        <v>24</v>
      </c>
      <c r="G18" s="8" t="s">
        <v>25</v>
      </c>
      <c r="H18" s="8" t="s">
        <v>28</v>
      </c>
      <c r="I18" s="8">
        <f>IF(H18="day",(E18*365*2),(E18*52*2))</f>
        <v>104</v>
      </c>
      <c r="J18" s="36">
        <f>'CO2 calculations'!J19*I18</f>
        <v>11296294.880000001</v>
      </c>
      <c r="K18" s="36">
        <f>'CO2 calculations'!K19</f>
        <v>417093.96480000002</v>
      </c>
      <c r="L18" s="36">
        <f t="shared" si="8"/>
        <v>43377772.339200005</v>
      </c>
      <c r="M18" s="36">
        <f t="shared" si="9"/>
        <v>35696291.820800006</v>
      </c>
      <c r="N18" s="36">
        <f t="shared" si="1"/>
        <v>7681480.5183999985</v>
      </c>
      <c r="O18" s="36">
        <f>R18/'CO2 calculations'!C19</f>
        <v>31304</v>
      </c>
      <c r="P18" s="38">
        <f>'Aircraft Data'!$J$5*I18</f>
        <v>32760</v>
      </c>
      <c r="Q18" s="76">
        <f>'Aircraft Data'!$J$7*'CO2 calculations'!C19</f>
        <v>3509160.34</v>
      </c>
      <c r="R18" s="76">
        <f t="shared" ref="R18:R21" si="11">Q18*I18</f>
        <v>364952675.36000001</v>
      </c>
      <c r="S18" s="76"/>
      <c r="T18" s="74">
        <f t="shared" ref="T18:T21" si="12">ROUNDDOWN(Q18*0.8,0)</f>
        <v>2807328</v>
      </c>
      <c r="U18" s="76">
        <f t="shared" si="10"/>
        <v>291962140</v>
      </c>
      <c r="V18" s="82">
        <f>'CO2 calculations'!AV19</f>
        <v>141203.68600000002</v>
      </c>
      <c r="W18" s="10">
        <f t="shared" si="4"/>
        <v>14685183.344000002</v>
      </c>
    </row>
    <row r="19" spans="1:23" x14ac:dyDescent="0.3">
      <c r="A19" s="223"/>
      <c r="B19" s="5" t="s">
        <v>19</v>
      </c>
      <c r="C19" s="5" t="s">
        <v>1609</v>
      </c>
      <c r="D19" s="5" t="s">
        <v>68</v>
      </c>
      <c r="E19" s="6" t="s">
        <v>27</v>
      </c>
      <c r="F19" s="5" t="s">
        <v>24</v>
      </c>
      <c r="G19" s="5" t="s">
        <v>25</v>
      </c>
      <c r="H19" s="5" t="s">
        <v>28</v>
      </c>
      <c r="I19" s="5">
        <f t="shared" si="2"/>
        <v>312</v>
      </c>
      <c r="J19" s="40">
        <f>'CO2 calculations'!J20*I19</f>
        <v>29944034.640000001</v>
      </c>
      <c r="K19" s="40">
        <f>'CO2 calculations'!K20</f>
        <v>368541.96480000002</v>
      </c>
      <c r="L19" s="40">
        <f t="shared" si="8"/>
        <v>114985093.0176</v>
      </c>
      <c r="M19" s="40">
        <f t="shared" si="9"/>
        <v>94623149.462400004</v>
      </c>
      <c r="N19" s="38">
        <f t="shared" si="1"/>
        <v>20361943.555199996</v>
      </c>
      <c r="O19" s="36">
        <f>R19/'CO2 calculations'!C20</f>
        <v>93912</v>
      </c>
      <c r="P19" s="38">
        <f>'Aircraft Data'!$J$5*I19</f>
        <v>98280</v>
      </c>
      <c r="Q19" s="76">
        <f>'Aircraft Data'!$J$7*'CO2 calculations'!C20</f>
        <v>3417738.2120000003</v>
      </c>
      <c r="R19" s="51">
        <f t="shared" si="11"/>
        <v>1066334322.1440001</v>
      </c>
      <c r="S19" s="51"/>
      <c r="T19" s="79">
        <f t="shared" si="12"/>
        <v>2734190</v>
      </c>
      <c r="U19" s="51">
        <f t="shared" si="10"/>
        <v>853067457</v>
      </c>
      <c r="V19" s="83">
        <f>'CO2 calculations'!AV20</f>
        <v>124766.811</v>
      </c>
      <c r="W19" s="4">
        <f t="shared" si="4"/>
        <v>38927245.031999998</v>
      </c>
    </row>
    <row r="20" spans="1:23" s="10" customFormat="1" x14ac:dyDescent="0.3">
      <c r="A20" s="223"/>
      <c r="B20" s="8" t="s">
        <v>20</v>
      </c>
      <c r="C20" s="8" t="s">
        <v>1611</v>
      </c>
      <c r="D20" s="8" t="s">
        <v>1612</v>
      </c>
      <c r="E20" s="9" t="s">
        <v>27</v>
      </c>
      <c r="F20" s="8" t="s">
        <v>24</v>
      </c>
      <c r="G20" s="8" t="s">
        <v>25</v>
      </c>
      <c r="H20" s="8" t="s">
        <v>28</v>
      </c>
      <c r="I20" s="8">
        <f t="shared" si="2"/>
        <v>312</v>
      </c>
      <c r="J20" s="36">
        <f>'CO2 calculations'!J21*I20</f>
        <v>23304150.479999997</v>
      </c>
      <c r="K20" s="36">
        <f>'CO2 calculations'!K21</f>
        <v>286820.31359999994</v>
      </c>
      <c r="L20" s="36">
        <f t="shared" si="8"/>
        <v>89487937.843199983</v>
      </c>
      <c r="M20" s="36">
        <f t="shared" si="9"/>
        <v>73641115.516799986</v>
      </c>
      <c r="N20" s="36">
        <f t="shared" si="1"/>
        <v>15846822.326399997</v>
      </c>
      <c r="O20" s="36">
        <f>R20/'CO2 calculations'!C21</f>
        <v>93912</v>
      </c>
      <c r="P20" s="38">
        <f>'Aircraft Data'!$J$5*I20</f>
        <v>98280</v>
      </c>
      <c r="Q20" s="76">
        <f>'Aircraft Data'!$J$7*'CO2 calculations'!C21</f>
        <v>2773323.7</v>
      </c>
      <c r="R20" s="76">
        <f t="shared" si="11"/>
        <v>865276994.4000001</v>
      </c>
      <c r="S20" s="76"/>
      <c r="T20" s="74">
        <f t="shared" si="12"/>
        <v>2218658</v>
      </c>
      <c r="U20" s="76">
        <f t="shared" si="10"/>
        <v>692221595</v>
      </c>
      <c r="V20" s="82">
        <f>'CO2 calculations'!AV21</f>
        <v>97100.626999999993</v>
      </c>
      <c r="W20" s="10">
        <f t="shared" si="4"/>
        <v>30295395.623999998</v>
      </c>
    </row>
    <row r="21" spans="1:23" s="47" customFormat="1" ht="15" thickBot="1" x14ac:dyDescent="0.35">
      <c r="A21" s="224"/>
      <c r="B21" s="44" t="s">
        <v>21</v>
      </c>
      <c r="C21" s="44" t="s">
        <v>1601</v>
      </c>
      <c r="D21" s="44" t="s">
        <v>950</v>
      </c>
      <c r="E21" s="45" t="s">
        <v>29</v>
      </c>
      <c r="F21" s="44" t="s">
        <v>24</v>
      </c>
      <c r="G21" s="44" t="s">
        <v>25</v>
      </c>
      <c r="H21" s="44" t="s">
        <v>28</v>
      </c>
      <c r="I21" s="44">
        <f t="shared" si="2"/>
        <v>104</v>
      </c>
      <c r="J21" s="46">
        <f>'CO2 calculations'!J22*I21</f>
        <v>7868214.6400000006</v>
      </c>
      <c r="K21" s="46">
        <f>'CO2 calculations'!K22</f>
        <v>290518.69439999998</v>
      </c>
      <c r="L21" s="46">
        <f t="shared" si="8"/>
        <v>30213944.217599999</v>
      </c>
      <c r="M21" s="46">
        <f t="shared" si="9"/>
        <v>24863558.262400001</v>
      </c>
      <c r="N21" s="73">
        <f t="shared" si="1"/>
        <v>5350385.9551999979</v>
      </c>
      <c r="O21" s="36">
        <f>R21/'CO2 calculations'!C22</f>
        <v>31304</v>
      </c>
      <c r="P21" s="38">
        <f>'Aircraft Data'!$J$5*I21</f>
        <v>32760</v>
      </c>
      <c r="Q21" s="76">
        <f>'Aircraft Data'!$J$7*'CO2 calculations'!C22</f>
        <v>2378090.2320000003</v>
      </c>
      <c r="R21" s="51">
        <f t="shared" si="11"/>
        <v>247321384.12800002</v>
      </c>
      <c r="S21" s="51"/>
      <c r="T21" s="79">
        <f t="shared" si="12"/>
        <v>1902472</v>
      </c>
      <c r="U21" s="77">
        <f>ROUNDDOWN(R21*0.8,0)</f>
        <v>197857107</v>
      </c>
      <c r="V21" s="83">
        <f>'CO2 calculations'!AV22</f>
        <v>98352.683000000005</v>
      </c>
      <c r="W21" s="4">
        <f t="shared" si="4"/>
        <v>10228679.032</v>
      </c>
    </row>
    <row r="22" spans="1:23" ht="15" thickBot="1" x14ac:dyDescent="0.35">
      <c r="I22" s="4">
        <f>AVERAGE(I2:I15,I16:I21)</f>
        <v>531.4</v>
      </c>
      <c r="J22" s="38"/>
      <c r="K22" s="105" t="s">
        <v>2053</v>
      </c>
      <c r="L22" s="106">
        <f>SUM(L2:L21)</f>
        <v>621765840.80639994</v>
      </c>
      <c r="M22" s="38">
        <f t="shared" si="0"/>
        <v>511661473.16360003</v>
      </c>
      <c r="N22" s="38">
        <f t="shared" si="1"/>
        <v>110104367.64279991</v>
      </c>
      <c r="O22" s="38">
        <f>SUM(O2:O21)</f>
        <v>1814056</v>
      </c>
      <c r="P22" s="38">
        <f>SUM(P2:P21)</f>
        <v>2109600</v>
      </c>
      <c r="Q22" s="7" t="s">
        <v>43</v>
      </c>
      <c r="U22" s="4">
        <f>SUM(U2:U21)</f>
        <v>4354675412.4799995</v>
      </c>
      <c r="W22" s="84">
        <f>SUM(W2:W21)</f>
        <v>210493644.023</v>
      </c>
    </row>
    <row r="23" spans="1:23" x14ac:dyDescent="0.3">
      <c r="I23" s="4">
        <f>SUM(I2:I21)</f>
        <v>10628</v>
      </c>
      <c r="J23" s="38"/>
      <c r="K23" s="107" t="s">
        <v>2054</v>
      </c>
      <c r="L23" s="108">
        <f>L22/0.92</f>
        <v>675832435.65913033</v>
      </c>
      <c r="M23" s="35"/>
      <c r="N23" s="35"/>
      <c r="O23" s="38"/>
      <c r="P23" s="35"/>
    </row>
    <row r="24" spans="1:23" ht="15" thickBot="1" x14ac:dyDescent="0.35">
      <c r="J24" s="38"/>
      <c r="K24" s="109">
        <v>2030</v>
      </c>
      <c r="L24" s="110">
        <f>W22/0.92</f>
        <v>228797439.15543479</v>
      </c>
      <c r="O24" s="38"/>
    </row>
    <row r="25" spans="1:23" x14ac:dyDescent="0.3">
      <c r="J25" s="38"/>
      <c r="K25" s="109">
        <v>2050</v>
      </c>
      <c r="L25" s="110">
        <f>D43</f>
        <v>398407802.51078624</v>
      </c>
      <c r="M25" s="113">
        <f>L25/L23</f>
        <v>0.58950677932796236</v>
      </c>
      <c r="N25" s="38"/>
      <c r="O25" s="38"/>
      <c r="P25" s="38"/>
      <c r="U25" s="84"/>
    </row>
    <row r="26" spans="1:23" x14ac:dyDescent="0.3">
      <c r="J26" s="38"/>
      <c r="K26" s="109" t="s">
        <v>1669</v>
      </c>
      <c r="L26" s="110">
        <f>D41/2</f>
        <v>337916217.82956517</v>
      </c>
      <c r="M26" s="114">
        <f>L26/L23</f>
        <v>0.5</v>
      </c>
      <c r="N26" s="38"/>
      <c r="O26" s="38"/>
      <c r="P26" s="38"/>
      <c r="U26" s="84"/>
    </row>
    <row r="27" spans="1:23" ht="15" thickBot="1" x14ac:dyDescent="0.35">
      <c r="J27" s="38"/>
      <c r="K27" s="111" t="s">
        <v>1902</v>
      </c>
      <c r="L27" s="112">
        <f>A43*1000000</f>
        <v>95840422.270183176</v>
      </c>
      <c r="M27" s="115">
        <f>L27/L23</f>
        <v>0.14181092414824881</v>
      </c>
      <c r="N27" s="38"/>
      <c r="O27" s="38"/>
      <c r="P27" s="38"/>
    </row>
    <row r="28" spans="1:23" x14ac:dyDescent="0.3">
      <c r="I28" s="4" t="s">
        <v>2183</v>
      </c>
      <c r="J28" s="39">
        <f>SUM(J2:J21)</f>
        <v>161918187.70999998</v>
      </c>
      <c r="N28" s="38"/>
      <c r="O28" s="38"/>
      <c r="P28" s="38"/>
    </row>
    <row r="29" spans="1:23" x14ac:dyDescent="0.3">
      <c r="I29" s="4" t="s">
        <v>2186</v>
      </c>
      <c r="J29" s="35">
        <f>L23-L22</f>
        <v>54066594.852730393</v>
      </c>
      <c r="L29" s="35"/>
      <c r="M29" s="38"/>
      <c r="N29" s="38"/>
      <c r="O29" s="38"/>
      <c r="P29" s="38"/>
    </row>
    <row r="30" spans="1:23" x14ac:dyDescent="0.3">
      <c r="I30" s="151"/>
      <c r="J30" s="35"/>
      <c r="L30" s="38"/>
    </row>
    <row r="31" spans="1:23" x14ac:dyDescent="0.3">
      <c r="I31" s="151"/>
      <c r="J31" s="35"/>
    </row>
    <row r="32" spans="1:23" x14ac:dyDescent="0.3">
      <c r="C32" s="50"/>
      <c r="D32" s="35"/>
      <c r="E32" s="52"/>
      <c r="I32" s="35"/>
      <c r="J32" s="35"/>
    </row>
    <row r="33" spans="1:16" x14ac:dyDescent="0.3">
      <c r="C33" s="50"/>
      <c r="D33" s="35"/>
      <c r="E33" s="51"/>
      <c r="J33" s="35"/>
    </row>
    <row r="34" spans="1:16" x14ac:dyDescent="0.3">
      <c r="C34" s="35"/>
      <c r="D34" s="49"/>
      <c r="K34" s="39"/>
      <c r="N34" s="38"/>
      <c r="O34" s="38"/>
      <c r="P34" s="38"/>
    </row>
    <row r="35" spans="1:16" x14ac:dyDescent="0.3">
      <c r="A35" s="53"/>
      <c r="K35" s="39"/>
    </row>
    <row r="36" spans="1:16" x14ac:dyDescent="0.3">
      <c r="A36" s="55"/>
    </row>
    <row r="37" spans="1:16" x14ac:dyDescent="0.3">
      <c r="A37" s="55"/>
    </row>
    <row r="40" spans="1:16" x14ac:dyDescent="0.3">
      <c r="A40" s="4">
        <v>665356</v>
      </c>
      <c r="C40" s="4">
        <f>9140000*1000</f>
        <v>9140000000</v>
      </c>
      <c r="D40" s="4">
        <v>10178000000</v>
      </c>
    </row>
    <row r="41" spans="1:16" x14ac:dyDescent="0.3">
      <c r="A41" s="4">
        <f>SUM(I2:I21)</f>
        <v>10628</v>
      </c>
      <c r="C41" s="57">
        <f>L23</f>
        <v>675832435.65913033</v>
      </c>
      <c r="D41" s="39">
        <f>L23</f>
        <v>675832435.65913033</v>
      </c>
    </row>
    <row r="42" spans="1:16" x14ac:dyDescent="0.3">
      <c r="A42" s="56">
        <f>A41/A40</f>
        <v>1.5973403711697198E-2</v>
      </c>
      <c r="C42" s="56">
        <f>C41/C40</f>
        <v>7.3942279612596321E-2</v>
      </c>
      <c r="D42" s="56">
        <f>D41/D40</f>
        <v>6.6401300418464371E-2</v>
      </c>
    </row>
    <row r="43" spans="1:16" x14ac:dyDescent="0.3">
      <c r="A43" s="4">
        <f>6000*A42</f>
        <v>95.840422270183183</v>
      </c>
      <c r="C43" s="4">
        <f>6000*C42</f>
        <v>443.65367767557791</v>
      </c>
      <c r="D43" s="66">
        <f>6000000000*D42</f>
        <v>398407802.51078624</v>
      </c>
    </row>
    <row r="44" spans="1:16" x14ac:dyDescent="0.3">
      <c r="C44" s="4">
        <v>2024</v>
      </c>
      <c r="D44" s="4" t="s">
        <v>1648</v>
      </c>
      <c r="I44" s="35"/>
      <c r="J44" s="35"/>
    </row>
    <row r="45" spans="1:16" x14ac:dyDescent="0.3">
      <c r="D45" s="67"/>
    </row>
    <row r="46" spans="1:16" x14ac:dyDescent="0.3">
      <c r="B46" s="53"/>
    </row>
    <row r="47" spans="1:16" x14ac:dyDescent="0.3">
      <c r="B47" s="53"/>
    </row>
  </sheetData>
  <mergeCells count="2">
    <mergeCell ref="A2:A15"/>
    <mergeCell ref="A16:A2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8738-47DE-492D-B656-6C9C04C8A48A}">
  <dimension ref="A1:BX42"/>
  <sheetViews>
    <sheetView zoomScale="64" workbookViewId="0">
      <selection activeCell="L29" sqref="L29:M29"/>
    </sheetView>
  </sheetViews>
  <sheetFormatPr defaultColWidth="9.109375" defaultRowHeight="14.4" x14ac:dyDescent="0.3"/>
  <cols>
    <col min="1" max="1" width="10.88671875" bestFit="1" customWidth="1"/>
    <col min="2" max="2" width="10.5546875" bestFit="1" customWidth="1"/>
    <col min="3" max="3" width="10.109375" bestFit="1" customWidth="1"/>
    <col min="4" max="4" width="13.44140625" customWidth="1"/>
    <col min="5" max="5" width="20.44140625" bestFit="1" customWidth="1"/>
    <col min="6" max="6" width="23" bestFit="1" customWidth="1"/>
    <col min="7" max="7" width="6.33203125" bestFit="1" customWidth="1"/>
    <col min="8" max="8" width="7.33203125" bestFit="1" customWidth="1"/>
    <col min="9" max="9" width="15.33203125" bestFit="1" customWidth="1"/>
    <col min="10" max="10" width="12.5546875" bestFit="1" customWidth="1"/>
    <col min="11" max="11" width="11.88671875" bestFit="1" customWidth="1"/>
    <col min="12" max="12" width="10.109375" bestFit="1" customWidth="1"/>
    <col min="13" max="13" width="12.109375" customWidth="1"/>
    <col min="14" max="14" width="1.5546875" style="187" customWidth="1"/>
    <col min="15" max="17" width="10.21875" customWidth="1"/>
    <col min="18" max="18" width="11.109375" customWidth="1"/>
    <col min="19" max="20" width="10.21875" customWidth="1"/>
    <col min="21" max="21" width="3.109375" customWidth="1"/>
    <col min="22" max="27" width="10.21875" customWidth="1"/>
    <col min="28" max="28" width="2.88671875" customWidth="1"/>
    <col min="29" max="34" width="10.21875" customWidth="1"/>
    <col min="35" max="35" width="2.21875" customWidth="1"/>
    <col min="36" max="41" width="10.21875" customWidth="1"/>
    <col min="42" max="42" width="1.77734375" style="187" customWidth="1"/>
    <col min="43" max="43" width="10.88671875" bestFit="1" customWidth="1"/>
    <col min="44" max="44" width="9" bestFit="1" customWidth="1"/>
    <col min="45" max="45" width="7.77734375" bestFit="1" customWidth="1"/>
    <col min="46" max="46" width="11.33203125" bestFit="1" customWidth="1"/>
    <col min="47" max="47" width="10.21875" bestFit="1" customWidth="1"/>
    <col min="48" max="48" width="10.88671875" customWidth="1"/>
    <col min="49" max="49" width="1.6640625" style="187" customWidth="1"/>
    <col min="50" max="50" width="10" bestFit="1" customWidth="1"/>
    <col min="51" max="52" width="7.88671875" bestFit="1" customWidth="1"/>
    <col min="53" max="53" width="11.33203125" bestFit="1" customWidth="1"/>
    <col min="54" max="54" width="10.21875" bestFit="1" customWidth="1"/>
    <col min="55" max="55" width="11" bestFit="1" customWidth="1"/>
    <col min="56" max="56" width="2.21875" style="187" customWidth="1"/>
    <col min="57" max="57" width="9.77734375" bestFit="1" customWidth="1"/>
    <col min="58" max="59" width="7.88671875" bestFit="1" customWidth="1"/>
    <col min="60" max="60" width="11.33203125" bestFit="1" customWidth="1"/>
    <col min="61" max="61" width="10.21875" bestFit="1" customWidth="1"/>
    <col min="62" max="62" width="11" bestFit="1" customWidth="1"/>
    <col min="63" max="63" width="2.21875" style="187" customWidth="1"/>
    <col min="64" max="64" width="10.77734375" bestFit="1" customWidth="1"/>
    <col min="65" max="65" width="7.88671875" bestFit="1" customWidth="1"/>
    <col min="66" max="66" width="9" bestFit="1" customWidth="1"/>
    <col min="67" max="67" width="11.33203125" bestFit="1" customWidth="1"/>
    <col min="68" max="68" width="10.21875" bestFit="1" customWidth="1"/>
    <col min="69" max="69" width="11" bestFit="1" customWidth="1"/>
    <col min="70" max="70" width="2.21875" style="187" customWidth="1"/>
    <col min="71" max="71" width="10.5546875" bestFit="1" customWidth="1"/>
    <col min="72" max="72" width="17.109375" customWidth="1"/>
    <col min="73" max="73" width="6.6640625" bestFit="1" customWidth="1"/>
    <col min="74" max="74" width="11" bestFit="1" customWidth="1"/>
    <col min="75" max="75" width="9.88671875" bestFit="1" customWidth="1"/>
    <col min="76" max="76" width="10.88671875" bestFit="1" customWidth="1"/>
  </cols>
  <sheetData>
    <row r="1" spans="1:76" ht="43.2" customHeight="1" thickBot="1" x14ac:dyDescent="0.35">
      <c r="A1" s="225">
        <v>2025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02"/>
      <c r="O1" s="225">
        <v>2030</v>
      </c>
      <c r="P1" s="225"/>
      <c r="Q1" s="225"/>
      <c r="R1" s="225"/>
      <c r="S1" s="225"/>
      <c r="T1" s="225"/>
      <c r="U1" s="191"/>
      <c r="V1" s="225">
        <v>2030</v>
      </c>
      <c r="W1" s="225"/>
      <c r="X1" s="225"/>
      <c r="Y1" s="225"/>
      <c r="Z1" s="225"/>
      <c r="AA1" s="225"/>
      <c r="AB1" s="191"/>
      <c r="AC1" s="225">
        <v>2030</v>
      </c>
      <c r="AD1" s="225"/>
      <c r="AE1" s="225"/>
      <c r="AF1" s="225"/>
      <c r="AG1" s="225"/>
      <c r="AH1" s="225"/>
      <c r="AI1" s="191"/>
      <c r="AJ1" s="225">
        <v>2030</v>
      </c>
      <c r="AK1" s="225"/>
      <c r="AL1" s="225"/>
      <c r="AM1" s="225"/>
      <c r="AN1" s="225"/>
      <c r="AO1" s="225"/>
      <c r="AQ1" s="225">
        <v>2050</v>
      </c>
      <c r="AR1" s="225"/>
      <c r="AS1" s="225"/>
      <c r="AT1" s="225"/>
      <c r="AU1" s="225"/>
      <c r="AV1" s="225"/>
      <c r="AW1" s="191"/>
      <c r="AX1" s="225">
        <v>2050</v>
      </c>
      <c r="AY1" s="225"/>
      <c r="AZ1" s="225"/>
      <c r="BA1" s="225"/>
      <c r="BB1" s="225"/>
      <c r="BC1" s="225"/>
      <c r="BD1" s="191"/>
      <c r="BE1" s="225">
        <v>2050</v>
      </c>
      <c r="BF1" s="225"/>
      <c r="BG1" s="225"/>
      <c r="BH1" s="225"/>
      <c r="BI1" s="225"/>
      <c r="BJ1" s="225"/>
      <c r="BK1" s="191"/>
      <c r="BL1" s="225">
        <v>2050</v>
      </c>
      <c r="BM1" s="225"/>
      <c r="BN1" s="225"/>
      <c r="BO1" s="225"/>
      <c r="BP1" s="225"/>
      <c r="BQ1" s="225"/>
      <c r="BR1" s="191"/>
    </row>
    <row r="2" spans="1:76" s="4" customFormat="1" ht="15" thickBot="1" x14ac:dyDescent="0.35">
      <c r="A2" s="1" t="s">
        <v>1615</v>
      </c>
      <c r="B2" s="11" t="s">
        <v>0</v>
      </c>
      <c r="C2" s="11" t="s">
        <v>1643</v>
      </c>
      <c r="D2" s="11" t="s">
        <v>1625</v>
      </c>
      <c r="E2" s="2" t="s">
        <v>1667</v>
      </c>
      <c r="F2" s="2" t="s">
        <v>1681</v>
      </c>
      <c r="G2" s="2" t="s">
        <v>1622</v>
      </c>
      <c r="H2" s="2" t="s">
        <v>1623</v>
      </c>
      <c r="I2" s="2" t="s">
        <v>41</v>
      </c>
      <c r="J2" s="2" t="s">
        <v>42</v>
      </c>
      <c r="K2" s="11" t="s">
        <v>1633</v>
      </c>
      <c r="L2" s="11" t="s">
        <v>1645</v>
      </c>
      <c r="M2" s="11" t="s">
        <v>1644</v>
      </c>
      <c r="N2" s="188"/>
      <c r="O2" s="11" t="s">
        <v>1616</v>
      </c>
      <c r="P2" s="11" t="s">
        <v>1617</v>
      </c>
      <c r="Q2" s="29" t="s">
        <v>1618</v>
      </c>
      <c r="R2" s="29" t="s">
        <v>1619</v>
      </c>
      <c r="S2" s="1" t="s">
        <v>1620</v>
      </c>
      <c r="T2" s="1" t="s">
        <v>1629</v>
      </c>
      <c r="U2" s="192"/>
      <c r="V2" s="11" t="s">
        <v>2207</v>
      </c>
      <c r="W2" s="11" t="s">
        <v>1617</v>
      </c>
      <c r="X2" s="29" t="s">
        <v>1618</v>
      </c>
      <c r="Y2" s="29" t="s">
        <v>1619</v>
      </c>
      <c r="Z2" s="1" t="s">
        <v>1620</v>
      </c>
      <c r="AA2" s="1" t="s">
        <v>1629</v>
      </c>
      <c r="AB2" s="192"/>
      <c r="AC2" s="11" t="s">
        <v>2208</v>
      </c>
      <c r="AD2" s="11" t="s">
        <v>1617</v>
      </c>
      <c r="AE2" s="29" t="s">
        <v>1618</v>
      </c>
      <c r="AF2" s="29" t="s">
        <v>1619</v>
      </c>
      <c r="AG2" s="1" t="s">
        <v>1620</v>
      </c>
      <c r="AH2" s="1" t="s">
        <v>1629</v>
      </c>
      <c r="AI2" s="192"/>
      <c r="AJ2" s="11" t="s">
        <v>2209</v>
      </c>
      <c r="AK2" s="11" t="s">
        <v>1617</v>
      </c>
      <c r="AL2" s="29" t="s">
        <v>1618</v>
      </c>
      <c r="AM2" s="29" t="s">
        <v>1619</v>
      </c>
      <c r="AN2" s="1" t="s">
        <v>1620</v>
      </c>
      <c r="AO2" s="1" t="s">
        <v>1629</v>
      </c>
      <c r="AP2" s="188"/>
      <c r="AQ2" s="11" t="s">
        <v>1616</v>
      </c>
      <c r="AR2" s="11" t="s">
        <v>1617</v>
      </c>
      <c r="AS2" s="29" t="s">
        <v>1618</v>
      </c>
      <c r="AT2" s="29" t="s">
        <v>1619</v>
      </c>
      <c r="AU2" s="1" t="s">
        <v>1620</v>
      </c>
      <c r="AV2" s="1" t="s">
        <v>1629</v>
      </c>
      <c r="AW2" s="192"/>
      <c r="AX2" s="11" t="s">
        <v>2207</v>
      </c>
      <c r="AY2" s="11" t="s">
        <v>1617</v>
      </c>
      <c r="AZ2" s="29" t="s">
        <v>1618</v>
      </c>
      <c r="BA2" s="29" t="s">
        <v>1619</v>
      </c>
      <c r="BB2" s="1" t="s">
        <v>1620</v>
      </c>
      <c r="BC2" s="1" t="s">
        <v>1629</v>
      </c>
      <c r="BD2" s="192"/>
      <c r="BE2" s="11" t="s">
        <v>2208</v>
      </c>
      <c r="BF2" s="11" t="s">
        <v>1617</v>
      </c>
      <c r="BG2" s="29" t="s">
        <v>1618</v>
      </c>
      <c r="BH2" s="29" t="s">
        <v>1619</v>
      </c>
      <c r="BI2" s="1" t="s">
        <v>1620</v>
      </c>
      <c r="BJ2" s="1" t="s">
        <v>1629</v>
      </c>
      <c r="BK2" s="192"/>
      <c r="BL2" s="11" t="s">
        <v>2209</v>
      </c>
      <c r="BM2" s="11" t="s">
        <v>1617</v>
      </c>
      <c r="BN2" s="29" t="s">
        <v>1618</v>
      </c>
      <c r="BO2" s="29" t="s">
        <v>1619</v>
      </c>
      <c r="BP2" s="1" t="s">
        <v>1620</v>
      </c>
      <c r="BQ2" s="1" t="s">
        <v>1629</v>
      </c>
      <c r="BR2" s="192"/>
      <c r="BS2" s="201"/>
      <c r="BT2" s="118" t="s">
        <v>22</v>
      </c>
      <c r="BU2" s="7"/>
      <c r="BV2" s="7"/>
      <c r="BW2" s="7"/>
      <c r="BX2" s="7"/>
    </row>
    <row r="3" spans="1:76" s="4" customFormat="1" x14ac:dyDescent="0.3">
      <c r="A3" s="232" t="s">
        <v>1614</v>
      </c>
      <c r="B3" s="8" t="s">
        <v>2</v>
      </c>
      <c r="C3" s="8">
        <f t="shared" ref="C3:C22" si="0">D3*1.852</f>
        <v>370.40000000000003</v>
      </c>
      <c r="D3" s="8">
        <v>200</v>
      </c>
      <c r="E3" s="8">
        <v>1875</v>
      </c>
      <c r="F3" s="64">
        <f>C3*('Aircraft Data'!$E$6)</f>
        <v>1159.3520000000001</v>
      </c>
      <c r="G3" s="33">
        <f>('Taxi-In (TXI) IATA Summer 2024'!J4+'Taxi-In (TXI) IATA Summer 2024'!$J$3)/2</f>
        <v>8.5500000000000007</v>
      </c>
      <c r="H3" s="33">
        <f>('Taxi-Out (TXO) IATA Summer 2024'!J4+'Taxi-Out (TXO) IATA Summer 2024'!$J$3)/2</f>
        <v>17.45</v>
      </c>
      <c r="I3" s="33">
        <f>11.5*(H3+G3)</f>
        <v>299</v>
      </c>
      <c r="J3" s="43">
        <f>E3+I3</f>
        <v>2174</v>
      </c>
      <c r="K3" s="42">
        <f t="shared" ref="K3:K22" si="1">J3*$C$35</f>
        <v>8348.16</v>
      </c>
      <c r="L3" s="42">
        <f>K3-M3</f>
        <v>6869.84</v>
      </c>
      <c r="M3" s="42">
        <f>(0.68/3.84)*K3</f>
        <v>1478.3200000000002</v>
      </c>
      <c r="N3" s="189"/>
      <c r="O3" s="27">
        <f>$AV$32</f>
        <v>1</v>
      </c>
      <c r="P3" s="33">
        <f>$J3*O3</f>
        <v>2174</v>
      </c>
      <c r="Q3" s="34">
        <f>$J3-P3</f>
        <v>0</v>
      </c>
      <c r="R3" s="36">
        <f>P3*$C$36</f>
        <v>2826.2000000000003</v>
      </c>
      <c r="S3" s="37">
        <f>Q3*$C$35</f>
        <v>0</v>
      </c>
      <c r="T3" s="37">
        <f>R3+S3</f>
        <v>2826.2000000000003</v>
      </c>
      <c r="U3" s="193"/>
      <c r="V3" s="27">
        <f>AA$32</f>
        <v>0.88</v>
      </c>
      <c r="W3" s="33">
        <f>$J3*V3</f>
        <v>1913.1200000000001</v>
      </c>
      <c r="X3" s="34">
        <f>$J3-W3</f>
        <v>260.87999999999988</v>
      </c>
      <c r="Y3" s="36">
        <f>W3*$C$37</f>
        <v>-975.69120000000009</v>
      </c>
      <c r="Z3" s="37">
        <f t="shared" ref="Z3:Z22" si="2">X3*$C$35</f>
        <v>1001.7791999999995</v>
      </c>
      <c r="AA3" s="37">
        <f>Y3+Z3</f>
        <v>26.087999999999397</v>
      </c>
      <c r="AB3" s="194"/>
      <c r="AC3" s="27">
        <f>AH$32</f>
        <v>0.81</v>
      </c>
      <c r="AD3" s="33">
        <f>$J3*AC3</f>
        <v>1760.94</v>
      </c>
      <c r="AE3" s="34">
        <f>$J3-AD3</f>
        <v>413.05999999999995</v>
      </c>
      <c r="AF3" s="36">
        <f t="shared" ref="AF3:AF22" si="3">AD3*$C$38</f>
        <v>-1514.4084</v>
      </c>
      <c r="AG3" s="37">
        <f t="shared" ref="AG3:AG22" si="4">AE3*$C$35</f>
        <v>1586.1503999999998</v>
      </c>
      <c r="AH3" s="37">
        <f>AF3+AG3</f>
        <v>71.741999999999734</v>
      </c>
      <c r="AI3" s="194"/>
      <c r="AJ3" s="27">
        <f>AO$32</f>
        <v>0</v>
      </c>
      <c r="AK3" s="33">
        <f>$J3*AJ3</f>
        <v>0</v>
      </c>
      <c r="AL3" s="34">
        <f>$J3-AK3</f>
        <v>2174</v>
      </c>
      <c r="AM3" s="36">
        <f t="shared" ref="AM3:AM22" si="5">AK3*$C$39</f>
        <v>0</v>
      </c>
      <c r="AN3" s="37">
        <f t="shared" ref="AN3:AN22" si="6">AL3*$C$35</f>
        <v>8348.16</v>
      </c>
      <c r="AO3" s="37">
        <f>AM3+AN3</f>
        <v>8348.16</v>
      </c>
      <c r="AP3" s="189"/>
      <c r="AQ3" s="27">
        <f>$AV$32</f>
        <v>1</v>
      </c>
      <c r="AR3" s="33">
        <f>$J3*AQ3</f>
        <v>2174</v>
      </c>
      <c r="AS3" s="34">
        <f>$J3-AR3</f>
        <v>0</v>
      </c>
      <c r="AT3" s="36">
        <f t="shared" ref="AT3:AT22" si="7">AR3*C$36</f>
        <v>2826.2000000000003</v>
      </c>
      <c r="AU3" s="37">
        <f>AS3*$C$35</f>
        <v>0</v>
      </c>
      <c r="AV3" s="37">
        <f>AT3+AU3</f>
        <v>2826.2000000000003</v>
      </c>
      <c r="AW3" s="193"/>
      <c r="AX3" s="27">
        <f>BC$32</f>
        <v>0.88</v>
      </c>
      <c r="AY3" s="33">
        <f>$J3*AX3</f>
        <v>1913.1200000000001</v>
      </c>
      <c r="AZ3" s="34">
        <f>$J3-AY3</f>
        <v>260.87999999999988</v>
      </c>
      <c r="BA3" s="36">
        <f t="shared" ref="BA3:BA22" si="8">AY3*$C$37</f>
        <v>-975.69120000000009</v>
      </c>
      <c r="BB3" s="37">
        <f t="shared" ref="BB3:BB22" si="9">AZ3*$C$35</f>
        <v>1001.7791999999995</v>
      </c>
      <c r="BC3" s="37">
        <f>BA3+BB3</f>
        <v>26.087999999999397</v>
      </c>
      <c r="BD3" s="194"/>
      <c r="BE3" s="27">
        <f>BJ$32</f>
        <v>0.81</v>
      </c>
      <c r="BF3" s="33">
        <f>$J3*BE3</f>
        <v>1760.94</v>
      </c>
      <c r="BG3" s="34">
        <f>$J3-BF3</f>
        <v>413.05999999999995</v>
      </c>
      <c r="BH3" s="36">
        <f t="shared" ref="BH3:BH22" si="10">BF3*$C$38</f>
        <v>-1514.4084</v>
      </c>
      <c r="BI3" s="37">
        <f t="shared" ref="BI3:BI22" si="11">BG3*$C$35</f>
        <v>1586.1503999999998</v>
      </c>
      <c r="BJ3" s="37">
        <f>BH3+BI3</f>
        <v>71.741999999999734</v>
      </c>
      <c r="BK3" s="194"/>
      <c r="BL3" s="27">
        <f>BQ$32</f>
        <v>0</v>
      </c>
      <c r="BM3" s="33">
        <f>$J3*BL3</f>
        <v>0</v>
      </c>
      <c r="BN3" s="34">
        <f>$J3-BM3</f>
        <v>2174</v>
      </c>
      <c r="BO3" s="36">
        <f t="shared" ref="BO3:BO22" si="12">BM3*$C$39</f>
        <v>0</v>
      </c>
      <c r="BP3" s="37">
        <f t="shared" ref="BP3:BP22" si="13">BN3*$C$35</f>
        <v>8348.16</v>
      </c>
      <c r="BQ3" s="37">
        <f>BO3+BP3</f>
        <v>8348.16</v>
      </c>
      <c r="BR3" s="194"/>
      <c r="BT3" s="5">
        <v>1460</v>
      </c>
    </row>
    <row r="4" spans="1:76" s="4" customFormat="1" x14ac:dyDescent="0.3">
      <c r="A4" s="232"/>
      <c r="B4" s="173" t="s">
        <v>3</v>
      </c>
      <c r="C4" s="173">
        <f t="shared" si="0"/>
        <v>487.07600000000002</v>
      </c>
      <c r="D4" s="173">
        <v>263</v>
      </c>
      <c r="E4" s="173">
        <v>2611</v>
      </c>
      <c r="F4" s="174">
        <f>C4*('Aircraft Data'!$E$6)</f>
        <v>1524.5478800000001</v>
      </c>
      <c r="G4" s="175">
        <f>('Taxi-In (TXI) IATA Summer 2024'!J5+'Taxi-In (TXI) IATA Summer 2024'!$J$3)/2</f>
        <v>7.8999999999999995</v>
      </c>
      <c r="H4" s="175">
        <f>('Taxi-Out (TXO) IATA Summer 2024'!J5+'Taxi-Out (TXO) IATA Summer 2024'!$J$3)/2</f>
        <v>14.9</v>
      </c>
      <c r="I4" s="175">
        <f>11.5*(H4+G4)</f>
        <v>262.2</v>
      </c>
      <c r="J4" s="176">
        <f>I4+E4</f>
        <v>2873.2</v>
      </c>
      <c r="K4" s="177">
        <f t="shared" si="1"/>
        <v>11033.088</v>
      </c>
      <c r="L4" s="177">
        <f t="shared" ref="L4:L22" si="14">K4-M4</f>
        <v>9079.3119999999999</v>
      </c>
      <c r="M4" s="177">
        <f t="shared" ref="M4:M22" si="15">(0.68/3.84)*K4</f>
        <v>1953.7760000000001</v>
      </c>
      <c r="N4" s="189"/>
      <c r="O4" s="178">
        <f>$AV$32</f>
        <v>1</v>
      </c>
      <c r="P4" s="175">
        <f t="shared" ref="P4:P22" si="16">$J4*O4</f>
        <v>2873.2</v>
      </c>
      <c r="Q4" s="179">
        <f t="shared" ref="Q4:Q22" si="17">$J4-P4</f>
        <v>0</v>
      </c>
      <c r="R4" s="180">
        <f>P4*$C$36</f>
        <v>3735.16</v>
      </c>
      <c r="S4" s="181">
        <f>Q4*$C$36</f>
        <v>0</v>
      </c>
      <c r="T4" s="181">
        <f>R4+S4</f>
        <v>3735.16</v>
      </c>
      <c r="U4" s="193"/>
      <c r="V4" s="178">
        <f>AA$32</f>
        <v>0.88</v>
      </c>
      <c r="W4" s="69">
        <f t="shared" ref="W4:W22" si="18">$J4*V4</f>
        <v>2528.4159999999997</v>
      </c>
      <c r="X4" s="70">
        <f t="shared" ref="X4:X22" si="19">$J4-W4</f>
        <v>344.78400000000011</v>
      </c>
      <c r="Y4" s="180">
        <f t="shared" ref="Y4:Y22" si="20">W4*$C$37</f>
        <v>-1289.4921599999998</v>
      </c>
      <c r="Z4" s="181">
        <f t="shared" si="2"/>
        <v>1323.9705600000004</v>
      </c>
      <c r="AA4" s="181">
        <f>Y4+Z4</f>
        <v>34.478400000000647</v>
      </c>
      <c r="AB4" s="194"/>
      <c r="AC4" s="178">
        <f>AH$32</f>
        <v>0.81</v>
      </c>
      <c r="AD4" s="175">
        <f t="shared" ref="AD4:AD22" si="21">$J4*AC4</f>
        <v>2327.2919999999999</v>
      </c>
      <c r="AE4" s="179">
        <f t="shared" ref="AE4:AE22" si="22">$J4-AD4</f>
        <v>545.9079999999999</v>
      </c>
      <c r="AF4" s="180">
        <f t="shared" si="3"/>
        <v>-2001.4711199999999</v>
      </c>
      <c r="AG4" s="181">
        <f t="shared" si="4"/>
        <v>2096.2867199999996</v>
      </c>
      <c r="AH4" s="181">
        <f>AF4+AG4</f>
        <v>94.815599999999677</v>
      </c>
      <c r="AI4" s="194"/>
      <c r="AJ4" s="178">
        <f>AO$32</f>
        <v>0</v>
      </c>
      <c r="AK4" s="175">
        <f t="shared" ref="AK4:AK21" si="23">$J4*AJ4</f>
        <v>0</v>
      </c>
      <c r="AL4" s="179">
        <f t="shared" ref="AL4:AL22" si="24">$J4-AK4</f>
        <v>2873.2</v>
      </c>
      <c r="AM4" s="180">
        <f t="shared" si="5"/>
        <v>0</v>
      </c>
      <c r="AN4" s="181">
        <f t="shared" si="6"/>
        <v>11033.088</v>
      </c>
      <c r="AO4" s="181">
        <f>AM4+AN4</f>
        <v>11033.088</v>
      </c>
      <c r="AP4" s="189"/>
      <c r="AQ4" s="178">
        <f>$AV$32</f>
        <v>1</v>
      </c>
      <c r="AR4" s="175">
        <f t="shared" ref="AR4:AR22" si="25">$J4*AQ4</f>
        <v>2873.2</v>
      </c>
      <c r="AS4" s="179">
        <f t="shared" ref="AS4:AS22" si="26">$J4-AR4</f>
        <v>0</v>
      </c>
      <c r="AT4" s="180">
        <f t="shared" si="7"/>
        <v>3735.16</v>
      </c>
      <c r="AU4" s="181">
        <f t="shared" ref="AU4:AU22" si="27">AS4*C$35</f>
        <v>0</v>
      </c>
      <c r="AV4" s="181">
        <f>AT4+AU4</f>
        <v>3735.16</v>
      </c>
      <c r="AW4" s="193"/>
      <c r="AX4" s="178">
        <f>BC$32</f>
        <v>0.88</v>
      </c>
      <c r="AY4" s="69">
        <f t="shared" ref="AY4:AY22" si="28">$J4*AX4</f>
        <v>2528.4159999999997</v>
      </c>
      <c r="AZ4" s="70">
        <f t="shared" ref="AZ4:AZ22" si="29">$J4-AY4</f>
        <v>344.78400000000011</v>
      </c>
      <c r="BA4" s="180">
        <f t="shared" si="8"/>
        <v>-1289.4921599999998</v>
      </c>
      <c r="BB4" s="181">
        <f t="shared" si="9"/>
        <v>1323.9705600000004</v>
      </c>
      <c r="BC4" s="181">
        <f>BA4+BB4</f>
        <v>34.478400000000647</v>
      </c>
      <c r="BD4" s="194"/>
      <c r="BE4" s="178">
        <f>BJ$32</f>
        <v>0.81</v>
      </c>
      <c r="BF4" s="175">
        <f t="shared" ref="BF4:BF22" si="30">$J4*BE4</f>
        <v>2327.2919999999999</v>
      </c>
      <c r="BG4" s="179">
        <f t="shared" ref="BG4:BG22" si="31">$J4-BF4</f>
        <v>545.9079999999999</v>
      </c>
      <c r="BH4" s="180">
        <f t="shared" si="10"/>
        <v>-2001.4711199999999</v>
      </c>
      <c r="BI4" s="181">
        <f t="shared" si="11"/>
        <v>2096.2867199999996</v>
      </c>
      <c r="BJ4" s="181">
        <f>BH4+BI4</f>
        <v>94.815599999999677</v>
      </c>
      <c r="BK4" s="194"/>
      <c r="BL4" s="178">
        <f>BQ$32</f>
        <v>0</v>
      </c>
      <c r="BM4" s="175">
        <f t="shared" ref="BM4:BM21" si="32">$J4*BL4</f>
        <v>0</v>
      </c>
      <c r="BN4" s="179">
        <f t="shared" ref="BN4:BN22" si="33">$J4-BM4</f>
        <v>2873.2</v>
      </c>
      <c r="BO4" s="180">
        <f t="shared" si="12"/>
        <v>0</v>
      </c>
      <c r="BP4" s="181">
        <f t="shared" si="13"/>
        <v>11033.088</v>
      </c>
      <c r="BQ4" s="181">
        <f>BO4+BP4</f>
        <v>11033.088</v>
      </c>
      <c r="BR4" s="194"/>
      <c r="BT4" s="4">
        <v>730</v>
      </c>
    </row>
    <row r="5" spans="1:76" s="4" customFormat="1" x14ac:dyDescent="0.3">
      <c r="A5" s="232"/>
      <c r="B5" s="8" t="s">
        <v>4</v>
      </c>
      <c r="C5" s="8">
        <f t="shared" si="0"/>
        <v>1151.944</v>
      </c>
      <c r="D5" s="8">
        <v>622</v>
      </c>
      <c r="E5" s="8">
        <v>4388</v>
      </c>
      <c r="F5" s="64">
        <f>C5*('Aircraft Data'!$E$6)</f>
        <v>3605.5847199999998</v>
      </c>
      <c r="G5" s="33">
        <f>('Taxi-In (TXI) IATA Summer 2024'!J6+'Taxi-In (TXI) IATA Summer 2024'!$J$3)/2</f>
        <v>7.6499999999999995</v>
      </c>
      <c r="H5" s="33">
        <f>('Taxi-Out (TXO) IATA Summer 2024'!J6+'Taxi-Out (TXO) IATA Summer 2024'!$J$3)/2</f>
        <v>12.55</v>
      </c>
      <c r="I5" s="33">
        <f t="shared" ref="I5:I16" si="34">11.5*(H5+G5)</f>
        <v>232.29999999999998</v>
      </c>
      <c r="J5" s="43">
        <f t="shared" ref="J5" si="35">E5+I5</f>
        <v>4620.3</v>
      </c>
      <c r="K5" s="42">
        <f t="shared" si="1"/>
        <v>17741.952000000001</v>
      </c>
      <c r="L5" s="42">
        <f t="shared" si="14"/>
        <v>14600.148000000001</v>
      </c>
      <c r="M5" s="42">
        <f t="shared" si="15"/>
        <v>3141.8040000000005</v>
      </c>
      <c r="N5" s="189"/>
      <c r="O5" s="27">
        <f t="shared" ref="O5:O22" si="36">$AV$32</f>
        <v>1</v>
      </c>
      <c r="P5" s="33">
        <f t="shared" si="16"/>
        <v>4620.3</v>
      </c>
      <c r="Q5" s="34">
        <f t="shared" si="17"/>
        <v>0</v>
      </c>
      <c r="R5" s="36">
        <f t="shared" ref="R5:R22" si="37">P5*$C$36</f>
        <v>6006.39</v>
      </c>
      <c r="S5" s="37">
        <f t="shared" ref="S5" si="38">Q5*$C$35</f>
        <v>0</v>
      </c>
      <c r="T5" s="37">
        <f t="shared" ref="T5:T22" si="39">R5+S5</f>
        <v>6006.39</v>
      </c>
      <c r="U5" s="193"/>
      <c r="V5" s="27">
        <f t="shared" ref="V5:V22" si="40">AA$32</f>
        <v>0.88</v>
      </c>
      <c r="W5" s="33">
        <f t="shared" si="18"/>
        <v>4065.864</v>
      </c>
      <c r="X5" s="34">
        <f t="shared" si="19"/>
        <v>554.43600000000015</v>
      </c>
      <c r="Y5" s="36">
        <f t="shared" si="20"/>
        <v>-2073.5906399999999</v>
      </c>
      <c r="Z5" s="37">
        <f t="shared" si="2"/>
        <v>2129.0342400000004</v>
      </c>
      <c r="AA5" s="37">
        <f t="shared" ref="AA5:AA22" si="41">Y5+Z5</f>
        <v>55.443600000000515</v>
      </c>
      <c r="AB5" s="194"/>
      <c r="AC5" s="27">
        <f t="shared" ref="AC5:AC22" si="42">AH$32</f>
        <v>0.81</v>
      </c>
      <c r="AD5" s="33">
        <f t="shared" si="21"/>
        <v>3742.4430000000002</v>
      </c>
      <c r="AE5" s="34">
        <f t="shared" si="22"/>
        <v>877.85699999999997</v>
      </c>
      <c r="AF5" s="36">
        <f t="shared" si="3"/>
        <v>-3218.5009800000003</v>
      </c>
      <c r="AG5" s="37">
        <f t="shared" si="4"/>
        <v>3370.9708799999999</v>
      </c>
      <c r="AH5" s="37">
        <f t="shared" ref="AH5:AH22" si="43">AF5+AG5</f>
        <v>152.4698999999996</v>
      </c>
      <c r="AI5" s="194"/>
      <c r="AJ5" s="27">
        <f t="shared" ref="AJ5:AJ22" si="44">AO$32</f>
        <v>0</v>
      </c>
      <c r="AK5" s="33">
        <f t="shared" si="23"/>
        <v>0</v>
      </c>
      <c r="AL5" s="34">
        <f t="shared" si="24"/>
        <v>4620.3</v>
      </c>
      <c r="AM5" s="36">
        <f t="shared" si="5"/>
        <v>0</v>
      </c>
      <c r="AN5" s="37">
        <f t="shared" si="6"/>
        <v>17741.952000000001</v>
      </c>
      <c r="AO5" s="37">
        <f t="shared" ref="AO5:AO22" si="45">AM5+AN5</f>
        <v>17741.952000000001</v>
      </c>
      <c r="AP5" s="189"/>
      <c r="AQ5" s="27">
        <f t="shared" ref="AQ5:AQ22" si="46">$AV$32</f>
        <v>1</v>
      </c>
      <c r="AR5" s="33">
        <f t="shared" si="25"/>
        <v>4620.3</v>
      </c>
      <c r="AS5" s="34">
        <f t="shared" si="26"/>
        <v>0</v>
      </c>
      <c r="AT5" s="36">
        <f t="shared" si="7"/>
        <v>6006.39</v>
      </c>
      <c r="AU5" s="37">
        <f t="shared" si="27"/>
        <v>0</v>
      </c>
      <c r="AV5" s="37">
        <f t="shared" ref="AV5:AV22" si="47">AT5+AU5</f>
        <v>6006.39</v>
      </c>
      <c r="AW5" s="193"/>
      <c r="AX5" s="27">
        <f t="shared" ref="AX5:AX22" si="48">BC$32</f>
        <v>0.88</v>
      </c>
      <c r="AY5" s="33">
        <f t="shared" si="28"/>
        <v>4065.864</v>
      </c>
      <c r="AZ5" s="34">
        <f t="shared" si="29"/>
        <v>554.43600000000015</v>
      </c>
      <c r="BA5" s="36">
        <f t="shared" si="8"/>
        <v>-2073.5906399999999</v>
      </c>
      <c r="BB5" s="37">
        <f t="shared" si="9"/>
        <v>2129.0342400000004</v>
      </c>
      <c r="BC5" s="37">
        <f t="shared" ref="BC5:BC22" si="49">BA5+BB5</f>
        <v>55.443600000000515</v>
      </c>
      <c r="BD5" s="194"/>
      <c r="BE5" s="27">
        <f t="shared" ref="BE5:BE22" si="50">BJ$32</f>
        <v>0.81</v>
      </c>
      <c r="BF5" s="33">
        <f t="shared" si="30"/>
        <v>3742.4430000000002</v>
      </c>
      <c r="BG5" s="34">
        <f t="shared" si="31"/>
        <v>877.85699999999997</v>
      </c>
      <c r="BH5" s="36">
        <f t="shared" si="10"/>
        <v>-3218.5009800000003</v>
      </c>
      <c r="BI5" s="37">
        <f t="shared" si="11"/>
        <v>3370.9708799999999</v>
      </c>
      <c r="BJ5" s="37">
        <f t="shared" ref="BJ5:BJ22" si="51">BH5+BI5</f>
        <v>152.4698999999996</v>
      </c>
      <c r="BK5" s="194"/>
      <c r="BL5" s="27">
        <f t="shared" ref="BL5:BL22" si="52">BQ$32</f>
        <v>0</v>
      </c>
      <c r="BM5" s="33">
        <f t="shared" si="32"/>
        <v>0</v>
      </c>
      <c r="BN5" s="34">
        <f t="shared" si="33"/>
        <v>4620.3</v>
      </c>
      <c r="BO5" s="36">
        <f t="shared" si="12"/>
        <v>0</v>
      </c>
      <c r="BP5" s="37">
        <f t="shared" si="13"/>
        <v>17741.952000000001</v>
      </c>
      <c r="BQ5" s="37">
        <f t="shared" ref="BQ5:BQ22" si="53">BO5+BP5</f>
        <v>17741.952000000001</v>
      </c>
      <c r="BR5" s="194"/>
      <c r="BT5" s="4">
        <v>312</v>
      </c>
    </row>
    <row r="6" spans="1:76" s="4" customFormat="1" x14ac:dyDescent="0.3">
      <c r="A6" s="232"/>
      <c r="B6" s="173" t="s">
        <v>5</v>
      </c>
      <c r="C6" s="173">
        <f t="shared" si="0"/>
        <v>633.38400000000001</v>
      </c>
      <c r="D6" s="173">
        <v>342</v>
      </c>
      <c r="E6" s="173">
        <v>2739</v>
      </c>
      <c r="F6" s="174">
        <f>C6*('Aircraft Data'!$E$6)</f>
        <v>1982.4919199999999</v>
      </c>
      <c r="G6" s="175">
        <f>('Taxi-In (TXI) IATA Summer 2024'!J7+'Taxi-In (TXI) IATA Summer 2024'!$J$3)/2</f>
        <v>7.55</v>
      </c>
      <c r="H6" s="175">
        <f>('Taxi-Out (TXO) IATA Summer 2024'!J7+'Taxi-Out (TXO) IATA Summer 2024'!$J$3)/2</f>
        <v>13.600000000000001</v>
      </c>
      <c r="I6" s="175">
        <f>11.5*(H6+G6)</f>
        <v>243.22500000000002</v>
      </c>
      <c r="J6" s="176">
        <f t="shared" ref="J6" si="54">I6+E6</f>
        <v>2982.2249999999999</v>
      </c>
      <c r="K6" s="177">
        <f t="shared" si="1"/>
        <v>11451.743999999999</v>
      </c>
      <c r="L6" s="177">
        <f t="shared" si="14"/>
        <v>9423.8309999999983</v>
      </c>
      <c r="M6" s="177">
        <f t="shared" si="15"/>
        <v>2027.9129999999998</v>
      </c>
      <c r="N6" s="189"/>
      <c r="O6" s="178">
        <f t="shared" si="36"/>
        <v>1</v>
      </c>
      <c r="P6" s="175">
        <f t="shared" si="16"/>
        <v>2982.2249999999999</v>
      </c>
      <c r="Q6" s="179">
        <f t="shared" si="17"/>
        <v>0</v>
      </c>
      <c r="R6" s="180">
        <f t="shared" si="37"/>
        <v>3876.8924999999999</v>
      </c>
      <c r="S6" s="181">
        <f t="shared" ref="S6" si="55">Q6*$C$36</f>
        <v>0</v>
      </c>
      <c r="T6" s="181">
        <f t="shared" si="39"/>
        <v>3876.8924999999999</v>
      </c>
      <c r="U6" s="193"/>
      <c r="V6" s="178">
        <f t="shared" si="40"/>
        <v>0.88</v>
      </c>
      <c r="W6" s="69">
        <f t="shared" si="18"/>
        <v>2624.3579999999997</v>
      </c>
      <c r="X6" s="70">
        <f t="shared" si="19"/>
        <v>357.86700000000019</v>
      </c>
      <c r="Y6" s="180">
        <f t="shared" si="20"/>
        <v>-1338.4225799999999</v>
      </c>
      <c r="Z6" s="181">
        <f t="shared" si="2"/>
        <v>1374.2092800000007</v>
      </c>
      <c r="AA6" s="181">
        <f t="shared" si="41"/>
        <v>35.786700000000792</v>
      </c>
      <c r="AB6" s="194"/>
      <c r="AC6" s="178">
        <f t="shared" si="42"/>
        <v>0.81</v>
      </c>
      <c r="AD6" s="175">
        <f>$J6*AC6</f>
        <v>2415.6022499999999</v>
      </c>
      <c r="AE6" s="179">
        <f t="shared" si="22"/>
        <v>566.62275</v>
      </c>
      <c r="AF6" s="180">
        <f t="shared" si="3"/>
        <v>-2077.4179349999999</v>
      </c>
      <c r="AG6" s="181">
        <f t="shared" si="4"/>
        <v>2175.8313600000001</v>
      </c>
      <c r="AH6" s="181">
        <f t="shared" si="43"/>
        <v>98.413425000000188</v>
      </c>
      <c r="AI6" s="194"/>
      <c r="AJ6" s="178">
        <f t="shared" si="44"/>
        <v>0</v>
      </c>
      <c r="AK6" s="175">
        <f t="shared" si="23"/>
        <v>0</v>
      </c>
      <c r="AL6" s="179">
        <f t="shared" si="24"/>
        <v>2982.2249999999999</v>
      </c>
      <c r="AM6" s="180">
        <f t="shared" si="5"/>
        <v>0</v>
      </c>
      <c r="AN6" s="181">
        <f t="shared" si="6"/>
        <v>11451.743999999999</v>
      </c>
      <c r="AO6" s="181">
        <f t="shared" si="45"/>
        <v>11451.743999999999</v>
      </c>
      <c r="AP6" s="189"/>
      <c r="AQ6" s="178">
        <f t="shared" si="46"/>
        <v>1</v>
      </c>
      <c r="AR6" s="175">
        <f t="shared" si="25"/>
        <v>2982.2249999999999</v>
      </c>
      <c r="AS6" s="179">
        <f t="shared" si="26"/>
        <v>0</v>
      </c>
      <c r="AT6" s="180">
        <f t="shared" si="7"/>
        <v>3876.8924999999999</v>
      </c>
      <c r="AU6" s="181">
        <f t="shared" si="27"/>
        <v>0</v>
      </c>
      <c r="AV6" s="181">
        <f t="shared" si="47"/>
        <v>3876.8924999999999</v>
      </c>
      <c r="AW6" s="193"/>
      <c r="AX6" s="178">
        <f t="shared" si="48"/>
        <v>0.88</v>
      </c>
      <c r="AY6" s="69">
        <f t="shared" si="28"/>
        <v>2624.3579999999997</v>
      </c>
      <c r="AZ6" s="70">
        <f t="shared" si="29"/>
        <v>357.86700000000019</v>
      </c>
      <c r="BA6" s="180">
        <f t="shared" si="8"/>
        <v>-1338.4225799999999</v>
      </c>
      <c r="BB6" s="181">
        <f t="shared" si="9"/>
        <v>1374.2092800000007</v>
      </c>
      <c r="BC6" s="181">
        <f t="shared" si="49"/>
        <v>35.786700000000792</v>
      </c>
      <c r="BD6" s="194"/>
      <c r="BE6" s="178">
        <f t="shared" si="50"/>
        <v>0.81</v>
      </c>
      <c r="BF6" s="175">
        <f>$J6*BE6</f>
        <v>2415.6022499999999</v>
      </c>
      <c r="BG6" s="179">
        <f t="shared" si="31"/>
        <v>566.62275</v>
      </c>
      <c r="BH6" s="180">
        <f t="shared" si="10"/>
        <v>-2077.4179349999999</v>
      </c>
      <c r="BI6" s="181">
        <f t="shared" si="11"/>
        <v>2175.8313600000001</v>
      </c>
      <c r="BJ6" s="181">
        <f t="shared" si="51"/>
        <v>98.413425000000188</v>
      </c>
      <c r="BK6" s="194"/>
      <c r="BL6" s="178">
        <f t="shared" si="52"/>
        <v>0</v>
      </c>
      <c r="BM6" s="175">
        <f t="shared" si="32"/>
        <v>0</v>
      </c>
      <c r="BN6" s="179">
        <f t="shared" si="33"/>
        <v>2982.2249999999999</v>
      </c>
      <c r="BO6" s="180">
        <f t="shared" si="12"/>
        <v>0</v>
      </c>
      <c r="BP6" s="181">
        <f t="shared" si="13"/>
        <v>11451.743999999999</v>
      </c>
      <c r="BQ6" s="181">
        <f t="shared" si="53"/>
        <v>11451.743999999999</v>
      </c>
      <c r="BR6" s="194"/>
      <c r="BT6" s="4">
        <v>312</v>
      </c>
    </row>
    <row r="7" spans="1:76" s="4" customFormat="1" x14ac:dyDescent="0.3">
      <c r="A7" s="232"/>
      <c r="B7" s="8" t="s">
        <v>6</v>
      </c>
      <c r="C7" s="8">
        <f t="shared" si="0"/>
        <v>592.64</v>
      </c>
      <c r="D7" s="8">
        <v>320</v>
      </c>
      <c r="E7" s="8">
        <v>2571</v>
      </c>
      <c r="F7" s="64">
        <f>C7*('Aircraft Data'!$E$6)</f>
        <v>1854.9631999999999</v>
      </c>
      <c r="G7" s="33">
        <f>('Taxi-In (TXI) IATA Summer 2024'!J8+'Taxi-In (TXI) IATA Summer 2024'!$J$3)/2</f>
        <v>7.25</v>
      </c>
      <c r="H7" s="33">
        <f>('Taxi-Out (TXO) IATA Summer 2024'!J8+'Taxi-Out (TXO) IATA Summer 2024'!$J$3)/2</f>
        <v>12.9</v>
      </c>
      <c r="I7" s="33">
        <f t="shared" si="34"/>
        <v>231.72499999999999</v>
      </c>
      <c r="J7" s="43">
        <f t="shared" ref="J7" si="56">E7+I7</f>
        <v>2802.7249999999999</v>
      </c>
      <c r="K7" s="42">
        <f t="shared" si="1"/>
        <v>10762.464</v>
      </c>
      <c r="L7" s="42">
        <f t="shared" si="14"/>
        <v>8856.6110000000008</v>
      </c>
      <c r="M7" s="42">
        <f t="shared" si="15"/>
        <v>1905.8530000000001</v>
      </c>
      <c r="N7" s="189"/>
      <c r="O7" s="27">
        <f t="shared" si="36"/>
        <v>1</v>
      </c>
      <c r="P7" s="33">
        <f t="shared" si="16"/>
        <v>2802.7249999999999</v>
      </c>
      <c r="Q7" s="34">
        <f t="shared" si="17"/>
        <v>0</v>
      </c>
      <c r="R7" s="36">
        <f t="shared" si="37"/>
        <v>3643.5425</v>
      </c>
      <c r="S7" s="37">
        <f t="shared" ref="S7" si="57">Q7*$C$35</f>
        <v>0</v>
      </c>
      <c r="T7" s="37">
        <f t="shared" si="39"/>
        <v>3643.5425</v>
      </c>
      <c r="U7" s="193"/>
      <c r="V7" s="27">
        <f t="shared" si="40"/>
        <v>0.88</v>
      </c>
      <c r="W7" s="33">
        <f t="shared" si="18"/>
        <v>2466.3980000000001</v>
      </c>
      <c r="X7" s="34">
        <f t="shared" si="19"/>
        <v>336.32699999999977</v>
      </c>
      <c r="Y7" s="36">
        <f t="shared" si="20"/>
        <v>-1257.8629800000001</v>
      </c>
      <c r="Z7" s="37">
        <f t="shared" si="2"/>
        <v>1291.4956799999991</v>
      </c>
      <c r="AA7" s="37">
        <f t="shared" si="41"/>
        <v>33.632699999998977</v>
      </c>
      <c r="AB7" s="194"/>
      <c r="AC7" s="27">
        <f t="shared" si="42"/>
        <v>0.81</v>
      </c>
      <c r="AD7" s="33">
        <f t="shared" si="21"/>
        <v>2270.2072499999999</v>
      </c>
      <c r="AE7" s="34">
        <f t="shared" si="22"/>
        <v>532.51774999999998</v>
      </c>
      <c r="AF7" s="36">
        <f t="shared" si="3"/>
        <v>-1952.3782349999999</v>
      </c>
      <c r="AG7" s="37">
        <f t="shared" si="4"/>
        <v>2044.8681599999998</v>
      </c>
      <c r="AH7" s="37">
        <f t="shared" si="43"/>
        <v>92.489924999999857</v>
      </c>
      <c r="AI7" s="194"/>
      <c r="AJ7" s="27">
        <f t="shared" si="44"/>
        <v>0</v>
      </c>
      <c r="AK7" s="33">
        <f t="shared" si="23"/>
        <v>0</v>
      </c>
      <c r="AL7" s="34">
        <f t="shared" si="24"/>
        <v>2802.7249999999999</v>
      </c>
      <c r="AM7" s="36">
        <f t="shared" si="5"/>
        <v>0</v>
      </c>
      <c r="AN7" s="37">
        <f t="shared" si="6"/>
        <v>10762.464</v>
      </c>
      <c r="AO7" s="37">
        <f t="shared" si="45"/>
        <v>10762.464</v>
      </c>
      <c r="AP7" s="189"/>
      <c r="AQ7" s="27">
        <f t="shared" si="46"/>
        <v>1</v>
      </c>
      <c r="AR7" s="33">
        <f t="shared" si="25"/>
        <v>2802.7249999999999</v>
      </c>
      <c r="AS7" s="34">
        <f t="shared" si="26"/>
        <v>0</v>
      </c>
      <c r="AT7" s="36">
        <f t="shared" si="7"/>
        <v>3643.5425</v>
      </c>
      <c r="AU7" s="37">
        <f t="shared" si="27"/>
        <v>0</v>
      </c>
      <c r="AV7" s="37">
        <f t="shared" si="47"/>
        <v>3643.5425</v>
      </c>
      <c r="AW7" s="193"/>
      <c r="AX7" s="27">
        <f t="shared" si="48"/>
        <v>0.88</v>
      </c>
      <c r="AY7" s="33">
        <f t="shared" si="28"/>
        <v>2466.3980000000001</v>
      </c>
      <c r="AZ7" s="34">
        <f t="shared" si="29"/>
        <v>336.32699999999977</v>
      </c>
      <c r="BA7" s="36">
        <f t="shared" si="8"/>
        <v>-1257.8629800000001</v>
      </c>
      <c r="BB7" s="37">
        <f t="shared" si="9"/>
        <v>1291.4956799999991</v>
      </c>
      <c r="BC7" s="37">
        <f t="shared" si="49"/>
        <v>33.632699999998977</v>
      </c>
      <c r="BD7" s="194"/>
      <c r="BE7" s="27">
        <f t="shared" si="50"/>
        <v>0.81</v>
      </c>
      <c r="BF7" s="33">
        <f t="shared" si="30"/>
        <v>2270.2072499999999</v>
      </c>
      <c r="BG7" s="34">
        <f t="shared" si="31"/>
        <v>532.51774999999998</v>
      </c>
      <c r="BH7" s="36">
        <f t="shared" si="10"/>
        <v>-1952.3782349999999</v>
      </c>
      <c r="BI7" s="37">
        <f t="shared" si="11"/>
        <v>2044.8681599999998</v>
      </c>
      <c r="BJ7" s="37">
        <f t="shared" si="51"/>
        <v>92.489924999999857</v>
      </c>
      <c r="BK7" s="194"/>
      <c r="BL7" s="27">
        <f t="shared" si="52"/>
        <v>0</v>
      </c>
      <c r="BM7" s="33">
        <f t="shared" si="32"/>
        <v>0</v>
      </c>
      <c r="BN7" s="34">
        <f t="shared" si="33"/>
        <v>2802.7249999999999</v>
      </c>
      <c r="BO7" s="36">
        <f t="shared" si="12"/>
        <v>0</v>
      </c>
      <c r="BP7" s="37">
        <f t="shared" si="13"/>
        <v>10762.464</v>
      </c>
      <c r="BQ7" s="37">
        <f t="shared" si="53"/>
        <v>10762.464</v>
      </c>
      <c r="BR7" s="194"/>
      <c r="BT7" s="4">
        <v>730</v>
      </c>
    </row>
    <row r="8" spans="1:76" s="4" customFormat="1" x14ac:dyDescent="0.3">
      <c r="A8" s="232"/>
      <c r="B8" s="173" t="s">
        <v>7</v>
      </c>
      <c r="C8" s="173">
        <f t="shared" si="0"/>
        <v>379.66</v>
      </c>
      <c r="D8" s="173">
        <v>205</v>
      </c>
      <c r="E8" s="173">
        <v>1906</v>
      </c>
      <c r="F8" s="174">
        <f>C8*('Aircraft Data'!$E$6)</f>
        <v>1188.3358000000001</v>
      </c>
      <c r="G8" s="175">
        <f>('Taxi-In (TXI) IATA Summer 2024'!J9+'Taxi-In (TXI) IATA Summer 2024'!$J$3)/2</f>
        <v>7.05</v>
      </c>
      <c r="H8" s="175">
        <f>('Taxi-Out (TXO) IATA Summer 2024'!J9+'Taxi-Out (TXO) IATA Summer 2024'!$J$3)/2</f>
        <v>12.100000000000001</v>
      </c>
      <c r="I8" s="175">
        <f t="shared" si="34"/>
        <v>220.22500000000002</v>
      </c>
      <c r="J8" s="176">
        <f t="shared" ref="J8" si="58">I8+E8</f>
        <v>2126.2249999999999</v>
      </c>
      <c r="K8" s="177">
        <f t="shared" si="1"/>
        <v>8164.7039999999997</v>
      </c>
      <c r="L8" s="177">
        <f t="shared" si="14"/>
        <v>6718.8709999999992</v>
      </c>
      <c r="M8" s="177">
        <f t="shared" si="15"/>
        <v>1445.8330000000001</v>
      </c>
      <c r="N8" s="189"/>
      <c r="O8" s="178">
        <f t="shared" si="36"/>
        <v>1</v>
      </c>
      <c r="P8" s="175">
        <f t="shared" si="16"/>
        <v>2126.2249999999999</v>
      </c>
      <c r="Q8" s="179">
        <f t="shared" si="17"/>
        <v>0</v>
      </c>
      <c r="R8" s="180">
        <f t="shared" si="37"/>
        <v>2764.0925000000002</v>
      </c>
      <c r="S8" s="181">
        <f t="shared" ref="S8" si="59">Q8*$C$36</f>
        <v>0</v>
      </c>
      <c r="T8" s="181">
        <f t="shared" si="39"/>
        <v>2764.0925000000002</v>
      </c>
      <c r="U8" s="193"/>
      <c r="V8" s="178">
        <f t="shared" si="40"/>
        <v>0.88</v>
      </c>
      <c r="W8" s="69">
        <f t="shared" si="18"/>
        <v>1871.078</v>
      </c>
      <c r="X8" s="70">
        <f t="shared" si="19"/>
        <v>255.14699999999993</v>
      </c>
      <c r="Y8" s="180">
        <f t="shared" si="20"/>
        <v>-954.24977999999999</v>
      </c>
      <c r="Z8" s="181">
        <f t="shared" si="2"/>
        <v>979.76447999999971</v>
      </c>
      <c r="AA8" s="181">
        <f t="shared" si="41"/>
        <v>25.514699999999721</v>
      </c>
      <c r="AB8" s="194"/>
      <c r="AC8" s="178">
        <f t="shared" si="42"/>
        <v>0.81</v>
      </c>
      <c r="AD8" s="175">
        <f t="shared" si="21"/>
        <v>1722.24225</v>
      </c>
      <c r="AE8" s="179">
        <f t="shared" si="22"/>
        <v>403.9827499999999</v>
      </c>
      <c r="AF8" s="180">
        <f t="shared" si="3"/>
        <v>-1481.1283349999999</v>
      </c>
      <c r="AG8" s="181">
        <f t="shared" si="4"/>
        <v>1551.2937599999996</v>
      </c>
      <c r="AH8" s="181">
        <f t="shared" si="43"/>
        <v>70.165424999999686</v>
      </c>
      <c r="AI8" s="194"/>
      <c r="AJ8" s="178">
        <f t="shared" si="44"/>
        <v>0</v>
      </c>
      <c r="AK8" s="175">
        <f t="shared" si="23"/>
        <v>0</v>
      </c>
      <c r="AL8" s="179">
        <f t="shared" si="24"/>
        <v>2126.2249999999999</v>
      </c>
      <c r="AM8" s="180">
        <f t="shared" si="5"/>
        <v>0</v>
      </c>
      <c r="AN8" s="181">
        <f t="shared" si="6"/>
        <v>8164.7039999999997</v>
      </c>
      <c r="AO8" s="181">
        <f t="shared" si="45"/>
        <v>8164.7039999999997</v>
      </c>
      <c r="AP8" s="189"/>
      <c r="AQ8" s="178">
        <f t="shared" si="46"/>
        <v>1</v>
      </c>
      <c r="AR8" s="175">
        <f t="shared" si="25"/>
        <v>2126.2249999999999</v>
      </c>
      <c r="AS8" s="179">
        <f t="shared" si="26"/>
        <v>0</v>
      </c>
      <c r="AT8" s="180">
        <f t="shared" si="7"/>
        <v>2764.0925000000002</v>
      </c>
      <c r="AU8" s="181">
        <f t="shared" si="27"/>
        <v>0</v>
      </c>
      <c r="AV8" s="181">
        <f t="shared" si="47"/>
        <v>2764.0925000000002</v>
      </c>
      <c r="AW8" s="193"/>
      <c r="AX8" s="178">
        <f t="shared" si="48"/>
        <v>0.88</v>
      </c>
      <c r="AY8" s="69">
        <f t="shared" si="28"/>
        <v>1871.078</v>
      </c>
      <c r="AZ8" s="70">
        <f t="shared" si="29"/>
        <v>255.14699999999993</v>
      </c>
      <c r="BA8" s="180">
        <f t="shared" si="8"/>
        <v>-954.24977999999999</v>
      </c>
      <c r="BB8" s="181">
        <f t="shared" si="9"/>
        <v>979.76447999999971</v>
      </c>
      <c r="BC8" s="181">
        <f t="shared" si="49"/>
        <v>25.514699999999721</v>
      </c>
      <c r="BD8" s="194"/>
      <c r="BE8" s="178">
        <f t="shared" si="50"/>
        <v>0.81</v>
      </c>
      <c r="BF8" s="175">
        <f t="shared" si="30"/>
        <v>1722.24225</v>
      </c>
      <c r="BG8" s="179">
        <f t="shared" si="31"/>
        <v>403.9827499999999</v>
      </c>
      <c r="BH8" s="180">
        <f t="shared" si="10"/>
        <v>-1481.1283349999999</v>
      </c>
      <c r="BI8" s="181">
        <f t="shared" si="11"/>
        <v>1551.2937599999996</v>
      </c>
      <c r="BJ8" s="181">
        <f t="shared" si="51"/>
        <v>70.165424999999686</v>
      </c>
      <c r="BK8" s="194"/>
      <c r="BL8" s="178">
        <f t="shared" si="52"/>
        <v>0</v>
      </c>
      <c r="BM8" s="175">
        <f t="shared" si="32"/>
        <v>0</v>
      </c>
      <c r="BN8" s="179">
        <f t="shared" si="33"/>
        <v>2126.2249999999999</v>
      </c>
      <c r="BO8" s="180">
        <f t="shared" si="12"/>
        <v>0</v>
      </c>
      <c r="BP8" s="181">
        <f t="shared" si="13"/>
        <v>8164.7039999999997</v>
      </c>
      <c r="BQ8" s="181">
        <f t="shared" si="53"/>
        <v>8164.7039999999997</v>
      </c>
      <c r="BR8" s="194"/>
      <c r="BT8" s="4">
        <v>312</v>
      </c>
    </row>
    <row r="9" spans="1:76" s="4" customFormat="1" x14ac:dyDescent="0.3">
      <c r="A9" s="232"/>
      <c r="B9" s="8" t="s">
        <v>8</v>
      </c>
      <c r="C9" s="8">
        <f t="shared" si="0"/>
        <v>229.64800000000002</v>
      </c>
      <c r="D9" s="8">
        <v>124</v>
      </c>
      <c r="E9" s="8">
        <v>1246</v>
      </c>
      <c r="F9" s="64">
        <f>C9*('Aircraft Data'!$E$6)</f>
        <v>718.79824000000008</v>
      </c>
      <c r="G9" s="33">
        <f>('Taxi-In (TXI) IATA Summer 2024'!J10+'Taxi-In (TXI) IATA Summer 2024'!$J$3)/2</f>
        <v>7.75</v>
      </c>
      <c r="H9" s="33">
        <f>('Taxi-Out (TXO) IATA Summer 2024'!J10+'Taxi-Out (TXO) IATA Summer 2024'!$J$3)/2</f>
        <v>13.15</v>
      </c>
      <c r="I9" s="33">
        <f t="shared" si="34"/>
        <v>240.35</v>
      </c>
      <c r="J9" s="43">
        <f t="shared" ref="J9" si="60">E9+I9</f>
        <v>1486.35</v>
      </c>
      <c r="K9" s="42">
        <f t="shared" si="1"/>
        <v>5707.5839999999998</v>
      </c>
      <c r="L9" s="42">
        <f t="shared" si="14"/>
        <v>4696.866</v>
      </c>
      <c r="M9" s="42">
        <f t="shared" si="15"/>
        <v>1010.7180000000001</v>
      </c>
      <c r="N9" s="189"/>
      <c r="O9" s="27">
        <f t="shared" si="36"/>
        <v>1</v>
      </c>
      <c r="P9" s="33">
        <f t="shared" si="16"/>
        <v>1486.35</v>
      </c>
      <c r="Q9" s="34">
        <f t="shared" si="17"/>
        <v>0</v>
      </c>
      <c r="R9" s="36">
        <f t="shared" si="37"/>
        <v>1932.2549999999999</v>
      </c>
      <c r="S9" s="37">
        <f t="shared" ref="S9" si="61">Q9*$C$35</f>
        <v>0</v>
      </c>
      <c r="T9" s="37">
        <f t="shared" si="39"/>
        <v>1932.2549999999999</v>
      </c>
      <c r="U9" s="193"/>
      <c r="V9" s="27">
        <f t="shared" si="40"/>
        <v>0.88</v>
      </c>
      <c r="W9" s="33">
        <f t="shared" si="18"/>
        <v>1307.9879999999998</v>
      </c>
      <c r="X9" s="34">
        <f t="shared" si="19"/>
        <v>178.36200000000008</v>
      </c>
      <c r="Y9" s="36">
        <f t="shared" si="20"/>
        <v>-667.07387999999992</v>
      </c>
      <c r="Z9" s="37">
        <f t="shared" si="2"/>
        <v>684.91008000000033</v>
      </c>
      <c r="AA9" s="37">
        <f t="shared" si="41"/>
        <v>17.836200000000417</v>
      </c>
      <c r="AB9" s="194"/>
      <c r="AC9" s="27">
        <f t="shared" si="42"/>
        <v>0.81</v>
      </c>
      <c r="AD9" s="33">
        <f t="shared" si="21"/>
        <v>1203.9435000000001</v>
      </c>
      <c r="AE9" s="34">
        <f t="shared" si="22"/>
        <v>282.40649999999982</v>
      </c>
      <c r="AF9" s="36">
        <f t="shared" si="3"/>
        <v>-1035.39141</v>
      </c>
      <c r="AG9" s="37">
        <f t="shared" si="4"/>
        <v>1084.4409599999992</v>
      </c>
      <c r="AH9" s="37">
        <f t="shared" si="43"/>
        <v>49.049549999999272</v>
      </c>
      <c r="AI9" s="194"/>
      <c r="AJ9" s="27">
        <f t="shared" si="44"/>
        <v>0</v>
      </c>
      <c r="AK9" s="33">
        <f t="shared" si="23"/>
        <v>0</v>
      </c>
      <c r="AL9" s="34">
        <f t="shared" si="24"/>
        <v>1486.35</v>
      </c>
      <c r="AM9" s="36">
        <f t="shared" si="5"/>
        <v>0</v>
      </c>
      <c r="AN9" s="37">
        <f t="shared" si="6"/>
        <v>5707.5839999999998</v>
      </c>
      <c r="AO9" s="37">
        <f t="shared" si="45"/>
        <v>5707.5839999999998</v>
      </c>
      <c r="AP9" s="189"/>
      <c r="AQ9" s="27">
        <f t="shared" si="46"/>
        <v>1</v>
      </c>
      <c r="AR9" s="33">
        <f t="shared" si="25"/>
        <v>1486.35</v>
      </c>
      <c r="AS9" s="34">
        <f t="shared" si="26"/>
        <v>0</v>
      </c>
      <c r="AT9" s="36">
        <f t="shared" si="7"/>
        <v>1932.2549999999999</v>
      </c>
      <c r="AU9" s="37">
        <f t="shared" si="27"/>
        <v>0</v>
      </c>
      <c r="AV9" s="37">
        <f t="shared" si="47"/>
        <v>1932.2549999999999</v>
      </c>
      <c r="AW9" s="193"/>
      <c r="AX9" s="27">
        <f t="shared" si="48"/>
        <v>0.88</v>
      </c>
      <c r="AY9" s="33">
        <f t="shared" si="28"/>
        <v>1307.9879999999998</v>
      </c>
      <c r="AZ9" s="34">
        <f t="shared" si="29"/>
        <v>178.36200000000008</v>
      </c>
      <c r="BA9" s="36">
        <f t="shared" si="8"/>
        <v>-667.07387999999992</v>
      </c>
      <c r="BB9" s="37">
        <f t="shared" si="9"/>
        <v>684.91008000000033</v>
      </c>
      <c r="BC9" s="37">
        <f t="shared" si="49"/>
        <v>17.836200000000417</v>
      </c>
      <c r="BD9" s="194"/>
      <c r="BE9" s="27">
        <f t="shared" si="50"/>
        <v>0.81</v>
      </c>
      <c r="BF9" s="33">
        <f t="shared" si="30"/>
        <v>1203.9435000000001</v>
      </c>
      <c r="BG9" s="34">
        <f t="shared" si="31"/>
        <v>282.40649999999982</v>
      </c>
      <c r="BH9" s="36">
        <f t="shared" si="10"/>
        <v>-1035.39141</v>
      </c>
      <c r="BI9" s="37">
        <f t="shared" si="11"/>
        <v>1084.4409599999992</v>
      </c>
      <c r="BJ9" s="37">
        <f t="shared" si="51"/>
        <v>49.049549999999272</v>
      </c>
      <c r="BK9" s="194"/>
      <c r="BL9" s="27">
        <f t="shared" si="52"/>
        <v>0</v>
      </c>
      <c r="BM9" s="33">
        <f t="shared" si="32"/>
        <v>0</v>
      </c>
      <c r="BN9" s="34">
        <f t="shared" si="33"/>
        <v>1486.35</v>
      </c>
      <c r="BO9" s="36">
        <f t="shared" si="12"/>
        <v>0</v>
      </c>
      <c r="BP9" s="37">
        <f t="shared" si="13"/>
        <v>5707.5839999999998</v>
      </c>
      <c r="BQ9" s="37">
        <f t="shared" si="53"/>
        <v>5707.5839999999998</v>
      </c>
      <c r="BR9" s="194"/>
      <c r="BT9" s="4">
        <v>312</v>
      </c>
    </row>
    <row r="10" spans="1:76" s="4" customFormat="1" x14ac:dyDescent="0.3">
      <c r="A10" s="232"/>
      <c r="B10" s="173" t="s">
        <v>9</v>
      </c>
      <c r="C10" s="173">
        <f t="shared" si="0"/>
        <v>664.86800000000005</v>
      </c>
      <c r="D10" s="173">
        <v>359</v>
      </c>
      <c r="E10" s="173">
        <v>2771</v>
      </c>
      <c r="F10" s="174">
        <f>C10*('Aircraft Data'!$E$6)</f>
        <v>2081.0368400000002</v>
      </c>
      <c r="G10" s="175">
        <f>('Taxi-In (TXI) IATA Summer 2024'!J11+'Taxi-In (TXI) IATA Summer 2024'!$J$3)/2</f>
        <v>7.35</v>
      </c>
      <c r="H10" s="175">
        <f>('Taxi-Out (TXO) IATA Summer 2024'!J11+'Taxi-Out (TXO) IATA Summer 2024'!$J$3)/2</f>
        <v>13.5</v>
      </c>
      <c r="I10" s="175">
        <f t="shared" si="34"/>
        <v>239.77500000000001</v>
      </c>
      <c r="J10" s="176">
        <f t="shared" ref="J10" si="62">I10+E10</f>
        <v>3010.7750000000001</v>
      </c>
      <c r="K10" s="177">
        <f t="shared" si="1"/>
        <v>11561.376</v>
      </c>
      <c r="L10" s="177">
        <f t="shared" si="14"/>
        <v>9514.0489999999991</v>
      </c>
      <c r="M10" s="177">
        <f t="shared" si="15"/>
        <v>2047.3270000000002</v>
      </c>
      <c r="N10" s="189"/>
      <c r="O10" s="178">
        <f t="shared" si="36"/>
        <v>1</v>
      </c>
      <c r="P10" s="175">
        <f t="shared" si="16"/>
        <v>3010.7750000000001</v>
      </c>
      <c r="Q10" s="179">
        <f t="shared" si="17"/>
        <v>0</v>
      </c>
      <c r="R10" s="180">
        <f t="shared" si="37"/>
        <v>3914.0075000000002</v>
      </c>
      <c r="S10" s="181">
        <f t="shared" ref="S10" si="63">Q10*$C$36</f>
        <v>0</v>
      </c>
      <c r="T10" s="181">
        <f t="shared" si="39"/>
        <v>3914.0075000000002</v>
      </c>
      <c r="U10" s="193"/>
      <c r="V10" s="178">
        <f t="shared" si="40"/>
        <v>0.88</v>
      </c>
      <c r="W10" s="69">
        <f t="shared" si="18"/>
        <v>2649.482</v>
      </c>
      <c r="X10" s="70">
        <f t="shared" si="19"/>
        <v>361.29300000000012</v>
      </c>
      <c r="Y10" s="180">
        <f t="shared" si="20"/>
        <v>-1351.2358200000001</v>
      </c>
      <c r="Z10" s="181">
        <f t="shared" si="2"/>
        <v>1387.3651200000004</v>
      </c>
      <c r="AA10" s="181">
        <f t="shared" si="41"/>
        <v>36.129300000000285</v>
      </c>
      <c r="AB10" s="194"/>
      <c r="AC10" s="178">
        <f t="shared" si="42"/>
        <v>0.81</v>
      </c>
      <c r="AD10" s="175">
        <f t="shared" si="21"/>
        <v>2438.72775</v>
      </c>
      <c r="AE10" s="179">
        <f t="shared" si="22"/>
        <v>572.04725000000008</v>
      </c>
      <c r="AF10" s="180">
        <f t="shared" si="3"/>
        <v>-2097.3058649999998</v>
      </c>
      <c r="AG10" s="181">
        <f t="shared" si="4"/>
        <v>2196.6614400000003</v>
      </c>
      <c r="AH10" s="181">
        <f t="shared" si="43"/>
        <v>99.355575000000499</v>
      </c>
      <c r="AI10" s="194"/>
      <c r="AJ10" s="178">
        <f t="shared" si="44"/>
        <v>0</v>
      </c>
      <c r="AK10" s="175">
        <f t="shared" si="23"/>
        <v>0</v>
      </c>
      <c r="AL10" s="179">
        <f t="shared" si="24"/>
        <v>3010.7750000000001</v>
      </c>
      <c r="AM10" s="180">
        <f t="shared" si="5"/>
        <v>0</v>
      </c>
      <c r="AN10" s="181">
        <f t="shared" si="6"/>
        <v>11561.376</v>
      </c>
      <c r="AO10" s="181">
        <f t="shared" si="45"/>
        <v>11561.376</v>
      </c>
      <c r="AP10" s="189"/>
      <c r="AQ10" s="178">
        <f t="shared" si="46"/>
        <v>1</v>
      </c>
      <c r="AR10" s="175">
        <f t="shared" si="25"/>
        <v>3010.7750000000001</v>
      </c>
      <c r="AS10" s="179">
        <f t="shared" si="26"/>
        <v>0</v>
      </c>
      <c r="AT10" s="180">
        <f t="shared" si="7"/>
        <v>3914.0075000000002</v>
      </c>
      <c r="AU10" s="181">
        <f t="shared" si="27"/>
        <v>0</v>
      </c>
      <c r="AV10" s="181">
        <f t="shared" si="47"/>
        <v>3914.0075000000002</v>
      </c>
      <c r="AW10" s="193"/>
      <c r="AX10" s="178">
        <f t="shared" si="48"/>
        <v>0.88</v>
      </c>
      <c r="AY10" s="69">
        <f t="shared" si="28"/>
        <v>2649.482</v>
      </c>
      <c r="AZ10" s="70">
        <f t="shared" si="29"/>
        <v>361.29300000000012</v>
      </c>
      <c r="BA10" s="180">
        <f t="shared" si="8"/>
        <v>-1351.2358200000001</v>
      </c>
      <c r="BB10" s="181">
        <f t="shared" si="9"/>
        <v>1387.3651200000004</v>
      </c>
      <c r="BC10" s="181">
        <f t="shared" si="49"/>
        <v>36.129300000000285</v>
      </c>
      <c r="BD10" s="194"/>
      <c r="BE10" s="178">
        <f t="shared" si="50"/>
        <v>0.81</v>
      </c>
      <c r="BF10" s="175">
        <f t="shared" si="30"/>
        <v>2438.72775</v>
      </c>
      <c r="BG10" s="179">
        <f t="shared" si="31"/>
        <v>572.04725000000008</v>
      </c>
      <c r="BH10" s="180">
        <f t="shared" si="10"/>
        <v>-2097.3058649999998</v>
      </c>
      <c r="BI10" s="181">
        <f t="shared" si="11"/>
        <v>2196.6614400000003</v>
      </c>
      <c r="BJ10" s="181">
        <f t="shared" si="51"/>
        <v>99.355575000000499</v>
      </c>
      <c r="BK10" s="194"/>
      <c r="BL10" s="178">
        <f t="shared" si="52"/>
        <v>0</v>
      </c>
      <c r="BM10" s="175">
        <f t="shared" si="32"/>
        <v>0</v>
      </c>
      <c r="BN10" s="179">
        <f t="shared" si="33"/>
        <v>3010.7750000000001</v>
      </c>
      <c r="BO10" s="180">
        <f t="shared" si="12"/>
        <v>0</v>
      </c>
      <c r="BP10" s="181">
        <f t="shared" si="13"/>
        <v>11561.376</v>
      </c>
      <c r="BQ10" s="181">
        <f t="shared" si="53"/>
        <v>11561.376</v>
      </c>
      <c r="BR10" s="194"/>
      <c r="BT10" s="4">
        <v>730</v>
      </c>
    </row>
    <row r="11" spans="1:76" s="4" customFormat="1" x14ac:dyDescent="0.3">
      <c r="A11" s="232"/>
      <c r="B11" s="8" t="s">
        <v>740</v>
      </c>
      <c r="C11" s="8">
        <f t="shared" si="0"/>
        <v>398.18</v>
      </c>
      <c r="D11" s="8">
        <v>215</v>
      </c>
      <c r="E11" s="8">
        <v>1997</v>
      </c>
      <c r="F11" s="64">
        <f>C11*('Aircraft Data'!$E$6)</f>
        <v>1246.3034</v>
      </c>
      <c r="G11" s="33">
        <f>('Taxi-In (TXI) IATA Summer 2024'!J12+'Taxi-In (TXI) IATA Summer 2024'!$J$3)/2</f>
        <v>9.3000000000000007</v>
      </c>
      <c r="H11" s="33">
        <f>('Taxi-Out (TXO) IATA Summer 2024'!J12+'Taxi-Out (TXO) IATA Summer 2024'!$J$3)/2</f>
        <v>14.850000000000001</v>
      </c>
      <c r="I11" s="33">
        <f t="shared" si="34"/>
        <v>277.72500000000002</v>
      </c>
      <c r="J11" s="43">
        <f t="shared" ref="J11" si="64">E11+I11</f>
        <v>2274.7249999999999</v>
      </c>
      <c r="K11" s="42">
        <f t="shared" si="1"/>
        <v>8734.9439999999995</v>
      </c>
      <c r="L11" s="42">
        <f t="shared" si="14"/>
        <v>7188.1309999999994</v>
      </c>
      <c r="M11" s="42">
        <f t="shared" si="15"/>
        <v>1546.8130000000001</v>
      </c>
      <c r="N11" s="189"/>
      <c r="O11" s="27">
        <f t="shared" si="36"/>
        <v>1</v>
      </c>
      <c r="P11" s="33">
        <f t="shared" si="16"/>
        <v>2274.7249999999999</v>
      </c>
      <c r="Q11" s="34">
        <f t="shared" si="17"/>
        <v>0</v>
      </c>
      <c r="R11" s="36">
        <f t="shared" si="37"/>
        <v>2957.1424999999999</v>
      </c>
      <c r="S11" s="37">
        <f t="shared" ref="S11" si="65">Q11*$C$35</f>
        <v>0</v>
      </c>
      <c r="T11" s="37">
        <f t="shared" si="39"/>
        <v>2957.1424999999999</v>
      </c>
      <c r="U11" s="193"/>
      <c r="V11" s="27">
        <f t="shared" si="40"/>
        <v>0.88</v>
      </c>
      <c r="W11" s="33">
        <f t="shared" si="18"/>
        <v>2001.758</v>
      </c>
      <c r="X11" s="34">
        <f t="shared" si="19"/>
        <v>272.96699999999987</v>
      </c>
      <c r="Y11" s="36">
        <f t="shared" si="20"/>
        <v>-1020.8965800000001</v>
      </c>
      <c r="Z11" s="37">
        <f t="shared" si="2"/>
        <v>1048.1932799999995</v>
      </c>
      <c r="AA11" s="37">
        <f t="shared" si="41"/>
        <v>27.296699999999419</v>
      </c>
      <c r="AB11" s="194"/>
      <c r="AC11" s="27">
        <f t="shared" si="42"/>
        <v>0.81</v>
      </c>
      <c r="AD11" s="33">
        <f t="shared" si="21"/>
        <v>1842.5272500000001</v>
      </c>
      <c r="AE11" s="34">
        <f t="shared" si="22"/>
        <v>432.19774999999981</v>
      </c>
      <c r="AF11" s="36">
        <f t="shared" si="3"/>
        <v>-1584.573435</v>
      </c>
      <c r="AG11" s="37">
        <f t="shared" si="4"/>
        <v>1659.6393599999992</v>
      </c>
      <c r="AH11" s="37">
        <f t="shared" si="43"/>
        <v>75.065924999999197</v>
      </c>
      <c r="AI11" s="194"/>
      <c r="AJ11" s="27">
        <f t="shared" si="44"/>
        <v>0</v>
      </c>
      <c r="AK11" s="33">
        <f t="shared" si="23"/>
        <v>0</v>
      </c>
      <c r="AL11" s="34">
        <f t="shared" si="24"/>
        <v>2274.7249999999999</v>
      </c>
      <c r="AM11" s="36">
        <f t="shared" si="5"/>
        <v>0</v>
      </c>
      <c r="AN11" s="37">
        <f t="shared" si="6"/>
        <v>8734.9439999999995</v>
      </c>
      <c r="AO11" s="37">
        <f t="shared" si="45"/>
        <v>8734.9439999999995</v>
      </c>
      <c r="AP11" s="189"/>
      <c r="AQ11" s="27">
        <f t="shared" si="46"/>
        <v>1</v>
      </c>
      <c r="AR11" s="33">
        <f t="shared" si="25"/>
        <v>2274.7249999999999</v>
      </c>
      <c r="AS11" s="34">
        <f t="shared" si="26"/>
        <v>0</v>
      </c>
      <c r="AT11" s="36">
        <f t="shared" si="7"/>
        <v>2957.1424999999999</v>
      </c>
      <c r="AU11" s="37">
        <f t="shared" si="27"/>
        <v>0</v>
      </c>
      <c r="AV11" s="37">
        <f t="shared" si="47"/>
        <v>2957.1424999999999</v>
      </c>
      <c r="AW11" s="193"/>
      <c r="AX11" s="27">
        <f t="shared" si="48"/>
        <v>0.88</v>
      </c>
      <c r="AY11" s="33">
        <f t="shared" si="28"/>
        <v>2001.758</v>
      </c>
      <c r="AZ11" s="34">
        <f t="shared" si="29"/>
        <v>272.96699999999987</v>
      </c>
      <c r="BA11" s="36">
        <f t="shared" si="8"/>
        <v>-1020.8965800000001</v>
      </c>
      <c r="BB11" s="37">
        <f t="shared" si="9"/>
        <v>1048.1932799999995</v>
      </c>
      <c r="BC11" s="37">
        <f t="shared" si="49"/>
        <v>27.296699999999419</v>
      </c>
      <c r="BD11" s="194"/>
      <c r="BE11" s="27">
        <f t="shared" si="50"/>
        <v>0.81</v>
      </c>
      <c r="BF11" s="33">
        <f t="shared" si="30"/>
        <v>1842.5272500000001</v>
      </c>
      <c r="BG11" s="34">
        <f t="shared" si="31"/>
        <v>432.19774999999981</v>
      </c>
      <c r="BH11" s="36">
        <f t="shared" si="10"/>
        <v>-1584.573435</v>
      </c>
      <c r="BI11" s="37">
        <f t="shared" si="11"/>
        <v>1659.6393599999992</v>
      </c>
      <c r="BJ11" s="37">
        <f t="shared" si="51"/>
        <v>75.065924999999197</v>
      </c>
      <c r="BK11" s="194"/>
      <c r="BL11" s="27">
        <f t="shared" si="52"/>
        <v>0</v>
      </c>
      <c r="BM11" s="33">
        <f t="shared" si="32"/>
        <v>0</v>
      </c>
      <c r="BN11" s="34">
        <f t="shared" si="33"/>
        <v>2274.7249999999999</v>
      </c>
      <c r="BO11" s="36">
        <f t="shared" si="12"/>
        <v>0</v>
      </c>
      <c r="BP11" s="37">
        <f t="shared" si="13"/>
        <v>8734.9439999999995</v>
      </c>
      <c r="BQ11" s="37">
        <f t="shared" si="53"/>
        <v>8734.9439999999995</v>
      </c>
      <c r="BR11" s="194"/>
      <c r="BT11" s="4">
        <v>1460</v>
      </c>
    </row>
    <row r="12" spans="1:76" s="4" customFormat="1" x14ac:dyDescent="0.3">
      <c r="A12" s="232"/>
      <c r="B12" s="173" t="s">
        <v>11</v>
      </c>
      <c r="C12" s="173">
        <f t="shared" si="0"/>
        <v>987.1160000000001</v>
      </c>
      <c r="D12" s="173">
        <v>533</v>
      </c>
      <c r="E12" s="173">
        <v>4004</v>
      </c>
      <c r="F12" s="174">
        <f>C12*('Aircraft Data'!$E$6)</f>
        <v>3089.67308</v>
      </c>
      <c r="G12" s="175">
        <f>('Taxi-In (TXI) IATA Summer 2024'!J13+'Taxi-In (TXI) IATA Summer 2024'!$J$3)/2</f>
        <v>7.05</v>
      </c>
      <c r="H12" s="175">
        <f>('Taxi-Out (TXO) IATA Summer 2024'!J13+'Taxi-Out (TXO) IATA Summer 2024'!$J$3)/2</f>
        <v>12.4</v>
      </c>
      <c r="I12" s="175">
        <f t="shared" si="34"/>
        <v>223.67499999999998</v>
      </c>
      <c r="J12" s="176">
        <f t="shared" ref="J12" si="66">I12+E12</f>
        <v>4227.6750000000002</v>
      </c>
      <c r="K12" s="177">
        <f t="shared" si="1"/>
        <v>16234.272000000001</v>
      </c>
      <c r="L12" s="177">
        <f t="shared" si="14"/>
        <v>13359.453000000001</v>
      </c>
      <c r="M12" s="177">
        <f t="shared" si="15"/>
        <v>2874.8190000000004</v>
      </c>
      <c r="N12" s="189"/>
      <c r="O12" s="178">
        <f t="shared" si="36"/>
        <v>1</v>
      </c>
      <c r="P12" s="175">
        <f t="shared" si="16"/>
        <v>4227.6750000000002</v>
      </c>
      <c r="Q12" s="179">
        <f t="shared" si="17"/>
        <v>0</v>
      </c>
      <c r="R12" s="180">
        <f t="shared" si="37"/>
        <v>5495.9775000000009</v>
      </c>
      <c r="S12" s="181">
        <f t="shared" ref="S12" si="67">Q12*$C$36</f>
        <v>0</v>
      </c>
      <c r="T12" s="181">
        <f t="shared" si="39"/>
        <v>5495.9775000000009</v>
      </c>
      <c r="U12" s="193"/>
      <c r="V12" s="178">
        <f t="shared" si="40"/>
        <v>0.88</v>
      </c>
      <c r="W12" s="69">
        <f t="shared" si="18"/>
        <v>3720.3540000000003</v>
      </c>
      <c r="X12" s="70">
        <f t="shared" si="19"/>
        <v>507.32099999999991</v>
      </c>
      <c r="Y12" s="180">
        <f t="shared" si="20"/>
        <v>-1897.3805400000001</v>
      </c>
      <c r="Z12" s="181">
        <f t="shared" si="2"/>
        <v>1948.1126399999996</v>
      </c>
      <c r="AA12" s="181">
        <f t="shared" si="41"/>
        <v>50.732099999999491</v>
      </c>
      <c r="AB12" s="194"/>
      <c r="AC12" s="178">
        <f t="shared" si="42"/>
        <v>0.81</v>
      </c>
      <c r="AD12" s="175">
        <f t="shared" si="21"/>
        <v>3424.4167500000003</v>
      </c>
      <c r="AE12" s="179">
        <f t="shared" si="22"/>
        <v>803.25824999999986</v>
      </c>
      <c r="AF12" s="180">
        <f t="shared" si="3"/>
        <v>-2944.9984050000003</v>
      </c>
      <c r="AG12" s="181">
        <f t="shared" si="4"/>
        <v>3084.5116799999992</v>
      </c>
      <c r="AH12" s="181">
        <f t="shared" si="43"/>
        <v>139.51327499999888</v>
      </c>
      <c r="AI12" s="194"/>
      <c r="AJ12" s="178">
        <f t="shared" si="44"/>
        <v>0</v>
      </c>
      <c r="AK12" s="175">
        <f t="shared" si="23"/>
        <v>0</v>
      </c>
      <c r="AL12" s="179">
        <f t="shared" si="24"/>
        <v>4227.6750000000002</v>
      </c>
      <c r="AM12" s="180">
        <f t="shared" si="5"/>
        <v>0</v>
      </c>
      <c r="AN12" s="181">
        <f t="shared" si="6"/>
        <v>16234.272000000001</v>
      </c>
      <c r="AO12" s="181">
        <f t="shared" si="45"/>
        <v>16234.272000000001</v>
      </c>
      <c r="AP12" s="189"/>
      <c r="AQ12" s="178">
        <f t="shared" si="46"/>
        <v>1</v>
      </c>
      <c r="AR12" s="175">
        <f t="shared" si="25"/>
        <v>4227.6750000000002</v>
      </c>
      <c r="AS12" s="179">
        <f t="shared" si="26"/>
        <v>0</v>
      </c>
      <c r="AT12" s="180">
        <f t="shared" si="7"/>
        <v>5495.9775000000009</v>
      </c>
      <c r="AU12" s="181">
        <f t="shared" si="27"/>
        <v>0</v>
      </c>
      <c r="AV12" s="181">
        <f t="shared" si="47"/>
        <v>5495.9775000000009</v>
      </c>
      <c r="AW12" s="193"/>
      <c r="AX12" s="178">
        <f t="shared" si="48"/>
        <v>0.88</v>
      </c>
      <c r="AY12" s="69">
        <f t="shared" si="28"/>
        <v>3720.3540000000003</v>
      </c>
      <c r="AZ12" s="70">
        <f t="shared" si="29"/>
        <v>507.32099999999991</v>
      </c>
      <c r="BA12" s="180">
        <f t="shared" si="8"/>
        <v>-1897.3805400000001</v>
      </c>
      <c r="BB12" s="181">
        <f t="shared" si="9"/>
        <v>1948.1126399999996</v>
      </c>
      <c r="BC12" s="181">
        <f t="shared" si="49"/>
        <v>50.732099999999491</v>
      </c>
      <c r="BD12" s="194"/>
      <c r="BE12" s="178">
        <f t="shared" si="50"/>
        <v>0.81</v>
      </c>
      <c r="BF12" s="175">
        <f t="shared" si="30"/>
        <v>3424.4167500000003</v>
      </c>
      <c r="BG12" s="179">
        <f t="shared" si="31"/>
        <v>803.25824999999986</v>
      </c>
      <c r="BH12" s="180">
        <f t="shared" si="10"/>
        <v>-2944.9984050000003</v>
      </c>
      <c r="BI12" s="181">
        <f t="shared" si="11"/>
        <v>3084.5116799999992</v>
      </c>
      <c r="BJ12" s="181">
        <f t="shared" si="51"/>
        <v>139.51327499999888</v>
      </c>
      <c r="BK12" s="194"/>
      <c r="BL12" s="178">
        <f t="shared" si="52"/>
        <v>0</v>
      </c>
      <c r="BM12" s="175">
        <f t="shared" si="32"/>
        <v>0</v>
      </c>
      <c r="BN12" s="179">
        <f t="shared" si="33"/>
        <v>4227.6750000000002</v>
      </c>
      <c r="BO12" s="180">
        <f t="shared" si="12"/>
        <v>0</v>
      </c>
      <c r="BP12" s="181">
        <f t="shared" si="13"/>
        <v>16234.272000000001</v>
      </c>
      <c r="BQ12" s="181">
        <f t="shared" si="53"/>
        <v>16234.272000000001</v>
      </c>
      <c r="BR12" s="194"/>
      <c r="BT12" s="4">
        <v>312</v>
      </c>
    </row>
    <row r="13" spans="1:76" s="4" customFormat="1" x14ac:dyDescent="0.3">
      <c r="A13" s="232"/>
      <c r="B13" s="8" t="s">
        <v>12</v>
      </c>
      <c r="C13" s="8">
        <f t="shared" si="0"/>
        <v>796.36</v>
      </c>
      <c r="D13" s="8">
        <v>430</v>
      </c>
      <c r="E13" s="8">
        <v>3338</v>
      </c>
      <c r="F13" s="64">
        <f>C13*('Aircraft Data'!$E$6)</f>
        <v>2492.6068</v>
      </c>
      <c r="G13" s="33">
        <f>('Taxi-In (TXI) IATA Summer 2024'!J14+'Taxi-In (TXI) IATA Summer 2024'!$J$3)/2</f>
        <v>7.1999999999999993</v>
      </c>
      <c r="H13" s="33">
        <f>('Taxi-Out (TXO) IATA Summer 2024'!J14+'Taxi-Out (TXO) IATA Summer 2024'!$J$3)/2</f>
        <v>14.55</v>
      </c>
      <c r="I13" s="33">
        <f t="shared" si="34"/>
        <v>250.125</v>
      </c>
      <c r="J13" s="43">
        <f t="shared" ref="J13" si="68">E13+I13</f>
        <v>3588.125</v>
      </c>
      <c r="K13" s="42">
        <f t="shared" si="1"/>
        <v>13778.4</v>
      </c>
      <c r="L13" s="42">
        <f t="shared" si="14"/>
        <v>11338.474999999999</v>
      </c>
      <c r="M13" s="42">
        <f t="shared" si="15"/>
        <v>2439.9250000000002</v>
      </c>
      <c r="N13" s="189"/>
      <c r="O13" s="27">
        <f t="shared" si="36"/>
        <v>1</v>
      </c>
      <c r="P13" s="33">
        <f t="shared" si="16"/>
        <v>3588.125</v>
      </c>
      <c r="Q13" s="34">
        <f t="shared" si="17"/>
        <v>0</v>
      </c>
      <c r="R13" s="36">
        <f t="shared" si="37"/>
        <v>4664.5625</v>
      </c>
      <c r="S13" s="37">
        <f t="shared" ref="S13" si="69">Q13*$C$35</f>
        <v>0</v>
      </c>
      <c r="T13" s="37">
        <f t="shared" si="39"/>
        <v>4664.5625</v>
      </c>
      <c r="U13" s="193"/>
      <c r="V13" s="27">
        <f t="shared" si="40"/>
        <v>0.88</v>
      </c>
      <c r="W13" s="33">
        <f t="shared" si="18"/>
        <v>3157.55</v>
      </c>
      <c r="X13" s="34">
        <f t="shared" si="19"/>
        <v>430.57499999999982</v>
      </c>
      <c r="Y13" s="36">
        <f t="shared" si="20"/>
        <v>-1610.3505</v>
      </c>
      <c r="Z13" s="37">
        <f t="shared" si="2"/>
        <v>1653.4079999999992</v>
      </c>
      <c r="AA13" s="37">
        <f t="shared" si="41"/>
        <v>43.057499999999209</v>
      </c>
      <c r="AB13" s="194"/>
      <c r="AC13" s="27">
        <f t="shared" si="42"/>
        <v>0.81</v>
      </c>
      <c r="AD13" s="33">
        <f t="shared" si="21"/>
        <v>2906.3812500000004</v>
      </c>
      <c r="AE13" s="34">
        <f t="shared" si="22"/>
        <v>681.74374999999964</v>
      </c>
      <c r="AF13" s="36">
        <f t="shared" si="3"/>
        <v>-2499.4878750000003</v>
      </c>
      <c r="AG13" s="37">
        <f t="shared" si="4"/>
        <v>2617.8959999999984</v>
      </c>
      <c r="AH13" s="37">
        <f t="shared" si="43"/>
        <v>118.40812499999811</v>
      </c>
      <c r="AI13" s="194"/>
      <c r="AJ13" s="27">
        <f t="shared" si="44"/>
        <v>0</v>
      </c>
      <c r="AK13" s="33">
        <f t="shared" si="23"/>
        <v>0</v>
      </c>
      <c r="AL13" s="34">
        <f t="shared" si="24"/>
        <v>3588.125</v>
      </c>
      <c r="AM13" s="36">
        <f t="shared" si="5"/>
        <v>0</v>
      </c>
      <c r="AN13" s="37">
        <f t="shared" si="6"/>
        <v>13778.4</v>
      </c>
      <c r="AO13" s="37">
        <f t="shared" si="45"/>
        <v>13778.4</v>
      </c>
      <c r="AP13" s="189"/>
      <c r="AQ13" s="27">
        <f t="shared" si="46"/>
        <v>1</v>
      </c>
      <c r="AR13" s="33">
        <f t="shared" si="25"/>
        <v>3588.125</v>
      </c>
      <c r="AS13" s="34">
        <f t="shared" si="26"/>
        <v>0</v>
      </c>
      <c r="AT13" s="36">
        <f t="shared" si="7"/>
        <v>4664.5625</v>
      </c>
      <c r="AU13" s="37">
        <f t="shared" si="27"/>
        <v>0</v>
      </c>
      <c r="AV13" s="37">
        <f t="shared" si="47"/>
        <v>4664.5625</v>
      </c>
      <c r="AW13" s="193"/>
      <c r="AX13" s="27">
        <f t="shared" si="48"/>
        <v>0.88</v>
      </c>
      <c r="AY13" s="33">
        <f t="shared" si="28"/>
        <v>3157.55</v>
      </c>
      <c r="AZ13" s="34">
        <f t="shared" si="29"/>
        <v>430.57499999999982</v>
      </c>
      <c r="BA13" s="36">
        <f t="shared" si="8"/>
        <v>-1610.3505</v>
      </c>
      <c r="BB13" s="37">
        <f t="shared" si="9"/>
        <v>1653.4079999999992</v>
      </c>
      <c r="BC13" s="37">
        <f t="shared" si="49"/>
        <v>43.057499999999209</v>
      </c>
      <c r="BD13" s="194"/>
      <c r="BE13" s="27">
        <f t="shared" si="50"/>
        <v>0.81</v>
      </c>
      <c r="BF13" s="33">
        <f t="shared" si="30"/>
        <v>2906.3812500000004</v>
      </c>
      <c r="BG13" s="34">
        <f t="shared" si="31"/>
        <v>681.74374999999964</v>
      </c>
      <c r="BH13" s="36">
        <f t="shared" si="10"/>
        <v>-2499.4878750000003</v>
      </c>
      <c r="BI13" s="37">
        <f t="shared" si="11"/>
        <v>2617.8959999999984</v>
      </c>
      <c r="BJ13" s="37">
        <f t="shared" si="51"/>
        <v>118.40812499999811</v>
      </c>
      <c r="BK13" s="194"/>
      <c r="BL13" s="27">
        <f t="shared" si="52"/>
        <v>0</v>
      </c>
      <c r="BM13" s="33">
        <f t="shared" si="32"/>
        <v>0</v>
      </c>
      <c r="BN13" s="34">
        <f t="shared" si="33"/>
        <v>3588.125</v>
      </c>
      <c r="BO13" s="36">
        <f t="shared" si="12"/>
        <v>0</v>
      </c>
      <c r="BP13" s="37">
        <f t="shared" si="13"/>
        <v>13778.4</v>
      </c>
      <c r="BQ13" s="37">
        <f t="shared" si="53"/>
        <v>13778.4</v>
      </c>
      <c r="BR13" s="194"/>
      <c r="BT13" s="4">
        <v>312</v>
      </c>
    </row>
    <row r="14" spans="1:76" s="4" customFormat="1" x14ac:dyDescent="0.3">
      <c r="A14" s="232"/>
      <c r="B14" s="173" t="s">
        <v>13</v>
      </c>
      <c r="C14" s="173">
        <f t="shared" si="0"/>
        <v>1296.4000000000001</v>
      </c>
      <c r="D14" s="173">
        <v>700</v>
      </c>
      <c r="E14" s="173">
        <v>4891</v>
      </c>
      <c r="F14" s="174">
        <f>C14*('Aircraft Data'!$E$6)</f>
        <v>4057.732</v>
      </c>
      <c r="G14" s="175">
        <f>('Taxi-In (TXI) IATA Summer 2024'!J15+'Taxi-In (TXI) IATA Summer 2024'!$J$3)/2</f>
        <v>9.25</v>
      </c>
      <c r="H14" s="175">
        <f>('Taxi-Out (TXO) IATA Summer 2024'!J15+'Taxi-Out (TXO) IATA Summer 2024'!$J$3)/2</f>
        <v>16.350000000000001</v>
      </c>
      <c r="I14" s="175">
        <f t="shared" si="34"/>
        <v>294.40000000000003</v>
      </c>
      <c r="J14" s="176">
        <f t="shared" ref="J14" si="70">I14+E14</f>
        <v>5185.3999999999996</v>
      </c>
      <c r="K14" s="177">
        <f t="shared" si="1"/>
        <v>19911.935999999998</v>
      </c>
      <c r="L14" s="177">
        <f t="shared" si="14"/>
        <v>16385.863999999998</v>
      </c>
      <c r="M14" s="177">
        <f t="shared" si="15"/>
        <v>3526.0719999999997</v>
      </c>
      <c r="N14" s="189"/>
      <c r="O14" s="178">
        <f t="shared" si="36"/>
        <v>1</v>
      </c>
      <c r="P14" s="175">
        <f t="shared" si="16"/>
        <v>5185.3999999999996</v>
      </c>
      <c r="Q14" s="179">
        <f t="shared" si="17"/>
        <v>0</v>
      </c>
      <c r="R14" s="180">
        <f t="shared" si="37"/>
        <v>6741.0199999999995</v>
      </c>
      <c r="S14" s="181">
        <f t="shared" ref="S14" si="71">Q14*$C$36</f>
        <v>0</v>
      </c>
      <c r="T14" s="181">
        <f t="shared" si="39"/>
        <v>6741.0199999999995</v>
      </c>
      <c r="U14" s="193"/>
      <c r="V14" s="178">
        <f t="shared" si="40"/>
        <v>0.88</v>
      </c>
      <c r="W14" s="69">
        <f t="shared" si="18"/>
        <v>4563.152</v>
      </c>
      <c r="X14" s="70">
        <f t="shared" si="19"/>
        <v>622.24799999999959</v>
      </c>
      <c r="Y14" s="180">
        <f t="shared" si="20"/>
        <v>-2327.2075199999999</v>
      </c>
      <c r="Z14" s="181">
        <f t="shared" si="2"/>
        <v>2389.4323199999985</v>
      </c>
      <c r="AA14" s="181">
        <f t="shared" si="41"/>
        <v>62.224799999998595</v>
      </c>
      <c r="AB14" s="194"/>
      <c r="AC14" s="178">
        <f t="shared" si="42"/>
        <v>0.81</v>
      </c>
      <c r="AD14" s="175">
        <f t="shared" si="21"/>
        <v>4200.174</v>
      </c>
      <c r="AE14" s="179">
        <f t="shared" si="22"/>
        <v>985.22599999999966</v>
      </c>
      <c r="AF14" s="180">
        <f t="shared" si="3"/>
        <v>-3612.1496400000001</v>
      </c>
      <c r="AG14" s="181">
        <f t="shared" si="4"/>
        <v>3783.2678399999986</v>
      </c>
      <c r="AH14" s="181">
        <f t="shared" si="43"/>
        <v>171.11819999999852</v>
      </c>
      <c r="AI14" s="194"/>
      <c r="AJ14" s="178">
        <f t="shared" si="44"/>
        <v>0</v>
      </c>
      <c r="AK14" s="175">
        <f t="shared" si="23"/>
        <v>0</v>
      </c>
      <c r="AL14" s="179">
        <f t="shared" si="24"/>
        <v>5185.3999999999996</v>
      </c>
      <c r="AM14" s="180">
        <f t="shared" si="5"/>
        <v>0</v>
      </c>
      <c r="AN14" s="181">
        <f t="shared" si="6"/>
        <v>19911.935999999998</v>
      </c>
      <c r="AO14" s="181">
        <f t="shared" si="45"/>
        <v>19911.935999999998</v>
      </c>
      <c r="AP14" s="189"/>
      <c r="AQ14" s="178">
        <f t="shared" si="46"/>
        <v>1</v>
      </c>
      <c r="AR14" s="175">
        <f t="shared" si="25"/>
        <v>5185.3999999999996</v>
      </c>
      <c r="AS14" s="179">
        <f t="shared" si="26"/>
        <v>0</v>
      </c>
      <c r="AT14" s="180">
        <f t="shared" si="7"/>
        <v>6741.0199999999995</v>
      </c>
      <c r="AU14" s="181">
        <f t="shared" si="27"/>
        <v>0</v>
      </c>
      <c r="AV14" s="181">
        <f t="shared" si="47"/>
        <v>6741.0199999999995</v>
      </c>
      <c r="AW14" s="193"/>
      <c r="AX14" s="178">
        <f t="shared" si="48"/>
        <v>0.88</v>
      </c>
      <c r="AY14" s="69">
        <f t="shared" si="28"/>
        <v>4563.152</v>
      </c>
      <c r="AZ14" s="70">
        <f t="shared" si="29"/>
        <v>622.24799999999959</v>
      </c>
      <c r="BA14" s="180">
        <f t="shared" si="8"/>
        <v>-2327.2075199999999</v>
      </c>
      <c r="BB14" s="181">
        <f t="shared" si="9"/>
        <v>2389.4323199999985</v>
      </c>
      <c r="BC14" s="181">
        <f t="shared" si="49"/>
        <v>62.224799999998595</v>
      </c>
      <c r="BD14" s="194"/>
      <c r="BE14" s="178">
        <f t="shared" si="50"/>
        <v>0.81</v>
      </c>
      <c r="BF14" s="175">
        <f t="shared" si="30"/>
        <v>4200.174</v>
      </c>
      <c r="BG14" s="179">
        <f t="shared" si="31"/>
        <v>985.22599999999966</v>
      </c>
      <c r="BH14" s="180">
        <f t="shared" si="10"/>
        <v>-3612.1496400000001</v>
      </c>
      <c r="BI14" s="181">
        <f t="shared" si="11"/>
        <v>3783.2678399999986</v>
      </c>
      <c r="BJ14" s="181">
        <f t="shared" si="51"/>
        <v>171.11819999999852</v>
      </c>
      <c r="BK14" s="194"/>
      <c r="BL14" s="178">
        <f t="shared" si="52"/>
        <v>0</v>
      </c>
      <c r="BM14" s="175">
        <f t="shared" si="32"/>
        <v>0</v>
      </c>
      <c r="BN14" s="179">
        <f t="shared" si="33"/>
        <v>5185.3999999999996</v>
      </c>
      <c r="BO14" s="180">
        <f t="shared" si="12"/>
        <v>0</v>
      </c>
      <c r="BP14" s="181">
        <f t="shared" si="13"/>
        <v>19911.935999999998</v>
      </c>
      <c r="BQ14" s="181">
        <f t="shared" si="53"/>
        <v>19911.935999999998</v>
      </c>
      <c r="BR14" s="194"/>
      <c r="BT14" s="4">
        <v>730</v>
      </c>
    </row>
    <row r="15" spans="1:76" s="4" customFormat="1" x14ac:dyDescent="0.3">
      <c r="A15" s="232"/>
      <c r="B15" s="8" t="s">
        <v>14</v>
      </c>
      <c r="C15" s="8">
        <f t="shared" si="0"/>
        <v>1461.2280000000001</v>
      </c>
      <c r="D15" s="8">
        <v>789</v>
      </c>
      <c r="E15" s="8">
        <v>5951</v>
      </c>
      <c r="F15" s="64">
        <f>C15*('Aircraft Data'!$E$6)</f>
        <v>4573.6436400000002</v>
      </c>
      <c r="G15" s="33">
        <f>('Taxi-In (TXI) IATA Summer 2024'!J16+'Taxi-In (TXI) IATA Summer 2024'!$J$3)/2</f>
        <v>9.3999999999999986</v>
      </c>
      <c r="H15" s="33">
        <f>('Taxi-Out (TXO) IATA Summer 2024'!J16+'Taxi-Out (TXO) IATA Summer 2024'!$J$3)/2</f>
        <v>16.350000000000001</v>
      </c>
      <c r="I15" s="33">
        <f t="shared" si="34"/>
        <v>296.125</v>
      </c>
      <c r="J15" s="43">
        <f t="shared" ref="J15" si="72">E15+I15</f>
        <v>6247.125</v>
      </c>
      <c r="K15" s="42">
        <f t="shared" si="1"/>
        <v>23988.959999999999</v>
      </c>
      <c r="L15" s="42">
        <f t="shared" si="14"/>
        <v>19740.915000000001</v>
      </c>
      <c r="M15" s="42">
        <f t="shared" si="15"/>
        <v>4248.0450000000001</v>
      </c>
      <c r="N15" s="189"/>
      <c r="O15" s="27">
        <f t="shared" si="36"/>
        <v>1</v>
      </c>
      <c r="P15" s="33">
        <f t="shared" si="16"/>
        <v>6247.125</v>
      </c>
      <c r="Q15" s="34">
        <f t="shared" si="17"/>
        <v>0</v>
      </c>
      <c r="R15" s="36">
        <f t="shared" si="37"/>
        <v>8121.2625000000007</v>
      </c>
      <c r="S15" s="37">
        <f t="shared" ref="S15" si="73">Q15*$C$35</f>
        <v>0</v>
      </c>
      <c r="T15" s="37">
        <f t="shared" si="39"/>
        <v>8121.2625000000007</v>
      </c>
      <c r="U15" s="193"/>
      <c r="V15" s="27">
        <f t="shared" si="40"/>
        <v>0.88</v>
      </c>
      <c r="W15" s="33">
        <f t="shared" si="18"/>
        <v>5497.47</v>
      </c>
      <c r="X15" s="34">
        <f t="shared" si="19"/>
        <v>749.65499999999975</v>
      </c>
      <c r="Y15" s="36">
        <f t="shared" si="20"/>
        <v>-2803.7097000000003</v>
      </c>
      <c r="Z15" s="37">
        <f t="shared" si="2"/>
        <v>2878.6751999999988</v>
      </c>
      <c r="AA15" s="37">
        <f t="shared" si="41"/>
        <v>74.965499999998428</v>
      </c>
      <c r="AB15" s="194"/>
      <c r="AC15" s="27">
        <f t="shared" si="42"/>
        <v>0.81</v>
      </c>
      <c r="AD15" s="33">
        <f t="shared" si="21"/>
        <v>5060.1712500000003</v>
      </c>
      <c r="AE15" s="34">
        <f t="shared" si="22"/>
        <v>1186.9537499999997</v>
      </c>
      <c r="AF15" s="36">
        <f t="shared" si="3"/>
        <v>-4351.7472750000006</v>
      </c>
      <c r="AG15" s="37">
        <f t="shared" si="4"/>
        <v>4557.9023999999981</v>
      </c>
      <c r="AH15" s="37">
        <f t="shared" si="43"/>
        <v>206.1551249999975</v>
      </c>
      <c r="AI15" s="194"/>
      <c r="AJ15" s="27">
        <f t="shared" si="44"/>
        <v>0</v>
      </c>
      <c r="AK15" s="33">
        <f t="shared" si="23"/>
        <v>0</v>
      </c>
      <c r="AL15" s="34">
        <f t="shared" si="24"/>
        <v>6247.125</v>
      </c>
      <c r="AM15" s="36">
        <f t="shared" si="5"/>
        <v>0</v>
      </c>
      <c r="AN15" s="37">
        <f t="shared" si="6"/>
        <v>23988.959999999999</v>
      </c>
      <c r="AO15" s="37">
        <f t="shared" si="45"/>
        <v>23988.959999999999</v>
      </c>
      <c r="AP15" s="189"/>
      <c r="AQ15" s="27">
        <f t="shared" si="46"/>
        <v>1</v>
      </c>
      <c r="AR15" s="33">
        <f t="shared" si="25"/>
        <v>6247.125</v>
      </c>
      <c r="AS15" s="34">
        <f t="shared" si="26"/>
        <v>0</v>
      </c>
      <c r="AT15" s="36">
        <f t="shared" si="7"/>
        <v>8121.2625000000007</v>
      </c>
      <c r="AU15" s="37">
        <f t="shared" si="27"/>
        <v>0</v>
      </c>
      <c r="AV15" s="37">
        <f t="shared" si="47"/>
        <v>8121.2625000000007</v>
      </c>
      <c r="AW15" s="193"/>
      <c r="AX15" s="27">
        <f t="shared" si="48"/>
        <v>0.88</v>
      </c>
      <c r="AY15" s="33">
        <f t="shared" si="28"/>
        <v>5497.47</v>
      </c>
      <c r="AZ15" s="34">
        <f t="shared" si="29"/>
        <v>749.65499999999975</v>
      </c>
      <c r="BA15" s="36">
        <f t="shared" si="8"/>
        <v>-2803.7097000000003</v>
      </c>
      <c r="BB15" s="37">
        <f t="shared" si="9"/>
        <v>2878.6751999999988</v>
      </c>
      <c r="BC15" s="37">
        <f t="shared" si="49"/>
        <v>74.965499999998428</v>
      </c>
      <c r="BD15" s="194"/>
      <c r="BE15" s="27">
        <f t="shared" si="50"/>
        <v>0.81</v>
      </c>
      <c r="BF15" s="33">
        <f t="shared" si="30"/>
        <v>5060.1712500000003</v>
      </c>
      <c r="BG15" s="34">
        <f t="shared" si="31"/>
        <v>1186.9537499999997</v>
      </c>
      <c r="BH15" s="36">
        <f t="shared" si="10"/>
        <v>-4351.7472750000006</v>
      </c>
      <c r="BI15" s="37">
        <f t="shared" si="11"/>
        <v>4557.9023999999981</v>
      </c>
      <c r="BJ15" s="37">
        <f t="shared" si="51"/>
        <v>206.1551249999975</v>
      </c>
      <c r="BK15" s="194"/>
      <c r="BL15" s="27">
        <f t="shared" si="52"/>
        <v>0</v>
      </c>
      <c r="BM15" s="33">
        <f t="shared" si="32"/>
        <v>0</v>
      </c>
      <c r="BN15" s="34">
        <f t="shared" si="33"/>
        <v>6247.125</v>
      </c>
      <c r="BO15" s="36">
        <f t="shared" si="12"/>
        <v>0</v>
      </c>
      <c r="BP15" s="37">
        <f t="shared" si="13"/>
        <v>23988.959999999999</v>
      </c>
      <c r="BQ15" s="37">
        <f t="shared" si="53"/>
        <v>23988.959999999999</v>
      </c>
      <c r="BR15" s="194"/>
      <c r="BT15" s="4">
        <v>730</v>
      </c>
    </row>
    <row r="16" spans="1:76" s="4" customFormat="1" x14ac:dyDescent="0.3">
      <c r="A16" s="233"/>
      <c r="B16" s="173" t="s">
        <v>15</v>
      </c>
      <c r="C16" s="173">
        <f t="shared" si="0"/>
        <v>1240.8400000000001</v>
      </c>
      <c r="D16" s="173">
        <v>670</v>
      </c>
      <c r="E16" s="173">
        <v>5002</v>
      </c>
      <c r="F16" s="174">
        <f>C16*('Aircraft Data'!$E$6)</f>
        <v>3883.8292000000001</v>
      </c>
      <c r="G16" s="182">
        <f>('Taxi-In (TXI) IATA Summer 2024'!J17+'Taxi-In (TXI) IATA Summer 2024'!$J$3)/2</f>
        <v>7.1</v>
      </c>
      <c r="H16" s="182">
        <f>('Taxi-Out (TXO) IATA Summer 2024'!J17+'Taxi-Out (TXO) IATA Summer 2024'!$J$3)/2</f>
        <v>16.100000000000001</v>
      </c>
      <c r="I16" s="182">
        <f t="shared" si="34"/>
        <v>266.8</v>
      </c>
      <c r="J16" s="183">
        <f t="shared" ref="J16" si="74">I16+E16</f>
        <v>5268.8</v>
      </c>
      <c r="K16" s="184">
        <f t="shared" si="1"/>
        <v>20232.191999999999</v>
      </c>
      <c r="L16" s="177">
        <f t="shared" si="14"/>
        <v>16649.407999999999</v>
      </c>
      <c r="M16" s="177">
        <f t="shared" si="15"/>
        <v>3582.7840000000001</v>
      </c>
      <c r="N16" s="189"/>
      <c r="O16" s="197">
        <f t="shared" si="36"/>
        <v>1</v>
      </c>
      <c r="P16" s="182">
        <f t="shared" si="16"/>
        <v>5268.8</v>
      </c>
      <c r="Q16" s="186">
        <f t="shared" si="17"/>
        <v>0</v>
      </c>
      <c r="R16" s="180">
        <f t="shared" si="37"/>
        <v>6849.4400000000005</v>
      </c>
      <c r="S16" s="181">
        <f t="shared" ref="S16" si="75">Q16*$C$36</f>
        <v>0</v>
      </c>
      <c r="T16" s="185">
        <f t="shared" si="39"/>
        <v>6849.4400000000005</v>
      </c>
      <c r="U16" s="199"/>
      <c r="V16" s="197">
        <f t="shared" si="40"/>
        <v>0.88</v>
      </c>
      <c r="W16" s="71">
        <f t="shared" si="18"/>
        <v>4636.5439999999999</v>
      </c>
      <c r="X16" s="72">
        <f t="shared" si="19"/>
        <v>632.25600000000031</v>
      </c>
      <c r="Y16" s="198">
        <f t="shared" si="20"/>
        <v>-2364.63744</v>
      </c>
      <c r="Z16" s="185">
        <f t="shared" si="2"/>
        <v>2427.8630400000011</v>
      </c>
      <c r="AA16" s="185">
        <f t="shared" si="41"/>
        <v>63.225600000001123</v>
      </c>
      <c r="AB16" s="200"/>
      <c r="AC16" s="197">
        <f t="shared" si="42"/>
        <v>0.81</v>
      </c>
      <c r="AD16" s="182">
        <f t="shared" si="21"/>
        <v>4267.7280000000001</v>
      </c>
      <c r="AE16" s="186">
        <f t="shared" si="22"/>
        <v>1001.0720000000001</v>
      </c>
      <c r="AF16" s="198">
        <f t="shared" si="3"/>
        <v>-3670.2460799999999</v>
      </c>
      <c r="AG16" s="185">
        <f t="shared" si="4"/>
        <v>3844.1164800000001</v>
      </c>
      <c r="AH16" s="185">
        <f t="shared" si="43"/>
        <v>173.87040000000025</v>
      </c>
      <c r="AI16" s="200"/>
      <c r="AJ16" s="197">
        <f t="shared" si="44"/>
        <v>0</v>
      </c>
      <c r="AK16" s="182">
        <f t="shared" si="23"/>
        <v>0</v>
      </c>
      <c r="AL16" s="186">
        <f t="shared" si="24"/>
        <v>5268.8</v>
      </c>
      <c r="AM16" s="198">
        <f t="shared" si="5"/>
        <v>0</v>
      </c>
      <c r="AN16" s="185">
        <f t="shared" si="6"/>
        <v>20232.191999999999</v>
      </c>
      <c r="AO16" s="185">
        <f t="shared" si="45"/>
        <v>20232.191999999999</v>
      </c>
      <c r="AP16" s="190"/>
      <c r="AQ16" s="197">
        <f t="shared" si="46"/>
        <v>1</v>
      </c>
      <c r="AR16" s="182">
        <f t="shared" si="25"/>
        <v>5268.8</v>
      </c>
      <c r="AS16" s="186">
        <f t="shared" si="26"/>
        <v>0</v>
      </c>
      <c r="AT16" s="198">
        <f t="shared" si="7"/>
        <v>6849.4400000000005</v>
      </c>
      <c r="AU16" s="185">
        <f t="shared" si="27"/>
        <v>0</v>
      </c>
      <c r="AV16" s="185">
        <f t="shared" si="47"/>
        <v>6849.4400000000005</v>
      </c>
      <c r="AW16" s="199"/>
      <c r="AX16" s="197">
        <f t="shared" si="48"/>
        <v>0.88</v>
      </c>
      <c r="AY16" s="71">
        <f t="shared" si="28"/>
        <v>4636.5439999999999</v>
      </c>
      <c r="AZ16" s="72">
        <f t="shared" si="29"/>
        <v>632.25600000000031</v>
      </c>
      <c r="BA16" s="198">
        <f t="shared" si="8"/>
        <v>-2364.63744</v>
      </c>
      <c r="BB16" s="185">
        <f t="shared" si="9"/>
        <v>2427.8630400000011</v>
      </c>
      <c r="BC16" s="185">
        <f t="shared" si="49"/>
        <v>63.225600000001123</v>
      </c>
      <c r="BD16" s="200"/>
      <c r="BE16" s="197">
        <f t="shared" si="50"/>
        <v>0.81</v>
      </c>
      <c r="BF16" s="182">
        <f t="shared" si="30"/>
        <v>4267.7280000000001</v>
      </c>
      <c r="BG16" s="186">
        <f t="shared" si="31"/>
        <v>1001.0720000000001</v>
      </c>
      <c r="BH16" s="198">
        <f t="shared" si="10"/>
        <v>-3670.2460799999999</v>
      </c>
      <c r="BI16" s="185">
        <f t="shared" si="11"/>
        <v>3844.1164800000001</v>
      </c>
      <c r="BJ16" s="185">
        <f t="shared" si="51"/>
        <v>173.87040000000025</v>
      </c>
      <c r="BK16" s="200"/>
      <c r="BL16" s="197">
        <f t="shared" si="52"/>
        <v>0</v>
      </c>
      <c r="BM16" s="182">
        <f t="shared" si="32"/>
        <v>0</v>
      </c>
      <c r="BN16" s="186">
        <f t="shared" si="33"/>
        <v>5268.8</v>
      </c>
      <c r="BO16" s="198">
        <f t="shared" si="12"/>
        <v>0</v>
      </c>
      <c r="BP16" s="185">
        <f t="shared" si="13"/>
        <v>20232.191999999999</v>
      </c>
      <c r="BQ16" s="185">
        <f t="shared" si="53"/>
        <v>20232.191999999999</v>
      </c>
      <c r="BR16" s="194"/>
      <c r="BT16" s="4">
        <v>730</v>
      </c>
    </row>
    <row r="17" spans="1:72" s="4" customFormat="1" x14ac:dyDescent="0.3">
      <c r="A17" s="230" t="s">
        <v>1613</v>
      </c>
      <c r="B17" s="26" t="s">
        <v>16</v>
      </c>
      <c r="C17" s="26">
        <f t="shared" si="0"/>
        <v>11462.028</v>
      </c>
      <c r="D17" s="26">
        <v>6189</v>
      </c>
      <c r="E17" s="26">
        <v>103288</v>
      </c>
      <c r="F17" s="65">
        <f>C17*('Aircraft Data'!$E$7)</f>
        <v>85048.247759999998</v>
      </c>
      <c r="G17" s="33">
        <f>('Taxi-In (TXI) IATA Summer 2024'!J18+'Taxi-In (TXI) IATA Summer 2024'!$J$3)/2</f>
        <v>7.8</v>
      </c>
      <c r="H17" s="33">
        <f>('Taxi-Out (TXO) IATA Summer 2024'!J18+'Taxi-Out (TXO) IATA Summer 2024'!$J$3)/2</f>
        <v>14.350000000000001</v>
      </c>
      <c r="I17" s="33">
        <f>31.8*(H17+G17)</f>
        <v>704.37000000000012</v>
      </c>
      <c r="J17" s="43">
        <f t="shared" ref="J17" si="76">E17+I17</f>
        <v>103992.37</v>
      </c>
      <c r="K17" s="42">
        <f t="shared" si="1"/>
        <v>399330.70079999999</v>
      </c>
      <c r="L17" s="58">
        <f t="shared" si="14"/>
        <v>328615.88919999998</v>
      </c>
      <c r="M17" s="58">
        <f t="shared" si="15"/>
        <v>70714.811600000001</v>
      </c>
      <c r="N17" s="190"/>
      <c r="O17" s="27">
        <f t="shared" si="36"/>
        <v>1</v>
      </c>
      <c r="P17" s="33">
        <f>$J17*O17</f>
        <v>103992.37</v>
      </c>
      <c r="Q17" s="34">
        <f t="shared" si="17"/>
        <v>0</v>
      </c>
      <c r="R17" s="36">
        <f t="shared" si="37"/>
        <v>135190.08100000001</v>
      </c>
      <c r="S17" s="37">
        <f t="shared" ref="S17" si="77">Q17*$C$35</f>
        <v>0</v>
      </c>
      <c r="T17" s="37">
        <f t="shared" si="39"/>
        <v>135190.08100000001</v>
      </c>
      <c r="U17" s="193"/>
      <c r="V17" s="27">
        <f t="shared" si="40"/>
        <v>0.88</v>
      </c>
      <c r="W17" s="33">
        <f t="shared" si="18"/>
        <v>91513.285600000003</v>
      </c>
      <c r="X17" s="34">
        <f t="shared" si="19"/>
        <v>12479.084399999992</v>
      </c>
      <c r="Y17" s="36">
        <f t="shared" si="20"/>
        <v>-46671.775656000005</v>
      </c>
      <c r="Z17" s="37">
        <f t="shared" si="2"/>
        <v>47919.684095999968</v>
      </c>
      <c r="AA17" s="37">
        <f t="shared" si="41"/>
        <v>1247.9084399999629</v>
      </c>
      <c r="AB17" s="194"/>
      <c r="AC17" s="27">
        <f t="shared" si="42"/>
        <v>0.81</v>
      </c>
      <c r="AD17" s="33">
        <f t="shared" si="21"/>
        <v>84233.819700000007</v>
      </c>
      <c r="AE17" s="34">
        <f t="shared" si="22"/>
        <v>19758.550299999988</v>
      </c>
      <c r="AF17" s="36">
        <f t="shared" si="3"/>
        <v>-72441.084942000001</v>
      </c>
      <c r="AG17" s="37">
        <f t="shared" si="4"/>
        <v>75872.833151999948</v>
      </c>
      <c r="AH17" s="37">
        <f t="shared" si="43"/>
        <v>3431.748209999947</v>
      </c>
      <c r="AI17" s="194"/>
      <c r="AJ17" s="27">
        <f t="shared" si="44"/>
        <v>0</v>
      </c>
      <c r="AK17" s="33">
        <f t="shared" si="23"/>
        <v>0</v>
      </c>
      <c r="AL17" s="34">
        <f t="shared" si="24"/>
        <v>103992.37</v>
      </c>
      <c r="AM17" s="36">
        <f t="shared" si="5"/>
        <v>0</v>
      </c>
      <c r="AN17" s="37">
        <f t="shared" si="6"/>
        <v>399330.70079999999</v>
      </c>
      <c r="AO17" s="37">
        <f t="shared" si="45"/>
        <v>399330.70079999999</v>
      </c>
      <c r="AP17" s="189"/>
      <c r="AQ17" s="27">
        <f t="shared" si="46"/>
        <v>1</v>
      </c>
      <c r="AR17" s="33">
        <f>$J17*AQ17</f>
        <v>103992.37</v>
      </c>
      <c r="AS17" s="34">
        <f t="shared" si="26"/>
        <v>0</v>
      </c>
      <c r="AT17" s="196">
        <f t="shared" si="7"/>
        <v>135190.08100000001</v>
      </c>
      <c r="AU17" s="37">
        <f t="shared" si="27"/>
        <v>0</v>
      </c>
      <c r="AV17" s="37">
        <f t="shared" si="47"/>
        <v>135190.08100000001</v>
      </c>
      <c r="AW17" s="193"/>
      <c r="AX17" s="27">
        <f t="shared" si="48"/>
        <v>0.88</v>
      </c>
      <c r="AY17" s="33">
        <f t="shared" si="28"/>
        <v>91513.285600000003</v>
      </c>
      <c r="AZ17" s="34">
        <f t="shared" si="29"/>
        <v>12479.084399999992</v>
      </c>
      <c r="BA17" s="36">
        <f t="shared" si="8"/>
        <v>-46671.775656000005</v>
      </c>
      <c r="BB17" s="37">
        <f t="shared" si="9"/>
        <v>47919.684095999968</v>
      </c>
      <c r="BC17" s="37">
        <f t="shared" si="49"/>
        <v>1247.9084399999629</v>
      </c>
      <c r="BD17" s="194"/>
      <c r="BE17" s="27">
        <f t="shared" si="50"/>
        <v>0.81</v>
      </c>
      <c r="BF17" s="33">
        <f t="shared" si="30"/>
        <v>84233.819700000007</v>
      </c>
      <c r="BG17" s="34">
        <f t="shared" si="31"/>
        <v>19758.550299999988</v>
      </c>
      <c r="BH17" s="36">
        <f t="shared" si="10"/>
        <v>-72441.084942000001</v>
      </c>
      <c r="BI17" s="37">
        <f t="shared" si="11"/>
        <v>75872.833151999948</v>
      </c>
      <c r="BJ17" s="37">
        <f t="shared" si="51"/>
        <v>3431.748209999947</v>
      </c>
      <c r="BK17" s="194"/>
      <c r="BL17" s="27">
        <f t="shared" si="52"/>
        <v>0</v>
      </c>
      <c r="BM17" s="33">
        <f t="shared" si="32"/>
        <v>0</v>
      </c>
      <c r="BN17" s="34">
        <f t="shared" si="33"/>
        <v>103992.37</v>
      </c>
      <c r="BO17" s="36">
        <f t="shared" si="12"/>
        <v>0</v>
      </c>
      <c r="BP17" s="37">
        <f t="shared" si="13"/>
        <v>399330.70079999999</v>
      </c>
      <c r="BQ17" s="37">
        <f t="shared" si="53"/>
        <v>399330.70079999999</v>
      </c>
      <c r="BR17" s="195"/>
      <c r="BT17" s="4">
        <v>312</v>
      </c>
    </row>
    <row r="18" spans="1:72" s="4" customFormat="1" x14ac:dyDescent="0.3">
      <c r="A18" s="231"/>
      <c r="B18" s="173" t="s">
        <v>17</v>
      </c>
      <c r="C18" s="173">
        <f t="shared" si="0"/>
        <v>8841.4480000000003</v>
      </c>
      <c r="D18" s="173">
        <v>4774</v>
      </c>
      <c r="E18" s="173">
        <v>82758</v>
      </c>
      <c r="F18" s="174">
        <f>C18*('Aircraft Data'!$E$7)</f>
        <v>65603.544160000005</v>
      </c>
      <c r="G18" s="175">
        <f>('Taxi-In (TXI) IATA Summer 2024'!J19+'Taxi-In (TXI) IATA Summer 2024'!$J$3)/2</f>
        <v>8.1499999999999986</v>
      </c>
      <c r="H18" s="175">
        <f>('Taxi-Out (TXO) IATA Summer 2024'!J19+'Taxi-Out (TXO) IATA Summer 2024'!$J$3)/2</f>
        <v>19.399999999999999</v>
      </c>
      <c r="I18" s="175">
        <f>31.8*(H18+G18)</f>
        <v>876.08999999999992</v>
      </c>
      <c r="J18" s="176">
        <f t="shared" ref="J18" si="78">I18+E18</f>
        <v>83634.09</v>
      </c>
      <c r="K18" s="177">
        <f t="shared" si="1"/>
        <v>321154.9056</v>
      </c>
      <c r="L18" s="177">
        <f t="shared" si="14"/>
        <v>264283.72440000001</v>
      </c>
      <c r="M18" s="177">
        <f t="shared" si="15"/>
        <v>56871.181199999999</v>
      </c>
      <c r="N18" s="189"/>
      <c r="O18" s="178">
        <f t="shared" si="36"/>
        <v>1</v>
      </c>
      <c r="P18" s="175">
        <f t="shared" si="16"/>
        <v>83634.09</v>
      </c>
      <c r="Q18" s="179">
        <f t="shared" si="17"/>
        <v>0</v>
      </c>
      <c r="R18" s="180">
        <f t="shared" si="37"/>
        <v>108724.317</v>
      </c>
      <c r="S18" s="181">
        <f t="shared" ref="S18" si="79">Q18*$C$36</f>
        <v>0</v>
      </c>
      <c r="T18" s="181">
        <f t="shared" si="39"/>
        <v>108724.317</v>
      </c>
      <c r="U18" s="193"/>
      <c r="V18" s="178">
        <f t="shared" si="40"/>
        <v>0.88</v>
      </c>
      <c r="W18" s="69">
        <f t="shared" si="18"/>
        <v>73597.999199999991</v>
      </c>
      <c r="X18" s="70">
        <f t="shared" si="19"/>
        <v>10036.090800000005</v>
      </c>
      <c r="Y18" s="180">
        <f t="shared" si="20"/>
        <v>-37534.979591999996</v>
      </c>
      <c r="Z18" s="181">
        <f t="shared" si="2"/>
        <v>38538.58867200002</v>
      </c>
      <c r="AA18" s="181">
        <f t="shared" si="41"/>
        <v>1003.6090800000238</v>
      </c>
      <c r="AB18" s="194"/>
      <c r="AC18" s="178">
        <f t="shared" si="42"/>
        <v>0.81</v>
      </c>
      <c r="AD18" s="175">
        <f t="shared" si="21"/>
        <v>67743.612900000007</v>
      </c>
      <c r="AE18" s="179">
        <f t="shared" si="22"/>
        <v>15890.477099999989</v>
      </c>
      <c r="AF18" s="180">
        <f t="shared" si="3"/>
        <v>-58259.507094000008</v>
      </c>
      <c r="AG18" s="181">
        <f t="shared" si="4"/>
        <v>61019.432063999957</v>
      </c>
      <c r="AH18" s="181">
        <f t="shared" si="43"/>
        <v>2759.9249699999491</v>
      </c>
      <c r="AI18" s="194"/>
      <c r="AJ18" s="178">
        <f t="shared" si="44"/>
        <v>0</v>
      </c>
      <c r="AK18" s="175">
        <f t="shared" si="23"/>
        <v>0</v>
      </c>
      <c r="AL18" s="179">
        <f t="shared" si="24"/>
        <v>83634.09</v>
      </c>
      <c r="AM18" s="180">
        <f t="shared" si="5"/>
        <v>0</v>
      </c>
      <c r="AN18" s="181">
        <f t="shared" si="6"/>
        <v>321154.9056</v>
      </c>
      <c r="AO18" s="181">
        <f t="shared" si="45"/>
        <v>321154.9056</v>
      </c>
      <c r="AP18" s="189"/>
      <c r="AQ18" s="178">
        <f t="shared" si="46"/>
        <v>1</v>
      </c>
      <c r="AR18" s="175">
        <f t="shared" si="25"/>
        <v>83634.09</v>
      </c>
      <c r="AS18" s="179">
        <f t="shared" si="26"/>
        <v>0</v>
      </c>
      <c r="AT18" s="180">
        <f t="shared" si="7"/>
        <v>108724.317</v>
      </c>
      <c r="AU18" s="181">
        <f t="shared" si="27"/>
        <v>0</v>
      </c>
      <c r="AV18" s="181">
        <f t="shared" si="47"/>
        <v>108724.317</v>
      </c>
      <c r="AW18" s="193"/>
      <c r="AX18" s="178">
        <f t="shared" si="48"/>
        <v>0.88</v>
      </c>
      <c r="AY18" s="69">
        <f t="shared" si="28"/>
        <v>73597.999199999991</v>
      </c>
      <c r="AZ18" s="70">
        <f t="shared" si="29"/>
        <v>10036.090800000005</v>
      </c>
      <c r="BA18" s="180">
        <f t="shared" si="8"/>
        <v>-37534.979591999996</v>
      </c>
      <c r="BB18" s="181">
        <f t="shared" si="9"/>
        <v>38538.58867200002</v>
      </c>
      <c r="BC18" s="181">
        <f t="shared" si="49"/>
        <v>1003.6090800000238</v>
      </c>
      <c r="BD18" s="194"/>
      <c r="BE18" s="178">
        <f t="shared" si="50"/>
        <v>0.81</v>
      </c>
      <c r="BF18" s="175">
        <f t="shared" si="30"/>
        <v>67743.612900000007</v>
      </c>
      <c r="BG18" s="179">
        <f t="shared" si="31"/>
        <v>15890.477099999989</v>
      </c>
      <c r="BH18" s="180">
        <f t="shared" si="10"/>
        <v>-58259.507094000008</v>
      </c>
      <c r="BI18" s="181">
        <f t="shared" si="11"/>
        <v>61019.432063999957</v>
      </c>
      <c r="BJ18" s="181">
        <f t="shared" si="51"/>
        <v>2759.9249699999491</v>
      </c>
      <c r="BK18" s="194"/>
      <c r="BL18" s="178">
        <f t="shared" si="52"/>
        <v>0</v>
      </c>
      <c r="BM18" s="175">
        <f t="shared" si="32"/>
        <v>0</v>
      </c>
      <c r="BN18" s="179">
        <f t="shared" si="33"/>
        <v>83634.09</v>
      </c>
      <c r="BO18" s="180">
        <f t="shared" si="12"/>
        <v>0</v>
      </c>
      <c r="BP18" s="181">
        <f t="shared" si="13"/>
        <v>321154.9056</v>
      </c>
      <c r="BQ18" s="181">
        <f t="shared" si="53"/>
        <v>321154.9056</v>
      </c>
      <c r="BR18" s="194"/>
      <c r="BT18" s="4">
        <v>312</v>
      </c>
    </row>
    <row r="19" spans="1:72" s="4" customFormat="1" x14ac:dyDescent="0.3">
      <c r="A19" s="231"/>
      <c r="B19" s="8" t="s">
        <v>18</v>
      </c>
      <c r="C19" s="8">
        <f t="shared" si="0"/>
        <v>11658.34</v>
      </c>
      <c r="D19" s="8">
        <v>6295</v>
      </c>
      <c r="E19" s="8">
        <v>107890</v>
      </c>
      <c r="F19" s="64">
        <f>C19*('Aircraft Data'!$E$7)</f>
        <v>86504.882800000007</v>
      </c>
      <c r="G19" s="33">
        <f>('Taxi-In (TXI) IATA Summer 2024'!J20+'Taxi-In (TXI) IATA Summer 2024'!$J$3)/2</f>
        <v>7.4499999999999993</v>
      </c>
      <c r="H19" s="33">
        <f>('Taxi-Out (TXO) IATA Summer 2024'!J20+'Taxi-Out (TXO) IATA Summer 2024'!$J$3)/2</f>
        <v>15.45</v>
      </c>
      <c r="I19" s="33">
        <f t="shared" ref="I19:I22" si="80">31.8*(H19+G19)</f>
        <v>728.22</v>
      </c>
      <c r="J19" s="43">
        <f t="shared" ref="J19" si="81">E19+I19</f>
        <v>108618.22</v>
      </c>
      <c r="K19" s="42">
        <f t="shared" si="1"/>
        <v>417093.96480000002</v>
      </c>
      <c r="L19" s="42">
        <f t="shared" si="14"/>
        <v>343233.57520000002</v>
      </c>
      <c r="M19" s="42">
        <f t="shared" si="15"/>
        <v>73860.38960000001</v>
      </c>
      <c r="N19" s="189"/>
      <c r="O19" s="27">
        <f t="shared" si="36"/>
        <v>1</v>
      </c>
      <c r="P19" s="33">
        <f t="shared" si="16"/>
        <v>108618.22</v>
      </c>
      <c r="Q19" s="34">
        <f t="shared" si="17"/>
        <v>0</v>
      </c>
      <c r="R19" s="36">
        <f t="shared" si="37"/>
        <v>141203.68600000002</v>
      </c>
      <c r="S19" s="37">
        <f t="shared" ref="S19" si="82">Q19*$C$35</f>
        <v>0</v>
      </c>
      <c r="T19" s="37">
        <f t="shared" si="39"/>
        <v>141203.68600000002</v>
      </c>
      <c r="U19" s="193"/>
      <c r="V19" s="27">
        <f t="shared" si="40"/>
        <v>0.88</v>
      </c>
      <c r="W19" s="33">
        <f t="shared" si="18"/>
        <v>95584.033599999995</v>
      </c>
      <c r="X19" s="34">
        <f t="shared" si="19"/>
        <v>13034.186400000006</v>
      </c>
      <c r="Y19" s="36">
        <f t="shared" si="20"/>
        <v>-48747.857135999999</v>
      </c>
      <c r="Z19" s="37">
        <f t="shared" si="2"/>
        <v>50051.275776000024</v>
      </c>
      <c r="AA19" s="37">
        <f t="shared" si="41"/>
        <v>1303.4186400000253</v>
      </c>
      <c r="AB19" s="194"/>
      <c r="AC19" s="27">
        <f t="shared" si="42"/>
        <v>0.81</v>
      </c>
      <c r="AD19" s="33">
        <f t="shared" si="21"/>
        <v>87980.758200000011</v>
      </c>
      <c r="AE19" s="34">
        <f t="shared" si="22"/>
        <v>20637.46179999999</v>
      </c>
      <c r="AF19" s="36">
        <f t="shared" si="3"/>
        <v>-75663.452052000008</v>
      </c>
      <c r="AG19" s="37">
        <f t="shared" si="4"/>
        <v>79247.853311999963</v>
      </c>
      <c r="AH19" s="37">
        <f t="shared" si="43"/>
        <v>3584.4012599999551</v>
      </c>
      <c r="AI19" s="194"/>
      <c r="AJ19" s="27">
        <f t="shared" si="44"/>
        <v>0</v>
      </c>
      <c r="AK19" s="33">
        <f t="shared" si="23"/>
        <v>0</v>
      </c>
      <c r="AL19" s="34">
        <f t="shared" si="24"/>
        <v>108618.22</v>
      </c>
      <c r="AM19" s="36">
        <f t="shared" si="5"/>
        <v>0</v>
      </c>
      <c r="AN19" s="37">
        <f t="shared" si="6"/>
        <v>417093.96480000002</v>
      </c>
      <c r="AO19" s="37">
        <f t="shared" si="45"/>
        <v>417093.96480000002</v>
      </c>
      <c r="AP19" s="189"/>
      <c r="AQ19" s="27">
        <f t="shared" si="46"/>
        <v>1</v>
      </c>
      <c r="AR19" s="33">
        <f t="shared" si="25"/>
        <v>108618.22</v>
      </c>
      <c r="AS19" s="34">
        <f t="shared" si="26"/>
        <v>0</v>
      </c>
      <c r="AT19" s="36">
        <f t="shared" si="7"/>
        <v>141203.68600000002</v>
      </c>
      <c r="AU19" s="37">
        <f t="shared" si="27"/>
        <v>0</v>
      </c>
      <c r="AV19" s="37">
        <f t="shared" si="47"/>
        <v>141203.68600000002</v>
      </c>
      <c r="AW19" s="193"/>
      <c r="AX19" s="27">
        <f t="shared" si="48"/>
        <v>0.88</v>
      </c>
      <c r="AY19" s="33">
        <f t="shared" si="28"/>
        <v>95584.033599999995</v>
      </c>
      <c r="AZ19" s="34">
        <f t="shared" si="29"/>
        <v>13034.186400000006</v>
      </c>
      <c r="BA19" s="36">
        <f t="shared" si="8"/>
        <v>-48747.857135999999</v>
      </c>
      <c r="BB19" s="37">
        <f t="shared" si="9"/>
        <v>50051.275776000024</v>
      </c>
      <c r="BC19" s="37">
        <f t="shared" si="49"/>
        <v>1303.4186400000253</v>
      </c>
      <c r="BD19" s="194"/>
      <c r="BE19" s="27">
        <f t="shared" si="50"/>
        <v>0.81</v>
      </c>
      <c r="BF19" s="33">
        <f t="shared" si="30"/>
        <v>87980.758200000011</v>
      </c>
      <c r="BG19" s="34">
        <f t="shared" si="31"/>
        <v>20637.46179999999</v>
      </c>
      <c r="BH19" s="36">
        <f t="shared" si="10"/>
        <v>-75663.452052000008</v>
      </c>
      <c r="BI19" s="37">
        <f t="shared" si="11"/>
        <v>79247.853311999963</v>
      </c>
      <c r="BJ19" s="37">
        <f t="shared" si="51"/>
        <v>3584.4012599999551</v>
      </c>
      <c r="BK19" s="194"/>
      <c r="BL19" s="27">
        <f t="shared" si="52"/>
        <v>0</v>
      </c>
      <c r="BM19" s="33">
        <f t="shared" si="32"/>
        <v>0</v>
      </c>
      <c r="BN19" s="34">
        <f t="shared" si="33"/>
        <v>108618.22</v>
      </c>
      <c r="BO19" s="36">
        <f t="shared" si="12"/>
        <v>0</v>
      </c>
      <c r="BP19" s="37">
        <f t="shared" si="13"/>
        <v>417093.96480000002</v>
      </c>
      <c r="BQ19" s="37">
        <f t="shared" si="53"/>
        <v>417093.96480000002</v>
      </c>
      <c r="BR19" s="194"/>
      <c r="BT19" s="4">
        <v>104</v>
      </c>
    </row>
    <row r="20" spans="1:72" s="4" customFormat="1" x14ac:dyDescent="0.3">
      <c r="A20" s="231"/>
      <c r="B20" s="173" t="s">
        <v>19</v>
      </c>
      <c r="C20" s="173">
        <f t="shared" si="0"/>
        <v>11354.612000000001</v>
      </c>
      <c r="D20" s="173">
        <v>6131</v>
      </c>
      <c r="E20" s="173">
        <v>95127</v>
      </c>
      <c r="F20" s="174">
        <f>C20*('Aircraft Data'!$E$7)</f>
        <v>84251.221040000004</v>
      </c>
      <c r="G20" s="175">
        <f>('Taxi-In (TXI) IATA Summer 2024'!J21+'Taxi-In (TXI) IATA Summer 2024'!$J$3)/2</f>
        <v>11.2</v>
      </c>
      <c r="H20" s="175">
        <f>('Taxi-Out (TXO) IATA Summer 2024'!J21+'Taxi-Out (TXO) IATA Summer 2024'!$J$3)/2</f>
        <v>15.45</v>
      </c>
      <c r="I20" s="175">
        <f t="shared" si="80"/>
        <v>847.47</v>
      </c>
      <c r="J20" s="176">
        <f t="shared" ref="J20" si="83">I20+E20</f>
        <v>95974.47</v>
      </c>
      <c r="K20" s="177">
        <f t="shared" si="1"/>
        <v>368541.96480000002</v>
      </c>
      <c r="L20" s="177">
        <f t="shared" si="14"/>
        <v>303279.32520000002</v>
      </c>
      <c r="M20" s="177">
        <f t="shared" si="15"/>
        <v>65262.63960000001</v>
      </c>
      <c r="N20" s="189"/>
      <c r="O20" s="178">
        <f t="shared" si="36"/>
        <v>1</v>
      </c>
      <c r="P20" s="175">
        <f t="shared" si="16"/>
        <v>95974.47</v>
      </c>
      <c r="Q20" s="179">
        <f t="shared" si="17"/>
        <v>0</v>
      </c>
      <c r="R20" s="180">
        <f t="shared" si="37"/>
        <v>124766.811</v>
      </c>
      <c r="S20" s="181">
        <f t="shared" ref="S20" si="84">Q20*$C$36</f>
        <v>0</v>
      </c>
      <c r="T20" s="181">
        <f t="shared" si="39"/>
        <v>124766.811</v>
      </c>
      <c r="U20" s="193"/>
      <c r="V20" s="178">
        <f t="shared" si="40"/>
        <v>0.88</v>
      </c>
      <c r="W20" s="69">
        <f t="shared" si="18"/>
        <v>84457.533599999995</v>
      </c>
      <c r="X20" s="70">
        <f t="shared" si="19"/>
        <v>11516.936400000006</v>
      </c>
      <c r="Y20" s="180">
        <f t="shared" si="20"/>
        <v>-43073.342135999999</v>
      </c>
      <c r="Z20" s="181">
        <f t="shared" si="2"/>
        <v>44225.035776000019</v>
      </c>
      <c r="AA20" s="181">
        <f t="shared" si="41"/>
        <v>1151.6936400000195</v>
      </c>
      <c r="AB20" s="194"/>
      <c r="AC20" s="178">
        <f t="shared" si="42"/>
        <v>0.81</v>
      </c>
      <c r="AD20" s="175">
        <f t="shared" si="21"/>
        <v>77739.320700000011</v>
      </c>
      <c r="AE20" s="179">
        <f t="shared" si="22"/>
        <v>18235.14929999999</v>
      </c>
      <c r="AF20" s="180">
        <f t="shared" si="3"/>
        <v>-66855.815802000012</v>
      </c>
      <c r="AG20" s="181">
        <f t="shared" si="4"/>
        <v>70022.973311999958</v>
      </c>
      <c r="AH20" s="181">
        <f t="shared" si="43"/>
        <v>3167.1575099999463</v>
      </c>
      <c r="AI20" s="194"/>
      <c r="AJ20" s="178">
        <f t="shared" si="44"/>
        <v>0</v>
      </c>
      <c r="AK20" s="175">
        <f t="shared" si="23"/>
        <v>0</v>
      </c>
      <c r="AL20" s="179">
        <f t="shared" si="24"/>
        <v>95974.47</v>
      </c>
      <c r="AM20" s="180">
        <f t="shared" si="5"/>
        <v>0</v>
      </c>
      <c r="AN20" s="181">
        <f t="shared" si="6"/>
        <v>368541.96480000002</v>
      </c>
      <c r="AO20" s="181">
        <f t="shared" si="45"/>
        <v>368541.96480000002</v>
      </c>
      <c r="AP20" s="189"/>
      <c r="AQ20" s="178">
        <f t="shared" si="46"/>
        <v>1</v>
      </c>
      <c r="AR20" s="175">
        <f t="shared" si="25"/>
        <v>95974.47</v>
      </c>
      <c r="AS20" s="179">
        <f t="shared" si="26"/>
        <v>0</v>
      </c>
      <c r="AT20" s="180">
        <f t="shared" si="7"/>
        <v>124766.811</v>
      </c>
      <c r="AU20" s="181">
        <f t="shared" si="27"/>
        <v>0</v>
      </c>
      <c r="AV20" s="181">
        <f t="shared" si="47"/>
        <v>124766.811</v>
      </c>
      <c r="AW20" s="193"/>
      <c r="AX20" s="178">
        <f t="shared" si="48"/>
        <v>0.88</v>
      </c>
      <c r="AY20" s="69">
        <f t="shared" si="28"/>
        <v>84457.533599999995</v>
      </c>
      <c r="AZ20" s="70">
        <f t="shared" si="29"/>
        <v>11516.936400000006</v>
      </c>
      <c r="BA20" s="180">
        <f t="shared" si="8"/>
        <v>-43073.342135999999</v>
      </c>
      <c r="BB20" s="181">
        <f t="shared" si="9"/>
        <v>44225.035776000019</v>
      </c>
      <c r="BC20" s="181">
        <f t="shared" si="49"/>
        <v>1151.6936400000195</v>
      </c>
      <c r="BD20" s="194"/>
      <c r="BE20" s="178">
        <f t="shared" si="50"/>
        <v>0.81</v>
      </c>
      <c r="BF20" s="175">
        <f t="shared" si="30"/>
        <v>77739.320700000011</v>
      </c>
      <c r="BG20" s="179">
        <f t="shared" si="31"/>
        <v>18235.14929999999</v>
      </c>
      <c r="BH20" s="180">
        <f t="shared" si="10"/>
        <v>-66855.815802000012</v>
      </c>
      <c r="BI20" s="181">
        <f t="shared" si="11"/>
        <v>70022.973311999958</v>
      </c>
      <c r="BJ20" s="181">
        <f t="shared" si="51"/>
        <v>3167.1575099999463</v>
      </c>
      <c r="BK20" s="194"/>
      <c r="BL20" s="178">
        <f t="shared" si="52"/>
        <v>0</v>
      </c>
      <c r="BM20" s="175">
        <f t="shared" si="32"/>
        <v>0</v>
      </c>
      <c r="BN20" s="179">
        <f t="shared" si="33"/>
        <v>95974.47</v>
      </c>
      <c r="BO20" s="180">
        <f t="shared" si="12"/>
        <v>0</v>
      </c>
      <c r="BP20" s="181">
        <f t="shared" si="13"/>
        <v>368541.96480000002</v>
      </c>
      <c r="BQ20" s="181">
        <f t="shared" si="53"/>
        <v>368541.96480000002</v>
      </c>
      <c r="BR20" s="194"/>
      <c r="BT20" s="4">
        <v>312</v>
      </c>
    </row>
    <row r="21" spans="1:72" s="4" customFormat="1" x14ac:dyDescent="0.3">
      <c r="A21" s="231"/>
      <c r="B21" s="8" t="s">
        <v>20</v>
      </c>
      <c r="C21" s="8">
        <f t="shared" si="0"/>
        <v>9213.7000000000007</v>
      </c>
      <c r="D21" s="8">
        <v>4975</v>
      </c>
      <c r="E21" s="8">
        <v>73928</v>
      </c>
      <c r="F21" s="64">
        <f>C21*('Aircraft Data'!$E$7)</f>
        <v>68365.65400000001</v>
      </c>
      <c r="G21" s="33">
        <f>('Taxi-In (TXI) IATA Summer 2024'!J22+'Taxi-In (TXI) IATA Summer 2024'!$J$3)/2</f>
        <v>8.8999999999999986</v>
      </c>
      <c r="H21" s="33">
        <f>('Taxi-Out (TXO) IATA Summer 2024'!J22+'Taxi-Out (TXO) IATA Summer 2024'!$J$3)/2</f>
        <v>15.149999999999999</v>
      </c>
      <c r="I21" s="33">
        <f t="shared" si="80"/>
        <v>764.79</v>
      </c>
      <c r="J21" s="43">
        <f t="shared" ref="J21" si="85">E21+I21</f>
        <v>74692.789999999994</v>
      </c>
      <c r="K21" s="42">
        <f t="shared" si="1"/>
        <v>286820.31359999994</v>
      </c>
      <c r="L21" s="42">
        <f t="shared" si="14"/>
        <v>236029.21639999995</v>
      </c>
      <c r="M21" s="42">
        <f t="shared" si="15"/>
        <v>50791.097199999989</v>
      </c>
      <c r="N21" s="189"/>
      <c r="O21" s="27">
        <f t="shared" si="36"/>
        <v>1</v>
      </c>
      <c r="P21" s="33">
        <f t="shared" si="16"/>
        <v>74692.789999999994</v>
      </c>
      <c r="Q21" s="34">
        <f t="shared" si="17"/>
        <v>0</v>
      </c>
      <c r="R21" s="36">
        <f t="shared" si="37"/>
        <v>97100.626999999993</v>
      </c>
      <c r="S21" s="37">
        <f t="shared" ref="S21" si="86">Q21*$C$35</f>
        <v>0</v>
      </c>
      <c r="T21" s="37">
        <f t="shared" si="39"/>
        <v>97100.626999999993</v>
      </c>
      <c r="U21" s="193"/>
      <c r="V21" s="27">
        <f t="shared" si="40"/>
        <v>0.88</v>
      </c>
      <c r="W21" s="33">
        <f t="shared" si="18"/>
        <v>65729.655199999994</v>
      </c>
      <c r="X21" s="34">
        <f t="shared" si="19"/>
        <v>8963.1347999999998</v>
      </c>
      <c r="Y21" s="36">
        <f t="shared" si="20"/>
        <v>-33522.124151999997</v>
      </c>
      <c r="Z21" s="37">
        <f t="shared" si="2"/>
        <v>34418.437632000001</v>
      </c>
      <c r="AA21" s="37">
        <f t="shared" si="41"/>
        <v>896.31348000000435</v>
      </c>
      <c r="AB21" s="194"/>
      <c r="AC21" s="27">
        <f t="shared" si="42"/>
        <v>0.81</v>
      </c>
      <c r="AD21" s="33">
        <f t="shared" si="21"/>
        <v>60501.159899999999</v>
      </c>
      <c r="AE21" s="34">
        <f t="shared" si="22"/>
        <v>14191.630099999995</v>
      </c>
      <c r="AF21" s="36">
        <f t="shared" si="3"/>
        <v>-52030.997513999995</v>
      </c>
      <c r="AG21" s="37">
        <f t="shared" si="4"/>
        <v>54495.859583999976</v>
      </c>
      <c r="AH21" s="37">
        <f t="shared" si="43"/>
        <v>2464.862069999981</v>
      </c>
      <c r="AI21" s="194"/>
      <c r="AJ21" s="27">
        <f t="shared" si="44"/>
        <v>0</v>
      </c>
      <c r="AK21" s="33">
        <f t="shared" si="23"/>
        <v>0</v>
      </c>
      <c r="AL21" s="34">
        <f t="shared" si="24"/>
        <v>74692.789999999994</v>
      </c>
      <c r="AM21" s="36">
        <f t="shared" si="5"/>
        <v>0</v>
      </c>
      <c r="AN21" s="37">
        <f t="shared" si="6"/>
        <v>286820.31359999994</v>
      </c>
      <c r="AO21" s="37">
        <f t="shared" si="45"/>
        <v>286820.31359999994</v>
      </c>
      <c r="AP21" s="189"/>
      <c r="AQ21" s="27">
        <f t="shared" si="46"/>
        <v>1</v>
      </c>
      <c r="AR21" s="33">
        <f t="shared" si="25"/>
        <v>74692.789999999994</v>
      </c>
      <c r="AS21" s="34">
        <f t="shared" si="26"/>
        <v>0</v>
      </c>
      <c r="AT21" s="36">
        <f t="shared" si="7"/>
        <v>97100.626999999993</v>
      </c>
      <c r="AU21" s="37">
        <f t="shared" si="27"/>
        <v>0</v>
      </c>
      <c r="AV21" s="37">
        <f t="shared" si="47"/>
        <v>97100.626999999993</v>
      </c>
      <c r="AW21" s="193"/>
      <c r="AX21" s="27">
        <f t="shared" si="48"/>
        <v>0.88</v>
      </c>
      <c r="AY21" s="33">
        <f t="shared" si="28"/>
        <v>65729.655199999994</v>
      </c>
      <c r="AZ21" s="34">
        <f t="shared" si="29"/>
        <v>8963.1347999999998</v>
      </c>
      <c r="BA21" s="36">
        <f t="shared" si="8"/>
        <v>-33522.124151999997</v>
      </c>
      <c r="BB21" s="37">
        <f t="shared" si="9"/>
        <v>34418.437632000001</v>
      </c>
      <c r="BC21" s="37">
        <f t="shared" si="49"/>
        <v>896.31348000000435</v>
      </c>
      <c r="BD21" s="194"/>
      <c r="BE21" s="27">
        <f t="shared" si="50"/>
        <v>0.81</v>
      </c>
      <c r="BF21" s="33">
        <f t="shared" si="30"/>
        <v>60501.159899999999</v>
      </c>
      <c r="BG21" s="34">
        <f t="shared" si="31"/>
        <v>14191.630099999995</v>
      </c>
      <c r="BH21" s="36">
        <f t="shared" si="10"/>
        <v>-52030.997513999995</v>
      </c>
      <c r="BI21" s="37">
        <f t="shared" si="11"/>
        <v>54495.859583999976</v>
      </c>
      <c r="BJ21" s="37">
        <f t="shared" si="51"/>
        <v>2464.862069999981</v>
      </c>
      <c r="BK21" s="194"/>
      <c r="BL21" s="27">
        <f t="shared" si="52"/>
        <v>0</v>
      </c>
      <c r="BM21" s="33">
        <f t="shared" si="32"/>
        <v>0</v>
      </c>
      <c r="BN21" s="34">
        <f t="shared" si="33"/>
        <v>74692.789999999994</v>
      </c>
      <c r="BO21" s="36">
        <f t="shared" si="12"/>
        <v>0</v>
      </c>
      <c r="BP21" s="37">
        <f t="shared" si="13"/>
        <v>286820.31359999994</v>
      </c>
      <c r="BQ21" s="37">
        <f t="shared" si="53"/>
        <v>286820.31359999994</v>
      </c>
      <c r="BR21" s="194"/>
      <c r="BT21" s="4">
        <v>312</v>
      </c>
    </row>
    <row r="22" spans="1:72" s="4" customFormat="1" x14ac:dyDescent="0.3">
      <c r="A22" s="231"/>
      <c r="B22" s="173" t="s">
        <v>21</v>
      </c>
      <c r="C22" s="173">
        <f t="shared" si="0"/>
        <v>7900.6320000000005</v>
      </c>
      <c r="D22" s="173">
        <v>4266</v>
      </c>
      <c r="E22" s="173">
        <v>74783</v>
      </c>
      <c r="F22" s="174">
        <f>C22*('Aircraft Data'!$E$7)</f>
        <v>58622.689440000002</v>
      </c>
      <c r="G22" s="175">
        <f>('Taxi-In (TXI) IATA Summer 2024'!J23+'Taxi-In (TXI) IATA Summer 2024'!$J$3)/2</f>
        <v>10.149999999999999</v>
      </c>
      <c r="H22" s="175">
        <f>('Taxi-Out (TXO) IATA Summer 2024'!J23+'Taxi-Out (TXO) IATA Summer 2024'!$J$3)/2</f>
        <v>17.3</v>
      </c>
      <c r="I22" s="175">
        <f t="shared" si="80"/>
        <v>872.91</v>
      </c>
      <c r="J22" s="176">
        <f t="shared" ref="J22" si="87">I22+E22</f>
        <v>75655.91</v>
      </c>
      <c r="K22" s="177">
        <f t="shared" si="1"/>
        <v>290518.69439999998</v>
      </c>
      <c r="L22" s="177">
        <f t="shared" si="14"/>
        <v>239072.67559999999</v>
      </c>
      <c r="M22" s="177">
        <f t="shared" si="15"/>
        <v>51446.018799999998</v>
      </c>
      <c r="N22" s="189"/>
      <c r="O22" s="178">
        <f t="shared" si="36"/>
        <v>1</v>
      </c>
      <c r="P22" s="175">
        <f t="shared" si="16"/>
        <v>75655.91</v>
      </c>
      <c r="Q22" s="179">
        <f t="shared" si="17"/>
        <v>0</v>
      </c>
      <c r="R22" s="180">
        <f t="shared" si="37"/>
        <v>98352.683000000005</v>
      </c>
      <c r="S22" s="181">
        <f t="shared" ref="S22" si="88">Q22*$C$36</f>
        <v>0</v>
      </c>
      <c r="T22" s="181">
        <f t="shared" si="39"/>
        <v>98352.683000000005</v>
      </c>
      <c r="U22" s="193"/>
      <c r="V22" s="178">
        <f t="shared" si="40"/>
        <v>0.88</v>
      </c>
      <c r="W22" s="69">
        <f t="shared" si="18"/>
        <v>66577.200800000006</v>
      </c>
      <c r="X22" s="70">
        <f t="shared" si="19"/>
        <v>9078.7091999999975</v>
      </c>
      <c r="Y22" s="180">
        <f t="shared" si="20"/>
        <v>-33954.372408000003</v>
      </c>
      <c r="Z22" s="181">
        <f t="shared" si="2"/>
        <v>34862.24332799999</v>
      </c>
      <c r="AA22" s="181">
        <f t="shared" si="41"/>
        <v>907.87091999998665</v>
      </c>
      <c r="AB22" s="194"/>
      <c r="AC22" s="178">
        <f t="shared" si="42"/>
        <v>0.81</v>
      </c>
      <c r="AD22" s="175">
        <f t="shared" si="21"/>
        <v>61281.287100000009</v>
      </c>
      <c r="AE22" s="179">
        <f t="shared" si="22"/>
        <v>14374.622899999995</v>
      </c>
      <c r="AF22" s="180">
        <f t="shared" si="3"/>
        <v>-52701.906906000004</v>
      </c>
      <c r="AG22" s="181">
        <f t="shared" si="4"/>
        <v>55198.551935999982</v>
      </c>
      <c r="AH22" s="181">
        <f t="shared" si="43"/>
        <v>2496.6450299999779</v>
      </c>
      <c r="AI22" s="194"/>
      <c r="AJ22" s="178">
        <f t="shared" si="44"/>
        <v>0</v>
      </c>
      <c r="AK22" s="175">
        <f>$J22*AJ22</f>
        <v>0</v>
      </c>
      <c r="AL22" s="179">
        <f t="shared" si="24"/>
        <v>75655.91</v>
      </c>
      <c r="AM22" s="180">
        <f t="shared" si="5"/>
        <v>0</v>
      </c>
      <c r="AN22" s="181">
        <f t="shared" si="6"/>
        <v>290518.69439999998</v>
      </c>
      <c r="AO22" s="181">
        <f t="shared" si="45"/>
        <v>290518.69439999998</v>
      </c>
      <c r="AP22" s="189"/>
      <c r="AQ22" s="178">
        <f t="shared" si="46"/>
        <v>1</v>
      </c>
      <c r="AR22" s="175">
        <f t="shared" si="25"/>
        <v>75655.91</v>
      </c>
      <c r="AS22" s="179">
        <f t="shared" si="26"/>
        <v>0</v>
      </c>
      <c r="AT22" s="180">
        <f t="shared" si="7"/>
        <v>98352.683000000005</v>
      </c>
      <c r="AU22" s="181">
        <f t="shared" si="27"/>
        <v>0</v>
      </c>
      <c r="AV22" s="181">
        <f t="shared" si="47"/>
        <v>98352.683000000005</v>
      </c>
      <c r="AW22" s="193"/>
      <c r="AX22" s="178">
        <f t="shared" si="48"/>
        <v>0.88</v>
      </c>
      <c r="AY22" s="69">
        <f t="shared" si="28"/>
        <v>66577.200800000006</v>
      </c>
      <c r="AZ22" s="70">
        <f t="shared" si="29"/>
        <v>9078.7091999999975</v>
      </c>
      <c r="BA22" s="180">
        <f t="shared" si="8"/>
        <v>-33954.372408000003</v>
      </c>
      <c r="BB22" s="181">
        <f t="shared" si="9"/>
        <v>34862.24332799999</v>
      </c>
      <c r="BC22" s="181">
        <f t="shared" si="49"/>
        <v>907.87091999998665</v>
      </c>
      <c r="BD22" s="194"/>
      <c r="BE22" s="178">
        <f t="shared" si="50"/>
        <v>0.81</v>
      </c>
      <c r="BF22" s="175">
        <f t="shared" si="30"/>
        <v>61281.287100000009</v>
      </c>
      <c r="BG22" s="179">
        <f t="shared" si="31"/>
        <v>14374.622899999995</v>
      </c>
      <c r="BH22" s="180">
        <f t="shared" si="10"/>
        <v>-52701.906906000004</v>
      </c>
      <c r="BI22" s="181">
        <f t="shared" si="11"/>
        <v>55198.551935999982</v>
      </c>
      <c r="BJ22" s="181">
        <f t="shared" si="51"/>
        <v>2496.6450299999779</v>
      </c>
      <c r="BK22" s="194"/>
      <c r="BL22" s="178">
        <f t="shared" si="52"/>
        <v>0</v>
      </c>
      <c r="BM22" s="175">
        <f>$J22*BL22</f>
        <v>0</v>
      </c>
      <c r="BN22" s="179">
        <f t="shared" si="33"/>
        <v>75655.91</v>
      </c>
      <c r="BO22" s="180">
        <f t="shared" si="12"/>
        <v>0</v>
      </c>
      <c r="BP22" s="181">
        <f t="shared" si="13"/>
        <v>290518.69439999998</v>
      </c>
      <c r="BQ22" s="181">
        <f t="shared" si="53"/>
        <v>290518.69439999998</v>
      </c>
      <c r="BR22" s="194"/>
      <c r="BT22" s="4">
        <v>104</v>
      </c>
    </row>
    <row r="23" spans="1:72" x14ac:dyDescent="0.3">
      <c r="K23" s="54"/>
      <c r="L23" s="54"/>
      <c r="M23" s="54"/>
      <c r="N23" s="203"/>
      <c r="T23" s="54"/>
      <c r="U23" s="187"/>
      <c r="AB23" s="187"/>
      <c r="AI23" s="187"/>
      <c r="AV23" s="54"/>
    </row>
    <row r="24" spans="1:72" x14ac:dyDescent="0.3">
      <c r="B24" t="s">
        <v>2253</v>
      </c>
      <c r="D24" s="68"/>
      <c r="I24" s="118" t="s">
        <v>2258</v>
      </c>
      <c r="L24" s="226">
        <f>SUMPRODUCT(K3:K22,$BT$3:$BT$22)</f>
        <v>621765840.80639994</v>
      </c>
      <c r="M24" s="226"/>
      <c r="N24" s="204"/>
      <c r="O24" s="118" t="s">
        <v>2213</v>
      </c>
      <c r="S24" s="226">
        <f>SUMPRODUCT(T3:T22,$BT$3:$BT$22)</f>
        <v>210493644.023</v>
      </c>
      <c r="T24" s="226"/>
      <c r="U24" s="187"/>
      <c r="V24" s="118" t="s">
        <v>2213</v>
      </c>
      <c r="Z24" s="226">
        <f>SUMPRODUCT(AA3:AA22,$BT$3:$BT$22)</f>
        <v>1943018.2525200013</v>
      </c>
      <c r="AA24" s="226"/>
      <c r="AB24" s="187"/>
      <c r="AC24" s="118" t="s">
        <v>2213</v>
      </c>
      <c r="AG24" s="226">
        <f>SUMPRODUCT(AH3:AH22,$BT$3:$BT$22)</f>
        <v>5343300.1944299322</v>
      </c>
      <c r="AH24" s="226"/>
      <c r="AI24" s="187"/>
      <c r="AJ24" s="118" t="s">
        <v>2213</v>
      </c>
      <c r="AN24" s="226">
        <f>SUMPRODUCT(AO3:AO22,$BT$3:$BT$22)</f>
        <v>621765840.80639994</v>
      </c>
      <c r="AO24" s="226"/>
      <c r="AQ24" s="118" t="s">
        <v>2213</v>
      </c>
      <c r="AU24" s="226">
        <f>SUMPRODUCT(AV3:AV22,$BT$3:$BT$22)</f>
        <v>210493644.023</v>
      </c>
      <c r="AV24" s="226"/>
      <c r="AX24" s="118" t="s">
        <v>2213</v>
      </c>
      <c r="BB24" s="226">
        <f>SUMPRODUCT(BC3:BC22,$BT$3:$BT$22)</f>
        <v>1943018.2525200013</v>
      </c>
      <c r="BC24" s="226"/>
      <c r="BE24" s="118" t="s">
        <v>2213</v>
      </c>
      <c r="BI24" s="226">
        <f>SUMPRODUCT(BJ3:BJ22,$BT$3:$BT$22)</f>
        <v>5343300.1944299322</v>
      </c>
      <c r="BJ24" s="226"/>
      <c r="BL24" s="118" t="s">
        <v>2213</v>
      </c>
      <c r="BP24" s="226">
        <f>SUMPRODUCT(BQ3:BQ22,$BT$3:$BT$22)</f>
        <v>621765840.80639994</v>
      </c>
      <c r="BQ24" s="226"/>
    </row>
    <row r="25" spans="1:72" x14ac:dyDescent="0.3">
      <c r="U25" s="187"/>
      <c r="AB25" s="187"/>
      <c r="AI25" s="187"/>
    </row>
    <row r="26" spans="1:72" x14ac:dyDescent="0.3">
      <c r="B26" t="s">
        <v>2254</v>
      </c>
      <c r="I26" t="s">
        <v>2214</v>
      </c>
      <c r="L26" s="227">
        <v>0</v>
      </c>
      <c r="M26" s="227"/>
      <c r="N26" s="205"/>
      <c r="O26" t="s">
        <v>2214</v>
      </c>
      <c r="S26" s="227">
        <f>SUMPRODUCT(P3:P22,$BT$3:$BT$22)*$H$36</f>
        <v>275260919.10699993</v>
      </c>
      <c r="T26" s="227"/>
      <c r="U26" s="187"/>
      <c r="V26" t="s">
        <v>2214</v>
      </c>
      <c r="Z26" s="227">
        <f>SUMPRODUCT(W3:W22,$BT$3:$BT$22)*$H$37</f>
        <v>672543384.47225583</v>
      </c>
      <c r="AA26" s="227"/>
      <c r="AB26" s="187"/>
      <c r="AC26" t="s">
        <v>2214</v>
      </c>
      <c r="AG26" s="227">
        <f>SUMPRODUCT(AD3:AD22,$BT$3:$BT$22)*$H$38</f>
        <v>619045615.25287199</v>
      </c>
      <c r="AH26" s="227"/>
      <c r="AI26" s="187"/>
      <c r="AJ26" t="s">
        <v>2214</v>
      </c>
      <c r="AN26" s="227">
        <f>SUMPRODUCT(AK3:AK22,$BT$3:$BT$22)*$H$39</f>
        <v>0</v>
      </c>
      <c r="AO26" s="227"/>
      <c r="AQ26" t="s">
        <v>2214</v>
      </c>
      <c r="AU26" s="227">
        <f>SUMPRODUCT(AR3:AR22,$BT$3:$BT$22)*$D$36</f>
        <v>210493644.02299997</v>
      </c>
      <c r="AV26" s="227"/>
      <c r="AX26" t="s">
        <v>2214</v>
      </c>
      <c r="BB26" s="227">
        <f>SUMPRODUCT(AY3:AY22,$BT$3:$BT$22)*$D$37</f>
        <v>455961616.59135991</v>
      </c>
      <c r="BC26" s="227"/>
      <c r="BE26" t="s">
        <v>2214</v>
      </c>
      <c r="BI26" s="227">
        <f>SUMPRODUCT(BF3:BF22,$BT$3:$BT$22)*$D$38</f>
        <v>419691942.54432005</v>
      </c>
      <c r="BJ26" s="227"/>
      <c r="BL26" t="s">
        <v>2214</v>
      </c>
      <c r="BP26" s="227">
        <f>SUMPRODUCT(BM3:BM22,$BT$3:$BT$22)*$D$37</f>
        <v>0</v>
      </c>
      <c r="BQ26" s="227"/>
    </row>
    <row r="27" spans="1:72" x14ac:dyDescent="0.3">
      <c r="B27" t="s">
        <v>2255</v>
      </c>
      <c r="I27" t="s">
        <v>2215</v>
      </c>
      <c r="L27" s="227">
        <f>(SUMPRODUCT(J3:J22,$BT$3:$BT$22)*F35)</f>
        <v>145726368.93899998</v>
      </c>
      <c r="M27" s="227"/>
      <c r="N27" s="205"/>
      <c r="O27" t="s">
        <v>2215</v>
      </c>
      <c r="S27" s="227">
        <f>(SUMPRODUCT(Q3:Q22,$BT$3:$BT$22)*$H$35)</f>
        <v>0</v>
      </c>
      <c r="T27" s="227"/>
      <c r="U27" s="187"/>
      <c r="V27" t="s">
        <v>2215</v>
      </c>
      <c r="Z27" s="227">
        <f>(SUMPRODUCT(X3:X22,$BT$3:$BT$22)*$H$35)</f>
        <v>19041578.874696001</v>
      </c>
      <c r="AA27" s="227"/>
      <c r="AB27" s="187"/>
      <c r="AC27" t="s">
        <v>2215</v>
      </c>
      <c r="AG27" s="227">
        <f>(SUMPRODUCT(AE3:AE22,$BT$3:$BT$22)*$H$35)</f>
        <v>30149166.551601987</v>
      </c>
      <c r="AH27" s="227"/>
      <c r="AI27" s="187"/>
      <c r="AJ27" t="s">
        <v>2215</v>
      </c>
      <c r="AN27" s="227">
        <f>(SUMPRODUCT(AL3:AL22,$BT$3:$BT$22)*$H$35)</f>
        <v>158679823.95579997</v>
      </c>
      <c r="AO27" s="227"/>
      <c r="AQ27" t="s">
        <v>2215</v>
      </c>
      <c r="AU27" s="227">
        <f>(SUMPRODUCT(AS3:AS22,$BT$3:$BT$22)*$D$35)</f>
        <v>0</v>
      </c>
      <c r="AV27" s="227"/>
      <c r="AX27" t="s">
        <v>2215</v>
      </c>
      <c r="BB27" s="227">
        <f>(SUMPRODUCT(AZ3:AZ22,$BT$3:$BT$22)*$D$35)</f>
        <v>25259237.282760002</v>
      </c>
      <c r="BC27" s="227"/>
      <c r="BE27" t="s">
        <v>2215</v>
      </c>
      <c r="BI27" s="227">
        <f>(SUMPRODUCT(BG3:BG22,$BT$3:$BT$22)*$D$35)</f>
        <v>39993792.364369981</v>
      </c>
      <c r="BJ27" s="227"/>
      <c r="BL27" t="s">
        <v>2215</v>
      </c>
      <c r="BP27" s="227">
        <f>(SUMPRODUCT(BN3:BN22,$BT$3:$BT$22)*$D$35)</f>
        <v>210493644.02299997</v>
      </c>
      <c r="BQ27" s="227"/>
    </row>
    <row r="28" spans="1:72" x14ac:dyDescent="0.3">
      <c r="B28" t="s">
        <v>2256</v>
      </c>
      <c r="I28" t="s">
        <v>2218</v>
      </c>
      <c r="L28" s="227">
        <v>0</v>
      </c>
      <c r="M28" s="227"/>
      <c r="N28" s="205"/>
      <c r="O28" t="s">
        <v>2218</v>
      </c>
      <c r="S28" s="227">
        <f>IF((SUMPRODUCT(T3:T22,$BT$3:$BT$22)*$D$41)&gt;0,SUMPRODUCT(T3:T22,$BT$3:$BT$22)*$D$41,0)</f>
        <v>105246822.0115</v>
      </c>
      <c r="T28" s="227"/>
      <c r="U28" s="187"/>
      <c r="V28" t="s">
        <v>2218</v>
      </c>
      <c r="Z28" s="227">
        <f>IF((SUMPRODUCT(AA3:AA22,$BT$3:$BT$22)*$D$41)&gt;0,SUMPRODUCT(AA3:AA22,$BT$3:$BT$22)*$D$41,0)</f>
        <v>971509.12626000063</v>
      </c>
      <c r="AA28" s="227"/>
      <c r="AB28" s="187"/>
      <c r="AC28" t="s">
        <v>2218</v>
      </c>
      <c r="AG28" s="227">
        <f>IF((SUMPRODUCT(AH3:AH22,$BT$3:$BT$22)*$D$41)&gt;0,SUMPRODUCT(AH3:AH22,$BT$3:$BT$22)*$D$41,0)</f>
        <v>2671650.0972149661</v>
      </c>
      <c r="AH28" s="227"/>
      <c r="AI28" s="187"/>
      <c r="AJ28" t="s">
        <v>2218</v>
      </c>
      <c r="AN28" s="227">
        <f>IF((SUMPRODUCT(AO3:AO22,$BT$3:$BT$22)*$D$41)&gt;0,SUMPRODUCT(AO3:AO22,$BT$3:$BT$22)*$D$41,0)</f>
        <v>310882920.40319997</v>
      </c>
      <c r="AO28" s="227"/>
      <c r="AQ28" t="s">
        <v>2218</v>
      </c>
      <c r="AU28" s="227">
        <f>IF((SUMPRODUCT(AV3:AV22,$BT$3:$BT$22)*$D$41)&gt;0,SUMPRODUCT(AV3:AV22,$BT$3:$BT$22)*$D$41,0)</f>
        <v>105246822.0115</v>
      </c>
      <c r="AV28" s="227"/>
      <c r="AX28" t="s">
        <v>2218</v>
      </c>
      <c r="BB28" s="227">
        <f>IF((SUMPRODUCT(BC3:BC22,$BT$3:$BT$22)*$D$41)&gt;0,SUMPRODUCT(BC3:BC22,$BT$3:$BT$22)*$D$41,0)</f>
        <v>971509.12626000063</v>
      </c>
      <c r="BC28" s="227"/>
      <c r="BE28" t="s">
        <v>2218</v>
      </c>
      <c r="BI28" s="227">
        <f>IF((SUMPRODUCT(BJ3:BJ22,$BT$3:$BT$22)*$D$41)&gt;0,SUMPRODUCT(BJ3:BJ22,$BT$3:$BT$22)*$D$41,0)</f>
        <v>2671650.0972149661</v>
      </c>
      <c r="BJ28" s="227"/>
      <c r="BL28" t="s">
        <v>2218</v>
      </c>
      <c r="BP28" s="227">
        <f>IF((SUMPRODUCT(BQ3:BQ22,$BT$3:$BT$22)*$D$41)&gt;0,SUMPRODUCT(BQ3:BQ22,$BT$3:$BT$22)*$D$41,0)</f>
        <v>310882920.40319997</v>
      </c>
      <c r="BQ28" s="227"/>
    </row>
    <row r="29" spans="1:72" x14ac:dyDescent="0.3">
      <c r="B29" t="s">
        <v>2257</v>
      </c>
      <c r="I29" s="118" t="s">
        <v>2216</v>
      </c>
      <c r="L29" s="228">
        <f>SUM(L26:M28)</f>
        <v>145726368.93899998</v>
      </c>
      <c r="M29" s="229"/>
      <c r="N29" s="206"/>
      <c r="O29" s="118" t="s">
        <v>2216</v>
      </c>
      <c r="S29" s="228">
        <f>SUM(S26:T28)</f>
        <v>380507741.11849993</v>
      </c>
      <c r="T29" s="229"/>
      <c r="U29" s="187"/>
      <c r="V29" s="118" t="s">
        <v>2216</v>
      </c>
      <c r="Z29" s="228">
        <f>SUM(Z26:AA28)</f>
        <v>692556472.47321188</v>
      </c>
      <c r="AA29" s="229"/>
      <c r="AB29" s="187"/>
      <c r="AC29" s="118" t="s">
        <v>2216</v>
      </c>
      <c r="AG29" s="228">
        <f>SUM(AG26:AH28)</f>
        <v>651866431.90168893</v>
      </c>
      <c r="AH29" s="229"/>
      <c r="AI29" s="187"/>
      <c r="AJ29" s="118" t="s">
        <v>2216</v>
      </c>
      <c r="AN29" s="228">
        <f>SUM(AN26:AO28)</f>
        <v>469562744.35899997</v>
      </c>
      <c r="AO29" s="229"/>
      <c r="AQ29" s="118" t="s">
        <v>2216</v>
      </c>
      <c r="AU29" s="228">
        <f>SUM(AU26:AV28)</f>
        <v>315740466.0345</v>
      </c>
      <c r="AV29" s="229"/>
      <c r="AX29" s="118" t="s">
        <v>2216</v>
      </c>
      <c r="BB29" s="228">
        <f>SUM(BB26:BC28)</f>
        <v>482192363.00037992</v>
      </c>
      <c r="BC29" s="229"/>
      <c r="BE29" s="118" t="s">
        <v>2216</v>
      </c>
      <c r="BI29" s="228">
        <f>SUM(BI26:BJ28)</f>
        <v>462357385.00590497</v>
      </c>
      <c r="BJ29" s="229"/>
      <c r="BL29" s="118" t="s">
        <v>2216</v>
      </c>
      <c r="BP29" s="228">
        <f>SUM(BP26:BQ28)</f>
        <v>521376564.42619991</v>
      </c>
      <c r="BQ29" s="229"/>
    </row>
    <row r="30" spans="1:72" x14ac:dyDescent="0.3">
      <c r="I30" t="s">
        <v>2260</v>
      </c>
      <c r="L30" s="227">
        <f>L29/(SUMPRODUCT($J$3:$J$22,$BT$3:$BT$22))</f>
        <v>0.9</v>
      </c>
      <c r="M30" s="227"/>
      <c r="N30" s="205"/>
      <c r="O30" t="s">
        <v>2260</v>
      </c>
      <c r="S30" s="227">
        <f>S29/(SUMPRODUCT($J$3:$J$22,$BT$3:$BT$22))</f>
        <v>2.35</v>
      </c>
      <c r="T30" s="227"/>
      <c r="U30" s="187"/>
      <c r="V30" t="s">
        <v>2260</v>
      </c>
      <c r="Z30" s="227">
        <f>Z29/(SUMPRODUCT($J$3:$J$22,$BT$3:$BT$22))</f>
        <v>4.2771999999999997</v>
      </c>
      <c r="AA30" s="227"/>
      <c r="AB30" s="187"/>
      <c r="AC30" t="s">
        <v>2260</v>
      </c>
      <c r="AG30" s="227">
        <f>AG29/(SUMPRODUCT($J$3:$J$22,$BT$3:$BT$22))</f>
        <v>4.0259</v>
      </c>
      <c r="AH30" s="227"/>
      <c r="AI30" s="187"/>
      <c r="AJ30" t="s">
        <v>2260</v>
      </c>
      <c r="AN30" s="227">
        <f>AN29/(SUMPRODUCT($J$3:$J$22,$BT$3:$BT$22))</f>
        <v>2.9000000000000004</v>
      </c>
      <c r="AO30" s="227"/>
      <c r="AQ30" t="s">
        <v>2260</v>
      </c>
      <c r="AU30" s="227">
        <f>AU29/(SUMPRODUCT($J$3:$J$22,$BT$3:$BT$22))</f>
        <v>1.9500000000000002</v>
      </c>
      <c r="AV30" s="227"/>
      <c r="AX30" t="s">
        <v>2260</v>
      </c>
      <c r="BB30" s="227">
        <f>BB29/(SUMPRODUCT($J$3:$J$22,$BT$3:$BT$22))</f>
        <v>2.9779999999999998</v>
      </c>
      <c r="BC30" s="227"/>
      <c r="BE30" t="s">
        <v>2260</v>
      </c>
      <c r="BI30" s="227">
        <f>BI29/(SUMPRODUCT($J$3:$J$22,$BT$3:$BT$22))</f>
        <v>2.8555000000000001</v>
      </c>
      <c r="BJ30" s="227"/>
      <c r="BL30" t="s">
        <v>2260</v>
      </c>
      <c r="BP30" s="227">
        <f>BP29/(SUMPRODUCT($J$3:$J$22,$BT$3:$BT$22))</f>
        <v>3.2199999999999998</v>
      </c>
      <c r="BQ30" s="227"/>
    </row>
    <row r="31" spans="1:72" x14ac:dyDescent="0.3">
      <c r="U31" s="187"/>
      <c r="AB31" s="187"/>
      <c r="AI31" s="187"/>
    </row>
    <row r="32" spans="1:72" x14ac:dyDescent="0.3">
      <c r="O32" s="210" t="s">
        <v>2219</v>
      </c>
      <c r="P32" s="210"/>
      <c r="T32" s="121">
        <v>1</v>
      </c>
      <c r="U32" s="187"/>
      <c r="V32" s="210" t="s">
        <v>2219</v>
      </c>
      <c r="W32" s="210"/>
      <c r="AA32" s="121">
        <v>0.88</v>
      </c>
      <c r="AB32" s="187"/>
      <c r="AC32" s="210" t="s">
        <v>2219</v>
      </c>
      <c r="AD32" s="210"/>
      <c r="AH32" s="121">
        <v>0.81</v>
      </c>
      <c r="AI32" s="187"/>
      <c r="AJ32" s="210" t="s">
        <v>2219</v>
      </c>
      <c r="AK32" s="210"/>
      <c r="AO32" s="121">
        <v>0</v>
      </c>
      <c r="AQ32" s="210" t="s">
        <v>2219</v>
      </c>
      <c r="AR32" s="210"/>
      <c r="AV32" s="121">
        <v>1</v>
      </c>
      <c r="AX32" s="210" t="s">
        <v>2219</v>
      </c>
      <c r="AY32" s="210"/>
      <c r="BC32" s="121">
        <v>0.88</v>
      </c>
      <c r="BE32" s="210" t="s">
        <v>2219</v>
      </c>
      <c r="BF32" s="210"/>
      <c r="BJ32" s="121">
        <v>0.81</v>
      </c>
      <c r="BL32" s="210" t="s">
        <v>2219</v>
      </c>
      <c r="BM32" s="210"/>
      <c r="BQ32" s="121">
        <v>0</v>
      </c>
    </row>
    <row r="34" spans="2:10" x14ac:dyDescent="0.3">
      <c r="B34" t="s">
        <v>1626</v>
      </c>
      <c r="C34" t="s">
        <v>1628</v>
      </c>
      <c r="D34" t="s">
        <v>2262</v>
      </c>
      <c r="E34" t="s">
        <v>2259</v>
      </c>
      <c r="F34" t="s">
        <v>2261</v>
      </c>
      <c r="H34" t="s">
        <v>2267</v>
      </c>
    </row>
    <row r="35" spans="2:10" x14ac:dyDescent="0.3">
      <c r="B35" t="s">
        <v>1627</v>
      </c>
      <c r="C35">
        <v>3.84</v>
      </c>
      <c r="D35">
        <v>1.3</v>
      </c>
      <c r="E35">
        <f>D35+(C35*$D$41)</f>
        <v>3.2199999999999998</v>
      </c>
      <c r="F35">
        <v>0.9</v>
      </c>
      <c r="G35">
        <f>(D35-F35)/25</f>
        <v>1.6E-2</v>
      </c>
      <c r="H35">
        <f>F35+(G35*5)</f>
        <v>0.98</v>
      </c>
      <c r="J35" t="s">
        <v>2263</v>
      </c>
    </row>
    <row r="36" spans="2:10" x14ac:dyDescent="0.3">
      <c r="B36" t="s">
        <v>1630</v>
      </c>
      <c r="C36">
        <v>1.3</v>
      </c>
      <c r="D36">
        <v>1.3</v>
      </c>
      <c r="E36">
        <f t="shared" ref="E36:E39" si="89">D36+(C36*$D$41)</f>
        <v>1.9500000000000002</v>
      </c>
      <c r="F36" s="25">
        <v>1.8</v>
      </c>
      <c r="G36">
        <f>(D36-F36)/25</f>
        <v>-0.02</v>
      </c>
      <c r="H36">
        <f>F36+(G36*5)</f>
        <v>1.7</v>
      </c>
      <c r="J36" t="s">
        <v>2264</v>
      </c>
    </row>
    <row r="37" spans="2:10" x14ac:dyDescent="0.3">
      <c r="B37" t="s">
        <v>2210</v>
      </c>
      <c r="C37">
        <v>-0.51</v>
      </c>
      <c r="D37">
        <v>3.2</v>
      </c>
      <c r="E37">
        <f t="shared" si="89"/>
        <v>2.9450000000000003</v>
      </c>
      <c r="F37" s="25">
        <v>5.0999999999999996</v>
      </c>
      <c r="G37">
        <f>(D37-F37)/25</f>
        <v>-7.5999999999999984E-2</v>
      </c>
      <c r="H37">
        <f>F37+(G37*5)</f>
        <v>4.72</v>
      </c>
    </row>
    <row r="38" spans="2:10" x14ac:dyDescent="0.3">
      <c r="B38" t="s">
        <v>2211</v>
      </c>
      <c r="C38">
        <v>-0.86</v>
      </c>
      <c r="D38">
        <v>3.2</v>
      </c>
      <c r="E38">
        <f t="shared" si="89"/>
        <v>2.77</v>
      </c>
      <c r="F38">
        <v>5.0999999999999996</v>
      </c>
      <c r="G38">
        <f>(D38-F38)/25</f>
        <v>-7.5999999999999984E-2</v>
      </c>
      <c r="H38">
        <f>F38+(G38*5)</f>
        <v>4.72</v>
      </c>
    </row>
    <row r="39" spans="2:10" x14ac:dyDescent="0.3">
      <c r="B39" t="s">
        <v>2212</v>
      </c>
      <c r="C39">
        <v>1.1399999999999999</v>
      </c>
      <c r="D39">
        <v>3.2</v>
      </c>
      <c r="E39">
        <f t="shared" si="89"/>
        <v>3.77</v>
      </c>
      <c r="F39">
        <v>5.0999999999999996</v>
      </c>
      <c r="G39">
        <f>(D39-F39)/25</f>
        <v>-7.5999999999999984E-2</v>
      </c>
      <c r="H39">
        <f>F39+(G39*5)</f>
        <v>4.72</v>
      </c>
      <c r="J39" t="s">
        <v>2265</v>
      </c>
    </row>
    <row r="40" spans="2:10" x14ac:dyDescent="0.3">
      <c r="J40" t="s">
        <v>2266</v>
      </c>
    </row>
    <row r="41" spans="2:10" x14ac:dyDescent="0.3">
      <c r="B41" t="s">
        <v>2217</v>
      </c>
      <c r="D41">
        <v>0.5</v>
      </c>
    </row>
    <row r="42" spans="2:10" x14ac:dyDescent="0.3">
      <c r="J42" t="s">
        <v>2280</v>
      </c>
    </row>
  </sheetData>
  <mergeCells count="73">
    <mergeCell ref="O32:P32"/>
    <mergeCell ref="V32:W32"/>
    <mergeCell ref="AC32:AD32"/>
    <mergeCell ref="AJ32:AK32"/>
    <mergeCell ref="Z29:AA29"/>
    <mergeCell ref="AG29:AH29"/>
    <mergeCell ref="AN24:AO24"/>
    <mergeCell ref="AN29:AO29"/>
    <mergeCell ref="Z30:AA30"/>
    <mergeCell ref="AG30:AH30"/>
    <mergeCell ref="AN30:AO30"/>
    <mergeCell ref="Z26:AA26"/>
    <mergeCell ref="AG26:AH26"/>
    <mergeCell ref="AN26:AO26"/>
    <mergeCell ref="Z27:AA27"/>
    <mergeCell ref="AG27:AH27"/>
    <mergeCell ref="AN27:AO27"/>
    <mergeCell ref="L29:M29"/>
    <mergeCell ref="A17:A22"/>
    <mergeCell ref="A3:A16"/>
    <mergeCell ref="Z24:AA24"/>
    <mergeCell ref="AG24:AH24"/>
    <mergeCell ref="Z28:AA28"/>
    <mergeCell ref="AG28:AH28"/>
    <mergeCell ref="AN28:AO28"/>
    <mergeCell ref="L30:M30"/>
    <mergeCell ref="A1:M1"/>
    <mergeCell ref="O1:T1"/>
    <mergeCell ref="S24:T24"/>
    <mergeCell ref="S26:T26"/>
    <mergeCell ref="S27:T27"/>
    <mergeCell ref="S28:T28"/>
    <mergeCell ref="S29:T29"/>
    <mergeCell ref="S30:T30"/>
    <mergeCell ref="L24:M24"/>
    <mergeCell ref="L26:M26"/>
    <mergeCell ref="L27:M27"/>
    <mergeCell ref="L28:M28"/>
    <mergeCell ref="AQ32:AR32"/>
    <mergeCell ref="AX32:AY32"/>
    <mergeCell ref="BE32:BF32"/>
    <mergeCell ref="BL32:BM32"/>
    <mergeCell ref="BI30:BJ30"/>
    <mergeCell ref="BP30:BQ30"/>
    <mergeCell ref="BB30:BC30"/>
    <mergeCell ref="AU30:AV30"/>
    <mergeCell ref="BI28:BJ28"/>
    <mergeCell ref="BP26:BQ26"/>
    <mergeCell ref="BP27:BQ27"/>
    <mergeCell ref="BP28:BQ28"/>
    <mergeCell ref="AU29:AV29"/>
    <mergeCell ref="BB28:BC28"/>
    <mergeCell ref="AU28:AV28"/>
    <mergeCell ref="BB29:BC29"/>
    <mergeCell ref="BI29:BJ29"/>
    <mergeCell ref="BP29:BQ29"/>
    <mergeCell ref="AU24:AV24"/>
    <mergeCell ref="BB24:BC24"/>
    <mergeCell ref="BI24:BJ24"/>
    <mergeCell ref="BP24:BQ24"/>
    <mergeCell ref="AU27:AV27"/>
    <mergeCell ref="AU26:AV26"/>
    <mergeCell ref="BB26:BC26"/>
    <mergeCell ref="BB27:BC27"/>
    <mergeCell ref="BI26:BJ26"/>
    <mergeCell ref="BI27:BJ27"/>
    <mergeCell ref="BL1:BQ1"/>
    <mergeCell ref="AQ1:AV1"/>
    <mergeCell ref="AX1:BC1"/>
    <mergeCell ref="BE1:BJ1"/>
    <mergeCell ref="V1:AA1"/>
    <mergeCell ref="AC1:AH1"/>
    <mergeCell ref="AJ1:AO1"/>
  </mergeCells>
  <phoneticPr fontId="10" type="noConversion"/>
  <pageMargins left="0.7" right="0.7" top="0.75" bottom="0.75" header="0.3" footer="0.3"/>
  <ignoredErrors>
    <ignoredError sqref="J4:J2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F3B1-ACBD-4D6F-A619-8E79430FC750}">
  <dimension ref="A1:D6"/>
  <sheetViews>
    <sheetView workbookViewId="0">
      <selection activeCell="D6" sqref="D6"/>
    </sheetView>
  </sheetViews>
  <sheetFormatPr defaultRowHeight="14.4" x14ac:dyDescent="0.3"/>
  <cols>
    <col min="1" max="1" width="14.44140625" bestFit="1" customWidth="1"/>
    <col min="2" max="4" width="17.44140625" bestFit="1" customWidth="1"/>
  </cols>
  <sheetData>
    <row r="1" spans="1:4" x14ac:dyDescent="0.3">
      <c r="A1" t="s">
        <v>1637</v>
      </c>
      <c r="B1" t="s">
        <v>2282</v>
      </c>
      <c r="C1" t="s">
        <v>2283</v>
      </c>
    </row>
    <row r="2" spans="1:4" x14ac:dyDescent="0.3">
      <c r="A2" t="s">
        <v>2284</v>
      </c>
      <c r="B2" s="62">
        <v>180</v>
      </c>
      <c r="C2" s="62">
        <v>315</v>
      </c>
    </row>
    <row r="3" spans="1:4" x14ac:dyDescent="0.3">
      <c r="A3" t="s">
        <v>2285</v>
      </c>
      <c r="B3">
        <v>0.8</v>
      </c>
      <c r="C3">
        <v>0.8</v>
      </c>
    </row>
    <row r="4" spans="1:4" x14ac:dyDescent="0.3">
      <c r="A4" t="s">
        <v>2286</v>
      </c>
      <c r="B4" s="207">
        <v>111000000</v>
      </c>
      <c r="C4" s="144">
        <v>310000000</v>
      </c>
    </row>
    <row r="5" spans="1:4" x14ac:dyDescent="0.3">
      <c r="A5" t="s">
        <v>2287</v>
      </c>
      <c r="B5">
        <v>20</v>
      </c>
      <c r="C5">
        <v>6</v>
      </c>
    </row>
    <row r="6" spans="1:4" x14ac:dyDescent="0.3">
      <c r="A6" t="s">
        <v>2288</v>
      </c>
      <c r="B6" s="144">
        <f>B5*B4</f>
        <v>2220000000</v>
      </c>
      <c r="C6" s="144">
        <f>C5*C4</f>
        <v>1860000000</v>
      </c>
      <c r="D6" s="144">
        <f>SUM(B6:C6)</f>
        <v>4080000000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FBC1-131C-4ED7-A55C-85F345843B27}">
  <dimension ref="A1:B12"/>
  <sheetViews>
    <sheetView workbookViewId="0">
      <selection activeCell="C15" sqref="C15"/>
    </sheetView>
  </sheetViews>
  <sheetFormatPr defaultRowHeight="14.4" x14ac:dyDescent="0.3"/>
  <cols>
    <col min="1" max="1" width="32" customWidth="1"/>
  </cols>
  <sheetData>
    <row r="1" spans="1:2" x14ac:dyDescent="0.3">
      <c r="A1" t="s">
        <v>1907</v>
      </c>
      <c r="B1" s="55" t="s">
        <v>1671</v>
      </c>
    </row>
    <row r="2" spans="1:2" x14ac:dyDescent="0.3">
      <c r="A2" t="s">
        <v>1905</v>
      </c>
      <c r="B2" s="55" t="s">
        <v>1672</v>
      </c>
    </row>
    <row r="3" spans="1:2" x14ac:dyDescent="0.3">
      <c r="A3" t="s">
        <v>1906</v>
      </c>
      <c r="B3" s="55" t="s">
        <v>1677</v>
      </c>
    </row>
    <row r="4" spans="1:2" x14ac:dyDescent="0.3">
      <c r="B4" s="53" t="s">
        <v>1638</v>
      </c>
    </row>
    <row r="5" spans="1:2" x14ac:dyDescent="0.3">
      <c r="B5" s="55" t="s">
        <v>1639</v>
      </c>
    </row>
    <row r="6" spans="1:2" x14ac:dyDescent="0.3">
      <c r="B6" s="55" t="s">
        <v>1641</v>
      </c>
    </row>
    <row r="7" spans="1:2" x14ac:dyDescent="0.3">
      <c r="B7" s="4" t="s">
        <v>1640</v>
      </c>
    </row>
    <row r="8" spans="1:2" x14ac:dyDescent="0.3">
      <c r="B8" s="53" t="s">
        <v>1642</v>
      </c>
    </row>
    <row r="9" spans="1:2" x14ac:dyDescent="0.3">
      <c r="B9" s="53" t="s">
        <v>1666</v>
      </c>
    </row>
    <row r="10" spans="1:2" x14ac:dyDescent="0.3">
      <c r="B10" s="55" t="s">
        <v>2046</v>
      </c>
    </row>
    <row r="11" spans="1:2" x14ac:dyDescent="0.3">
      <c r="A11" t="s">
        <v>1904</v>
      </c>
      <c r="B11" s="55" t="s">
        <v>1903</v>
      </c>
    </row>
    <row r="12" spans="1:2" x14ac:dyDescent="0.3">
      <c r="A12" t="s">
        <v>2188</v>
      </c>
      <c r="B12" s="55" t="s">
        <v>2187</v>
      </c>
    </row>
  </sheetData>
  <hyperlinks>
    <hyperlink ref="B1" r:id="rId1" display="https://www.planespotters.net/airline/SAS" xr:uid="{A546409B-53A5-4917-B537-561C365C0568}"/>
    <hyperlink ref="B2" r:id="rId2" display="https://www.sasgroup.net/files/documents/financial-reports/2024/SAS-Annual-and-Sustainability-Report-FY-2024.pdf" xr:uid="{4E063D1F-D5D4-42E0-9264-72204A67851E}"/>
    <hyperlink ref="B3" r:id="rId3" display="https://img.static-kl.com/m/7b0b0f3946d5bb53/original/KLM-Climate-Action-Plan.pdf" xr:uid="{E4447B14-3A90-4B19-8528-408A067E6EA3}"/>
    <hyperlink ref="B4" r:id="rId4" xr:uid="{F8F1FD24-FA4E-45EF-BE4C-768F304BB289}"/>
    <hyperlink ref="B5" r:id="rId5" display="https://www.cbs.nl/nl-nl/visualisaties/verkeer-en-vervoer/verkeer/vliegbewegingen" xr:uid="{B31B9785-E4AA-441E-9CC8-CDB3901D6971}"/>
    <hyperlink ref="B6" r:id="rId6" display="https://www.cbs.nl/nl-nl/visualisaties/verkeer-en-vervoer/uitstoot-en-brandstofafzet/uitstoot-luchtvaart" xr:uid="{A76B2C6C-6C44-4763-8646-92B3674D0303}"/>
    <hyperlink ref="B9" r:id="rId7" xr:uid="{8FD9E70C-520B-4C17-9B71-B9A9116FFDD6}"/>
    <hyperlink ref="B8" r:id="rId8" xr:uid="{09DFE5FB-ABF3-4931-B926-B73D80AE67AB}"/>
    <hyperlink ref="B11" r:id="rId9" display="https://www.iata.org/contentassets/d1d4d535bf1c4ba695f43e9beff8294f/airport-environmental-sustainability-policy.pdf" xr:uid="{4054F93D-4149-48D8-B4CD-DA4F71856884}"/>
    <hyperlink ref="B10" r:id="rId10" display="https://www.eurocontrol.int/publication/taxi-times-summer-2024" xr:uid="{6A75E7D1-293F-49DE-9063-CB36698E5849}"/>
    <hyperlink ref="B12" r:id="rId11" location="co2-emissions-reductions" xr:uid="{70AE9F8D-191B-45D7-863D-D51C2EB6E0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5708-A430-43F7-80FC-1CE992A4B594}">
  <dimension ref="B2:O36"/>
  <sheetViews>
    <sheetView zoomScale="88" workbookViewId="0">
      <selection activeCell="B37" sqref="B37"/>
    </sheetView>
  </sheetViews>
  <sheetFormatPr defaultRowHeight="14.4" x14ac:dyDescent="0.3"/>
  <cols>
    <col min="2" max="2" width="56.6640625" bestFit="1" customWidth="1"/>
    <col min="3" max="6" width="9.109375" bestFit="1" customWidth="1"/>
    <col min="7" max="7" width="12" bestFit="1" customWidth="1"/>
    <col min="9" max="9" width="56.6640625" bestFit="1" customWidth="1"/>
    <col min="10" max="13" width="9.109375" bestFit="1" customWidth="1"/>
    <col min="14" max="14" width="12" bestFit="1" customWidth="1"/>
    <col min="15" max="15" width="7.109375" bestFit="1" customWidth="1"/>
  </cols>
  <sheetData>
    <row r="2" spans="2:15" x14ac:dyDescent="0.3">
      <c r="B2" t="s">
        <v>1899</v>
      </c>
      <c r="I2" t="s">
        <v>1898</v>
      </c>
    </row>
    <row r="3" spans="2:15" x14ac:dyDescent="0.3">
      <c r="C3">
        <v>2019</v>
      </c>
      <c r="D3">
        <v>2020</v>
      </c>
      <c r="E3">
        <v>2021</v>
      </c>
      <c r="F3">
        <v>2022</v>
      </c>
      <c r="G3">
        <v>2023</v>
      </c>
      <c r="I3">
        <v>2019</v>
      </c>
      <c r="J3">
        <v>2020</v>
      </c>
      <c r="K3">
        <v>2021</v>
      </c>
      <c r="L3">
        <v>2022</v>
      </c>
      <c r="M3">
        <v>2023</v>
      </c>
      <c r="N3">
        <v>2024</v>
      </c>
    </row>
    <row r="4" spans="2:15" x14ac:dyDescent="0.3">
      <c r="B4" t="s">
        <v>1893</v>
      </c>
      <c r="C4" t="s">
        <v>1897</v>
      </c>
      <c r="D4" t="s">
        <v>1896</v>
      </c>
      <c r="E4" t="s">
        <v>1895</v>
      </c>
      <c r="F4" t="s">
        <v>1894</v>
      </c>
      <c r="G4" t="s">
        <v>1894</v>
      </c>
      <c r="I4" t="s">
        <v>1893</v>
      </c>
      <c r="J4" t="s">
        <v>1892</v>
      </c>
      <c r="K4" t="s">
        <v>1891</v>
      </c>
      <c r="L4" t="s">
        <v>1890</v>
      </c>
      <c r="M4" t="s">
        <v>1890</v>
      </c>
      <c r="N4" t="s">
        <v>1889</v>
      </c>
      <c r="O4" t="s">
        <v>1888</v>
      </c>
    </row>
    <row r="5" spans="2:15" x14ac:dyDescent="0.3">
      <c r="B5" t="s">
        <v>1882</v>
      </c>
      <c r="C5" t="s">
        <v>1887</v>
      </c>
      <c r="D5" t="s">
        <v>1886</v>
      </c>
      <c r="E5" t="s">
        <v>1885</v>
      </c>
      <c r="F5" t="s">
        <v>1884</v>
      </c>
      <c r="G5" t="s">
        <v>1883</v>
      </c>
      <c r="I5" t="s">
        <v>1882</v>
      </c>
      <c r="J5" t="s">
        <v>1881</v>
      </c>
      <c r="K5" t="s">
        <v>1880</v>
      </c>
      <c r="L5" t="s">
        <v>1879</v>
      </c>
      <c r="M5" t="s">
        <v>1878</v>
      </c>
      <c r="N5" t="s">
        <v>1877</v>
      </c>
      <c r="O5" t="s">
        <v>1876</v>
      </c>
    </row>
    <row r="6" spans="2:15" x14ac:dyDescent="0.3">
      <c r="B6" t="s">
        <v>1875</v>
      </c>
      <c r="C6" t="s">
        <v>1873</v>
      </c>
      <c r="D6" t="s">
        <v>1873</v>
      </c>
      <c r="E6" t="s">
        <v>1874</v>
      </c>
      <c r="F6" t="s">
        <v>1873</v>
      </c>
      <c r="G6" t="s">
        <v>1873</v>
      </c>
      <c r="I6" t="s">
        <v>1875</v>
      </c>
      <c r="J6" t="s">
        <v>1873</v>
      </c>
      <c r="K6" t="s">
        <v>1873</v>
      </c>
      <c r="L6" t="s">
        <v>1874</v>
      </c>
      <c r="M6" t="s">
        <v>1873</v>
      </c>
      <c r="N6" t="s">
        <v>1873</v>
      </c>
      <c r="O6" t="s">
        <v>1873</v>
      </c>
    </row>
    <row r="7" spans="2:15" x14ac:dyDescent="0.3">
      <c r="B7" t="s">
        <v>1870</v>
      </c>
      <c r="C7" t="s">
        <v>1855</v>
      </c>
      <c r="D7" t="s">
        <v>1872</v>
      </c>
      <c r="E7" t="s">
        <v>1871</v>
      </c>
      <c r="F7" t="s">
        <v>1853</v>
      </c>
      <c r="G7" t="s">
        <v>1856</v>
      </c>
      <c r="I7" t="s">
        <v>1870</v>
      </c>
      <c r="J7" t="s">
        <v>1855</v>
      </c>
      <c r="K7" t="s">
        <v>1809</v>
      </c>
      <c r="L7" t="s">
        <v>1869</v>
      </c>
      <c r="M7" t="s">
        <v>1866</v>
      </c>
      <c r="N7" t="s">
        <v>1856</v>
      </c>
      <c r="O7" t="s">
        <v>1847</v>
      </c>
    </row>
    <row r="8" spans="2:15" x14ac:dyDescent="0.3">
      <c r="B8" t="s">
        <v>1865</v>
      </c>
      <c r="C8" t="s">
        <v>1850</v>
      </c>
      <c r="D8" t="s">
        <v>1868</v>
      </c>
      <c r="E8" t="s">
        <v>1867</v>
      </c>
      <c r="F8" t="s">
        <v>1866</v>
      </c>
      <c r="G8" t="s">
        <v>1847</v>
      </c>
      <c r="I8" t="s">
        <v>1865</v>
      </c>
      <c r="J8" t="s">
        <v>1850</v>
      </c>
      <c r="K8" t="s">
        <v>1864</v>
      </c>
      <c r="L8" t="s">
        <v>1863</v>
      </c>
      <c r="M8" t="s">
        <v>1860</v>
      </c>
      <c r="N8" t="s">
        <v>1847</v>
      </c>
      <c r="O8" t="s">
        <v>1846</v>
      </c>
    </row>
    <row r="9" spans="2:15" x14ac:dyDescent="0.3">
      <c r="B9" t="s">
        <v>1859</v>
      </c>
      <c r="C9" t="s">
        <v>1853</v>
      </c>
      <c r="D9" t="s">
        <v>1857</v>
      </c>
      <c r="E9" t="s">
        <v>1862</v>
      </c>
      <c r="F9" t="s">
        <v>1861</v>
      </c>
      <c r="G9" t="s">
        <v>1860</v>
      </c>
      <c r="I9" t="s">
        <v>1859</v>
      </c>
      <c r="J9" t="s">
        <v>1852</v>
      </c>
      <c r="K9" t="s">
        <v>1858</v>
      </c>
      <c r="L9" t="s">
        <v>1857</v>
      </c>
      <c r="M9" t="s">
        <v>1726</v>
      </c>
      <c r="N9" t="s">
        <v>1856</v>
      </c>
      <c r="O9" t="s">
        <v>1847</v>
      </c>
    </row>
    <row r="10" spans="2:15" x14ac:dyDescent="0.3">
      <c r="B10" t="s">
        <v>1851</v>
      </c>
      <c r="C10" t="s">
        <v>1855</v>
      </c>
      <c r="D10" t="s">
        <v>1848</v>
      </c>
      <c r="E10" t="s">
        <v>1854</v>
      </c>
      <c r="F10" t="s">
        <v>1853</v>
      </c>
      <c r="G10" t="s">
        <v>1852</v>
      </c>
      <c r="I10" t="s">
        <v>1851</v>
      </c>
      <c r="J10" t="s">
        <v>1850</v>
      </c>
      <c r="K10" t="s">
        <v>1849</v>
      </c>
      <c r="L10" t="s">
        <v>1848</v>
      </c>
      <c r="M10" t="s">
        <v>1713</v>
      </c>
      <c r="N10" t="s">
        <v>1847</v>
      </c>
      <c r="O10" t="s">
        <v>1846</v>
      </c>
    </row>
    <row r="11" spans="2:15" x14ac:dyDescent="0.3">
      <c r="B11" t="s">
        <v>1840</v>
      </c>
      <c r="C11" t="s">
        <v>1845</v>
      </c>
      <c r="D11" t="s">
        <v>1844</v>
      </c>
      <c r="E11" t="s">
        <v>1843</v>
      </c>
      <c r="F11" t="s">
        <v>1842</v>
      </c>
      <c r="G11" t="s">
        <v>1841</v>
      </c>
      <c r="I11" t="s">
        <v>1840</v>
      </c>
      <c r="J11" t="s">
        <v>1839</v>
      </c>
      <c r="K11" t="s">
        <v>1838</v>
      </c>
      <c r="L11" t="s">
        <v>1837</v>
      </c>
      <c r="M11" t="s">
        <v>1836</v>
      </c>
      <c r="N11" t="s">
        <v>1835</v>
      </c>
      <c r="O11" t="s">
        <v>1834</v>
      </c>
    </row>
    <row r="12" spans="2:15" x14ac:dyDescent="0.3">
      <c r="B12" t="s">
        <v>1828</v>
      </c>
      <c r="C12" t="s">
        <v>1833</v>
      </c>
      <c r="D12" t="s">
        <v>1832</v>
      </c>
      <c r="E12" t="s">
        <v>1831</v>
      </c>
      <c r="F12" t="s">
        <v>1830</v>
      </c>
      <c r="G12" t="s">
        <v>1829</v>
      </c>
      <c r="I12" t="s">
        <v>1828</v>
      </c>
      <c r="J12" t="s">
        <v>1827</v>
      </c>
      <c r="K12" t="s">
        <v>1826</v>
      </c>
      <c r="L12" t="s">
        <v>1825</v>
      </c>
      <c r="M12" t="s">
        <v>1824</v>
      </c>
      <c r="N12" t="s">
        <v>1823</v>
      </c>
      <c r="O12" t="s">
        <v>1822</v>
      </c>
    </row>
    <row r="13" spans="2:15" x14ac:dyDescent="0.3">
      <c r="B13" t="s">
        <v>1816</v>
      </c>
      <c r="C13" t="s">
        <v>1821</v>
      </c>
      <c r="D13" t="s">
        <v>1820</v>
      </c>
      <c r="E13" t="s">
        <v>1819</v>
      </c>
      <c r="F13" t="s">
        <v>1818</v>
      </c>
      <c r="G13" t="s">
        <v>1817</v>
      </c>
      <c r="I13" t="s">
        <v>1816</v>
      </c>
      <c r="J13" t="s">
        <v>1815</v>
      </c>
      <c r="K13" t="s">
        <v>1814</v>
      </c>
      <c r="L13" t="s">
        <v>1813</v>
      </c>
      <c r="M13" t="s">
        <v>1812</v>
      </c>
      <c r="N13" t="s">
        <v>1811</v>
      </c>
      <c r="O13" t="s">
        <v>1810</v>
      </c>
    </row>
    <row r="14" spans="2:15" x14ac:dyDescent="0.3">
      <c r="B14" t="s">
        <v>1805</v>
      </c>
      <c r="C14" t="s">
        <v>1809</v>
      </c>
      <c r="D14" t="s">
        <v>1808</v>
      </c>
      <c r="E14" t="s">
        <v>1734</v>
      </c>
      <c r="F14" t="s">
        <v>1807</v>
      </c>
      <c r="G14" t="s">
        <v>1806</v>
      </c>
      <c r="I14" t="s">
        <v>1805</v>
      </c>
      <c r="J14" t="s">
        <v>1682</v>
      </c>
      <c r="K14" t="s">
        <v>1682</v>
      </c>
      <c r="L14" t="s">
        <v>1682</v>
      </c>
      <c r="M14" t="s">
        <v>1682</v>
      </c>
      <c r="N14" t="s">
        <v>1682</v>
      </c>
      <c r="O14" t="s">
        <v>1682</v>
      </c>
    </row>
    <row r="15" spans="2:15" x14ac:dyDescent="0.3">
      <c r="B15" t="s">
        <v>1799</v>
      </c>
      <c r="C15" t="s">
        <v>1804</v>
      </c>
      <c r="D15" t="s">
        <v>1803</v>
      </c>
      <c r="E15" t="s">
        <v>1802</v>
      </c>
      <c r="F15" t="s">
        <v>1801</v>
      </c>
      <c r="G15" t="s">
        <v>1800</v>
      </c>
      <c r="I15" t="s">
        <v>1799</v>
      </c>
      <c r="J15" t="s">
        <v>1682</v>
      </c>
      <c r="K15" t="s">
        <v>1682</v>
      </c>
      <c r="L15" t="s">
        <v>1682</v>
      </c>
      <c r="M15" t="s">
        <v>1682</v>
      </c>
      <c r="N15" t="s">
        <v>1682</v>
      </c>
      <c r="O15" t="s">
        <v>1682</v>
      </c>
    </row>
    <row r="16" spans="2:15" x14ac:dyDescent="0.3">
      <c r="B16" t="s">
        <v>1793</v>
      </c>
      <c r="C16" t="s">
        <v>1798</v>
      </c>
      <c r="D16" t="s">
        <v>1797</v>
      </c>
      <c r="E16" t="s">
        <v>1796</v>
      </c>
      <c r="F16" t="s">
        <v>1795</v>
      </c>
      <c r="G16" t="s">
        <v>1794</v>
      </c>
      <c r="I16" t="s">
        <v>1793</v>
      </c>
      <c r="J16" t="s">
        <v>1682</v>
      </c>
      <c r="K16" t="s">
        <v>1682</v>
      </c>
      <c r="L16" t="s">
        <v>1682</v>
      </c>
      <c r="M16" t="s">
        <v>1682</v>
      </c>
      <c r="N16" t="s">
        <v>1682</v>
      </c>
      <c r="O16" t="s">
        <v>1682</v>
      </c>
    </row>
    <row r="17" spans="2:15" x14ac:dyDescent="0.3">
      <c r="B17" t="s">
        <v>1787</v>
      </c>
      <c r="C17" t="s">
        <v>1792</v>
      </c>
      <c r="D17" t="s">
        <v>1791</v>
      </c>
      <c r="E17" t="s">
        <v>1790</v>
      </c>
      <c r="F17" t="s">
        <v>1789</v>
      </c>
      <c r="G17" t="s">
        <v>1788</v>
      </c>
      <c r="I17" t="s">
        <v>1787</v>
      </c>
      <c r="J17" t="s">
        <v>1786</v>
      </c>
      <c r="K17" t="s">
        <v>1785</v>
      </c>
      <c r="L17" t="s">
        <v>1784</v>
      </c>
      <c r="M17" t="s">
        <v>1783</v>
      </c>
      <c r="N17" t="s">
        <v>1782</v>
      </c>
      <c r="O17" t="s">
        <v>1682</v>
      </c>
    </row>
    <row r="18" spans="2:15" x14ac:dyDescent="0.3">
      <c r="B18" t="s">
        <v>1776</v>
      </c>
      <c r="C18" t="s">
        <v>1781</v>
      </c>
      <c r="D18" t="s">
        <v>1780</v>
      </c>
      <c r="E18" t="s">
        <v>1779</v>
      </c>
      <c r="F18" t="s">
        <v>1778</v>
      </c>
      <c r="G18" t="s">
        <v>1777</v>
      </c>
      <c r="I18" t="s">
        <v>1776</v>
      </c>
      <c r="J18" t="s">
        <v>1775</v>
      </c>
      <c r="K18" t="s">
        <v>1774</v>
      </c>
      <c r="L18" t="s">
        <v>1773</v>
      </c>
      <c r="M18" t="s">
        <v>1772</v>
      </c>
      <c r="N18" t="s">
        <v>1771</v>
      </c>
      <c r="O18" t="s">
        <v>1682</v>
      </c>
    </row>
    <row r="19" spans="2:15" x14ac:dyDescent="0.3">
      <c r="B19" t="s">
        <v>1765</v>
      </c>
      <c r="C19" t="s">
        <v>1770</v>
      </c>
      <c r="D19" t="s">
        <v>1769</v>
      </c>
      <c r="E19" t="s">
        <v>1768</v>
      </c>
      <c r="F19" t="s">
        <v>1767</v>
      </c>
      <c r="G19" t="s">
        <v>1766</v>
      </c>
      <c r="I19" t="s">
        <v>1765</v>
      </c>
      <c r="J19" t="s">
        <v>1764</v>
      </c>
      <c r="K19" t="s">
        <v>1763</v>
      </c>
      <c r="L19" t="s">
        <v>1763</v>
      </c>
      <c r="M19" t="s">
        <v>1762</v>
      </c>
      <c r="N19" t="s">
        <v>1761</v>
      </c>
      <c r="O19" t="s">
        <v>1760</v>
      </c>
    </row>
    <row r="20" spans="2:15" x14ac:dyDescent="0.3">
      <c r="B20" t="s">
        <v>1754</v>
      </c>
      <c r="C20" t="s">
        <v>1759</v>
      </c>
      <c r="D20" t="s">
        <v>1758</v>
      </c>
      <c r="E20" t="s">
        <v>1757</v>
      </c>
      <c r="F20" t="s">
        <v>1756</v>
      </c>
      <c r="G20" t="s">
        <v>1755</v>
      </c>
      <c r="I20" t="s">
        <v>1754</v>
      </c>
      <c r="J20" t="s">
        <v>1753</v>
      </c>
      <c r="K20" t="s">
        <v>1752</v>
      </c>
      <c r="L20" t="s">
        <v>1751</v>
      </c>
      <c r="M20" t="s">
        <v>1750</v>
      </c>
      <c r="N20" t="s">
        <v>1749</v>
      </c>
      <c r="O20" t="s">
        <v>1748</v>
      </c>
    </row>
    <row r="21" spans="2:15" x14ac:dyDescent="0.3">
      <c r="B21" t="s">
        <v>1743</v>
      </c>
      <c r="C21" t="s">
        <v>1747</v>
      </c>
      <c r="D21" t="s">
        <v>1746</v>
      </c>
      <c r="E21" t="s">
        <v>1745</v>
      </c>
      <c r="F21" t="s">
        <v>1744</v>
      </c>
      <c r="G21" s="87">
        <f>25.5*1000000000</f>
        <v>25500000000</v>
      </c>
      <c r="I21" t="s">
        <v>1743</v>
      </c>
      <c r="J21" t="s">
        <v>1742</v>
      </c>
      <c r="K21" t="s">
        <v>1741</v>
      </c>
      <c r="L21" t="s">
        <v>1740</v>
      </c>
      <c r="M21" t="s">
        <v>1739</v>
      </c>
      <c r="N21" s="87">
        <f>20.8*1000000000</f>
        <v>20800000000</v>
      </c>
      <c r="O21" t="s">
        <v>1738</v>
      </c>
    </row>
    <row r="22" spans="2:15" x14ac:dyDescent="0.3">
      <c r="B22" t="s">
        <v>1737</v>
      </c>
      <c r="C22" t="s">
        <v>1682</v>
      </c>
      <c r="D22" t="s">
        <v>1682</v>
      </c>
      <c r="E22" t="s">
        <v>1682</v>
      </c>
      <c r="F22" t="s">
        <v>1682</v>
      </c>
      <c r="G22" t="s">
        <v>1682</v>
      </c>
      <c r="I22" t="s">
        <v>1737</v>
      </c>
      <c r="J22" t="s">
        <v>1682</v>
      </c>
      <c r="K22" t="s">
        <v>1682</v>
      </c>
      <c r="L22" t="s">
        <v>1682</v>
      </c>
      <c r="M22" t="s">
        <v>1682</v>
      </c>
      <c r="N22" t="s">
        <v>1682</v>
      </c>
      <c r="O22" t="s">
        <v>1682</v>
      </c>
    </row>
    <row r="23" spans="2:15" x14ac:dyDescent="0.3">
      <c r="B23" t="s">
        <v>1731</v>
      </c>
      <c r="C23" t="s">
        <v>1736</v>
      </c>
      <c r="D23" t="s">
        <v>1735</v>
      </c>
      <c r="E23" t="s">
        <v>1734</v>
      </c>
      <c r="F23" t="s">
        <v>1733</v>
      </c>
      <c r="G23" t="s">
        <v>1732</v>
      </c>
      <c r="I23" t="s">
        <v>1731</v>
      </c>
      <c r="J23" t="s">
        <v>1682</v>
      </c>
      <c r="K23" t="s">
        <v>1682</v>
      </c>
      <c r="L23" t="s">
        <v>1682</v>
      </c>
      <c r="M23" t="s">
        <v>1682</v>
      </c>
      <c r="N23" t="s">
        <v>1682</v>
      </c>
      <c r="O23" t="s">
        <v>1682</v>
      </c>
    </row>
    <row r="24" spans="2:15" x14ac:dyDescent="0.3">
      <c r="B24" t="s">
        <v>1730</v>
      </c>
      <c r="C24" t="s">
        <v>1682</v>
      </c>
      <c r="D24" t="s">
        <v>1682</v>
      </c>
      <c r="E24" t="s">
        <v>1682</v>
      </c>
      <c r="F24" t="s">
        <v>1682</v>
      </c>
      <c r="G24" t="s">
        <v>1682</v>
      </c>
      <c r="I24" t="s">
        <v>1730</v>
      </c>
      <c r="J24" t="s">
        <v>1682</v>
      </c>
      <c r="K24" t="s">
        <v>1682</v>
      </c>
      <c r="L24" t="s">
        <v>1682</v>
      </c>
      <c r="M24" t="s">
        <v>1682</v>
      </c>
      <c r="N24" t="s">
        <v>1682</v>
      </c>
      <c r="O24" t="s">
        <v>1682</v>
      </c>
    </row>
    <row r="25" spans="2:15" x14ac:dyDescent="0.3">
      <c r="B25" t="s">
        <v>1729</v>
      </c>
      <c r="C25" t="s">
        <v>1682</v>
      </c>
      <c r="D25" t="s">
        <v>1682</v>
      </c>
      <c r="E25" t="s">
        <v>1682</v>
      </c>
      <c r="F25" t="s">
        <v>1682</v>
      </c>
      <c r="G25" t="s">
        <v>1682</v>
      </c>
      <c r="I25" t="s">
        <v>1729</v>
      </c>
      <c r="J25" t="s">
        <v>1682</v>
      </c>
      <c r="K25" t="s">
        <v>1682</v>
      </c>
      <c r="L25" t="s">
        <v>1682</v>
      </c>
      <c r="M25" t="s">
        <v>1682</v>
      </c>
      <c r="N25" t="s">
        <v>1682</v>
      </c>
      <c r="O25" t="s">
        <v>1682</v>
      </c>
    </row>
    <row r="26" spans="2:15" x14ac:dyDescent="0.3">
      <c r="B26" t="s">
        <v>1725</v>
      </c>
      <c r="C26" t="s">
        <v>1722</v>
      </c>
      <c r="D26" t="s">
        <v>1728</v>
      </c>
      <c r="E26" t="s">
        <v>1727</v>
      </c>
      <c r="F26" t="s">
        <v>1726</v>
      </c>
      <c r="G26" s="87">
        <f>2.3*1000000000</f>
        <v>2300000000</v>
      </c>
      <c r="I26" t="s">
        <v>1725</v>
      </c>
      <c r="J26" t="s">
        <v>1717</v>
      </c>
      <c r="K26" t="s">
        <v>1724</v>
      </c>
      <c r="L26" t="s">
        <v>1723</v>
      </c>
      <c r="M26" t="s">
        <v>1714</v>
      </c>
      <c r="N26" s="87">
        <f>2.1*1000000000</f>
        <v>2100000000</v>
      </c>
      <c r="O26" t="s">
        <v>1682</v>
      </c>
    </row>
    <row r="27" spans="2:15" x14ac:dyDescent="0.3">
      <c r="B27" t="s">
        <v>1718</v>
      </c>
      <c r="C27" t="s">
        <v>1722</v>
      </c>
      <c r="D27" t="s">
        <v>1721</v>
      </c>
      <c r="E27" t="s">
        <v>1720</v>
      </c>
      <c r="F27" t="s">
        <v>1714</v>
      </c>
      <c r="G27" t="s">
        <v>1719</v>
      </c>
      <c r="I27" t="s">
        <v>1718</v>
      </c>
      <c r="J27" t="s">
        <v>1717</v>
      </c>
      <c r="K27" t="s">
        <v>1716</v>
      </c>
      <c r="L27" t="s">
        <v>1715</v>
      </c>
      <c r="M27" t="s">
        <v>1714</v>
      </c>
      <c r="N27" t="s">
        <v>1713</v>
      </c>
      <c r="O27" t="s">
        <v>1682</v>
      </c>
    </row>
    <row r="28" spans="2:15" x14ac:dyDescent="0.3">
      <c r="B28" t="s">
        <v>1712</v>
      </c>
      <c r="C28" t="s">
        <v>1682</v>
      </c>
      <c r="D28" t="s">
        <v>1682</v>
      </c>
      <c r="E28" t="s">
        <v>1682</v>
      </c>
      <c r="F28" t="s">
        <v>1682</v>
      </c>
      <c r="G28" t="s">
        <v>1682</v>
      </c>
      <c r="I28" t="s">
        <v>1712</v>
      </c>
      <c r="J28" t="s">
        <v>1682</v>
      </c>
      <c r="K28" t="s">
        <v>1682</v>
      </c>
      <c r="L28" t="s">
        <v>1682</v>
      </c>
      <c r="M28" t="s">
        <v>1682</v>
      </c>
      <c r="N28" t="s">
        <v>1682</v>
      </c>
      <c r="O28" t="s">
        <v>1682</v>
      </c>
    </row>
    <row r="29" spans="2:15" x14ac:dyDescent="0.3">
      <c r="B29" t="s">
        <v>1711</v>
      </c>
      <c r="C29" t="s">
        <v>1682</v>
      </c>
      <c r="D29" t="s">
        <v>1682</v>
      </c>
      <c r="E29" t="s">
        <v>1682</v>
      </c>
      <c r="F29" t="s">
        <v>1682</v>
      </c>
      <c r="G29" t="s">
        <v>1682</v>
      </c>
      <c r="I29" t="s">
        <v>1711</v>
      </c>
      <c r="J29" t="s">
        <v>1682</v>
      </c>
      <c r="K29" t="s">
        <v>1682</v>
      </c>
      <c r="L29" t="s">
        <v>1682</v>
      </c>
      <c r="M29" t="s">
        <v>1682</v>
      </c>
      <c r="N29" t="s">
        <v>1682</v>
      </c>
      <c r="O29" t="s">
        <v>1682</v>
      </c>
    </row>
    <row r="30" spans="2:15" x14ac:dyDescent="0.3">
      <c r="B30" t="s">
        <v>1710</v>
      </c>
      <c r="C30" t="s">
        <v>1682</v>
      </c>
      <c r="D30" t="s">
        <v>1682</v>
      </c>
      <c r="E30" t="s">
        <v>1682</v>
      </c>
      <c r="F30" t="s">
        <v>1682</v>
      </c>
      <c r="G30" s="87">
        <f>(G26/G21)*1000</f>
        <v>90.196078431372541</v>
      </c>
      <c r="I30" t="s">
        <v>1710</v>
      </c>
      <c r="J30" t="s">
        <v>1682</v>
      </c>
      <c r="K30" t="s">
        <v>1682</v>
      </c>
      <c r="L30" t="s">
        <v>1682</v>
      </c>
      <c r="M30" t="s">
        <v>1682</v>
      </c>
      <c r="N30" s="87">
        <f>(N26/N21)*1000</f>
        <v>100.96153846153847</v>
      </c>
      <c r="O30" t="s">
        <v>1682</v>
      </c>
    </row>
    <row r="31" spans="2:15" x14ac:dyDescent="0.3">
      <c r="B31" t="s">
        <v>1709</v>
      </c>
      <c r="C31" t="s">
        <v>1682</v>
      </c>
      <c r="D31" t="s">
        <v>1682</v>
      </c>
      <c r="E31" t="s">
        <v>1682</v>
      </c>
      <c r="F31" t="s">
        <v>1682</v>
      </c>
      <c r="G31" t="s">
        <v>1682</v>
      </c>
      <c r="I31" t="s">
        <v>1709</v>
      </c>
      <c r="J31" t="s">
        <v>1682</v>
      </c>
      <c r="K31" t="s">
        <v>1682</v>
      </c>
      <c r="L31" t="s">
        <v>1682</v>
      </c>
      <c r="M31" t="s">
        <v>1682</v>
      </c>
      <c r="N31" t="s">
        <v>1682</v>
      </c>
      <c r="O31" t="s">
        <v>1682</v>
      </c>
    </row>
    <row r="32" spans="2:15" x14ac:dyDescent="0.3">
      <c r="B32" t="s">
        <v>1708</v>
      </c>
      <c r="C32" t="s">
        <v>1682</v>
      </c>
      <c r="D32" t="s">
        <v>1682</v>
      </c>
      <c r="E32" t="s">
        <v>1682</v>
      </c>
      <c r="F32" t="s">
        <v>1682</v>
      </c>
      <c r="G32" t="s">
        <v>1682</v>
      </c>
      <c r="I32" t="s">
        <v>1708</v>
      </c>
      <c r="J32" t="s">
        <v>1682</v>
      </c>
      <c r="K32" t="s">
        <v>1682</v>
      </c>
      <c r="L32" t="s">
        <v>1682</v>
      </c>
      <c r="M32" t="s">
        <v>1682</v>
      </c>
      <c r="N32" t="s">
        <v>1682</v>
      </c>
      <c r="O32" t="s">
        <v>1682</v>
      </c>
    </row>
    <row r="33" spans="2:15" x14ac:dyDescent="0.3">
      <c r="B33" t="s">
        <v>1702</v>
      </c>
      <c r="C33" t="s">
        <v>1707</v>
      </c>
      <c r="D33" t="s">
        <v>1706</v>
      </c>
      <c r="E33" t="s">
        <v>1705</v>
      </c>
      <c r="F33" t="s">
        <v>1704</v>
      </c>
      <c r="G33" t="s">
        <v>1703</v>
      </c>
      <c r="I33" t="s">
        <v>1702</v>
      </c>
      <c r="J33" t="s">
        <v>1701</v>
      </c>
      <c r="K33" t="s">
        <v>1700</v>
      </c>
      <c r="L33" t="s">
        <v>1699</v>
      </c>
      <c r="M33" t="s">
        <v>1698</v>
      </c>
      <c r="N33" t="s">
        <v>1697</v>
      </c>
      <c r="O33" t="s">
        <v>1682</v>
      </c>
    </row>
    <row r="34" spans="2:15" x14ac:dyDescent="0.3">
      <c r="B34" t="s">
        <v>1691</v>
      </c>
      <c r="C34" t="s">
        <v>1696</v>
      </c>
      <c r="D34" t="s">
        <v>1695</v>
      </c>
      <c r="E34" t="s">
        <v>1694</v>
      </c>
      <c r="F34" t="s">
        <v>1693</v>
      </c>
      <c r="G34" t="s">
        <v>1692</v>
      </c>
      <c r="I34" t="s">
        <v>1691</v>
      </c>
      <c r="J34" t="s">
        <v>1690</v>
      </c>
      <c r="K34" t="s">
        <v>1689</v>
      </c>
      <c r="L34" t="s">
        <v>1688</v>
      </c>
      <c r="M34" t="s">
        <v>1687</v>
      </c>
      <c r="N34" t="s">
        <v>1686</v>
      </c>
      <c r="O34" t="s">
        <v>1682</v>
      </c>
    </row>
    <row r="35" spans="2:15" x14ac:dyDescent="0.3">
      <c r="B35" t="s">
        <v>1685</v>
      </c>
      <c r="C35" t="s">
        <v>1682</v>
      </c>
      <c r="D35" t="s">
        <v>1682</v>
      </c>
      <c r="E35" t="s">
        <v>1682</v>
      </c>
      <c r="F35" t="s">
        <v>1682</v>
      </c>
      <c r="G35" t="s">
        <v>1682</v>
      </c>
      <c r="I35" t="s">
        <v>1685</v>
      </c>
      <c r="J35" t="s">
        <v>1682</v>
      </c>
      <c r="K35" t="s">
        <v>1682</v>
      </c>
      <c r="L35" t="s">
        <v>1682</v>
      </c>
      <c r="M35" t="s">
        <v>1682</v>
      </c>
      <c r="N35" t="s">
        <v>1682</v>
      </c>
      <c r="O35" t="s">
        <v>1682</v>
      </c>
    </row>
    <row r="36" spans="2:15" x14ac:dyDescent="0.3">
      <c r="B36" t="s">
        <v>1683</v>
      </c>
      <c r="C36" t="s">
        <v>1682</v>
      </c>
      <c r="D36" t="s">
        <v>1682</v>
      </c>
      <c r="E36" t="s">
        <v>1682</v>
      </c>
      <c r="F36" t="s">
        <v>1682</v>
      </c>
      <c r="G36" t="s">
        <v>1684</v>
      </c>
      <c r="I36" t="s">
        <v>1683</v>
      </c>
      <c r="J36" t="s">
        <v>1682</v>
      </c>
      <c r="K36" t="s">
        <v>1682</v>
      </c>
      <c r="L36" t="s">
        <v>1682</v>
      </c>
      <c r="M36" t="s">
        <v>1682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2B3C-1C81-4E56-AE9D-D3FECE2AB11A}">
  <dimension ref="A1:U12"/>
  <sheetViews>
    <sheetView topLeftCell="B1" zoomScale="89" workbookViewId="0">
      <selection activeCell="T15" sqref="T15"/>
    </sheetView>
  </sheetViews>
  <sheetFormatPr defaultRowHeight="14.4" x14ac:dyDescent="0.3"/>
  <cols>
    <col min="1" max="1" width="41.88671875" bestFit="1" customWidth="1"/>
    <col min="2" max="2" width="10.77734375" bestFit="1" customWidth="1"/>
    <col min="3" max="3" width="8.33203125" bestFit="1" customWidth="1"/>
    <col min="4" max="4" width="11" bestFit="1" customWidth="1"/>
    <col min="5" max="5" width="12" bestFit="1" customWidth="1"/>
    <col min="6" max="6" width="4.33203125" bestFit="1" customWidth="1"/>
    <col min="7" max="7" width="8.33203125" bestFit="1" customWidth="1"/>
    <col min="8" max="9" width="12" bestFit="1" customWidth="1"/>
    <col min="10" max="10" width="8.77734375" bestFit="1" customWidth="1"/>
    <col min="11" max="11" width="8.33203125" bestFit="1" customWidth="1"/>
    <col min="12" max="12" width="4.109375" bestFit="1" customWidth="1"/>
    <col min="13" max="13" width="11.5546875" bestFit="1" customWidth="1"/>
    <col min="14" max="14" width="13.77734375" bestFit="1" customWidth="1"/>
    <col min="15" max="15" width="8.33203125" bestFit="1" customWidth="1"/>
    <col min="16" max="16" width="12" bestFit="1" customWidth="1"/>
    <col min="17" max="17" width="11.5546875" bestFit="1" customWidth="1"/>
    <col min="18" max="18" width="19.109375" bestFit="1" customWidth="1"/>
    <col min="19" max="19" width="8.33203125" bestFit="1" customWidth="1"/>
    <col min="20" max="20" width="12" bestFit="1" customWidth="1"/>
    <col min="21" max="21" width="11.5546875" bestFit="1" customWidth="1"/>
  </cols>
  <sheetData>
    <row r="1" spans="1:21" x14ac:dyDescent="0.3">
      <c r="B1" s="88" t="s">
        <v>1680</v>
      </c>
      <c r="C1" s="89" t="s">
        <v>1673</v>
      </c>
      <c r="D1" s="89" t="s">
        <v>1674</v>
      </c>
      <c r="E1" s="90" t="s">
        <v>1676</v>
      </c>
      <c r="F1" s="88" t="s">
        <v>1675</v>
      </c>
      <c r="G1" s="89" t="s">
        <v>1673</v>
      </c>
      <c r="H1" s="89" t="s">
        <v>1674</v>
      </c>
      <c r="I1" s="90" t="s">
        <v>1676</v>
      </c>
      <c r="J1" s="88" t="s">
        <v>1679</v>
      </c>
      <c r="K1" s="89" t="s">
        <v>1673</v>
      </c>
      <c r="L1" s="89" t="s">
        <v>1674</v>
      </c>
      <c r="M1" s="90" t="s">
        <v>1676</v>
      </c>
      <c r="N1" s="88" t="s">
        <v>1900</v>
      </c>
      <c r="O1" s="89" t="s">
        <v>1673</v>
      </c>
      <c r="P1" s="89" t="s">
        <v>1674</v>
      </c>
      <c r="Q1" s="90" t="s">
        <v>1676</v>
      </c>
      <c r="R1" s="88" t="s">
        <v>1901</v>
      </c>
      <c r="S1" s="89" t="s">
        <v>1673</v>
      </c>
      <c r="T1" s="89" t="s">
        <v>1674</v>
      </c>
      <c r="U1" s="90" t="s">
        <v>1676</v>
      </c>
    </row>
    <row r="2" spans="1:21" x14ac:dyDescent="0.3">
      <c r="B2" s="32"/>
      <c r="C2" s="25">
        <f>Dashboard!I6</f>
        <v>675.83243565913017</v>
      </c>
      <c r="D2">
        <f>KPI´s!U22</f>
        <v>4354675412.4799995</v>
      </c>
      <c r="E2" s="85">
        <f>(C2*1000000)/D2</f>
        <v>0.1551969714487266</v>
      </c>
      <c r="F2" s="32"/>
      <c r="G2">
        <v>3193</v>
      </c>
      <c r="H2">
        <v>36612000000</v>
      </c>
      <c r="I2" s="85">
        <f>(G2*1000000)/H2</f>
        <v>8.7211843111548129E-2</v>
      </c>
      <c r="J2" s="32"/>
      <c r="K2">
        <v>9070</v>
      </c>
      <c r="L2" t="s">
        <v>1678</v>
      </c>
      <c r="M2" s="85">
        <v>6.1920000000000003E-2</v>
      </c>
      <c r="N2" s="32"/>
      <c r="O2">
        <f>'Competition CAPA'!G26/1000000</f>
        <v>2300</v>
      </c>
      <c r="P2">
        <f>'Competition CAPA'!G21</f>
        <v>25500000000</v>
      </c>
      <c r="Q2" s="85">
        <f>Q3/1000</f>
        <v>9.0196078431372548E-2</v>
      </c>
      <c r="R2" s="32"/>
      <c r="S2">
        <f>'Competition CAPA'!N26/1000000</f>
        <v>2100</v>
      </c>
      <c r="T2">
        <f>'Competition CAPA'!N21</f>
        <v>20800000000</v>
      </c>
      <c r="U2" s="85">
        <f>U3/1000</f>
        <v>0.10096153846153846</v>
      </c>
    </row>
    <row r="3" spans="1:21" x14ac:dyDescent="0.3">
      <c r="B3" s="31"/>
      <c r="C3" s="86"/>
      <c r="D3" s="60"/>
      <c r="E3" s="91">
        <f>E2*1000</f>
        <v>155.1969714487266</v>
      </c>
      <c r="F3" s="92"/>
      <c r="G3" s="60"/>
      <c r="H3" s="86"/>
      <c r="I3" s="91">
        <f>I2*1000</f>
        <v>87.211843111548134</v>
      </c>
      <c r="J3" s="31"/>
      <c r="K3" s="60"/>
      <c r="L3" s="60"/>
      <c r="M3" s="91">
        <v>61.92</v>
      </c>
      <c r="N3" s="31"/>
      <c r="O3" s="60"/>
      <c r="P3" s="60"/>
      <c r="Q3" s="91">
        <f>'Competition CAPA'!G30</f>
        <v>90.196078431372541</v>
      </c>
      <c r="R3" s="31"/>
      <c r="S3" s="60"/>
      <c r="T3" s="60"/>
      <c r="U3" s="91">
        <f>'Competition CAPA'!N30</f>
        <v>100.96153846153847</v>
      </c>
    </row>
    <row r="4" spans="1:21" x14ac:dyDescent="0.3">
      <c r="C4" s="25"/>
      <c r="I4" s="25"/>
      <c r="K4" s="25"/>
    </row>
    <row r="5" spans="1:21" x14ac:dyDescent="0.3">
      <c r="I5" s="25">
        <f>AVERAGE(I3,M3,Q3,U3)</f>
        <v>85.07236500111479</v>
      </c>
      <c r="K5" s="25"/>
    </row>
    <row r="6" spans="1:21" x14ac:dyDescent="0.3">
      <c r="I6">
        <f>AVERAGE(G2,K2,O2,S2)</f>
        <v>4165.75</v>
      </c>
    </row>
    <row r="10" spans="1:21" x14ac:dyDescent="0.3">
      <c r="A10" s="55"/>
    </row>
    <row r="11" spans="1:21" x14ac:dyDescent="0.3">
      <c r="A11" s="55"/>
    </row>
    <row r="12" spans="1:21" x14ac:dyDescent="0.3">
      <c r="A12" s="5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DD7D-2CEF-45AD-BD7C-EF5992CE8D65}">
  <dimension ref="A3:Q12"/>
  <sheetViews>
    <sheetView workbookViewId="0">
      <selection activeCell="J5" sqref="J5"/>
    </sheetView>
  </sheetViews>
  <sheetFormatPr defaultRowHeight="14.4" x14ac:dyDescent="0.3"/>
  <cols>
    <col min="3" max="3" width="5.44140625" bestFit="1" customWidth="1"/>
    <col min="4" max="4" width="8.77734375" customWidth="1"/>
    <col min="5" max="5" width="15.44140625" bestFit="1" customWidth="1"/>
    <col min="6" max="6" width="5.88671875" bestFit="1" customWidth="1"/>
    <col min="7" max="7" width="14.6640625" customWidth="1"/>
    <col min="8" max="8" width="6.44140625" bestFit="1" customWidth="1"/>
    <col min="9" max="9" width="5.88671875" customWidth="1"/>
    <col min="10" max="10" width="6.109375" bestFit="1" customWidth="1"/>
    <col min="11" max="11" width="8.21875" bestFit="1" customWidth="1"/>
    <col min="12" max="12" width="7.33203125" bestFit="1" customWidth="1"/>
    <col min="13" max="13" width="7.5546875" bestFit="1" customWidth="1"/>
    <col min="14" max="14" width="5.44140625" bestFit="1" customWidth="1"/>
    <col min="15" max="15" width="7.88671875" bestFit="1" customWidth="1"/>
    <col min="16" max="16" width="8.44140625" bestFit="1" customWidth="1"/>
    <col min="17" max="17" width="7.5546875" bestFit="1" customWidth="1"/>
  </cols>
  <sheetData>
    <row r="3" spans="1:17" x14ac:dyDescent="0.3">
      <c r="A3" s="62"/>
      <c r="B3" s="62"/>
      <c r="C3" s="62"/>
      <c r="D3" s="63" t="s">
        <v>1637</v>
      </c>
      <c r="E3" s="63" t="s">
        <v>1658</v>
      </c>
      <c r="F3" s="62"/>
      <c r="G3" s="62" t="s">
        <v>1668</v>
      </c>
      <c r="H3" s="62"/>
      <c r="I3" s="62"/>
      <c r="J3" s="63" t="s">
        <v>1659</v>
      </c>
      <c r="K3" s="62"/>
      <c r="L3" s="62"/>
      <c r="M3" s="62"/>
      <c r="N3" s="62"/>
      <c r="O3" s="62"/>
      <c r="P3" s="62"/>
      <c r="Q3" s="62"/>
    </row>
    <row r="4" spans="1:17" x14ac:dyDescent="0.3">
      <c r="A4" s="62"/>
      <c r="B4" s="62"/>
      <c r="C4" s="62"/>
      <c r="D4" s="62" t="s">
        <v>1660</v>
      </c>
      <c r="E4" s="62">
        <v>2.79</v>
      </c>
      <c r="F4" s="62" t="s">
        <v>1661</v>
      </c>
      <c r="G4" s="62"/>
      <c r="H4" s="62" t="s">
        <v>1624</v>
      </c>
      <c r="I4" s="62"/>
      <c r="J4" s="62">
        <v>180</v>
      </c>
      <c r="K4" s="62"/>
      <c r="L4" s="62"/>
      <c r="M4" s="62"/>
      <c r="N4" s="62"/>
      <c r="O4" s="62"/>
      <c r="P4" s="62"/>
      <c r="Q4" s="62"/>
    </row>
    <row r="5" spans="1:17" x14ac:dyDescent="0.3">
      <c r="A5" s="62"/>
      <c r="B5" s="62"/>
      <c r="C5" s="62"/>
      <c r="D5" s="62" t="s">
        <v>1662</v>
      </c>
      <c r="E5" s="62">
        <v>6.03</v>
      </c>
      <c r="F5" s="62" t="s">
        <v>1661</v>
      </c>
      <c r="G5" s="62"/>
      <c r="H5" s="62" t="s">
        <v>1624</v>
      </c>
      <c r="I5" s="62"/>
      <c r="J5" s="62">
        <v>315</v>
      </c>
      <c r="K5" s="62"/>
      <c r="L5" s="62"/>
      <c r="M5" s="62"/>
      <c r="N5" s="62"/>
      <c r="O5" s="62"/>
      <c r="P5" s="62"/>
      <c r="Q5" s="62"/>
    </row>
    <row r="6" spans="1:17" x14ac:dyDescent="0.3">
      <c r="A6" s="62"/>
      <c r="B6" s="62"/>
      <c r="C6" s="62"/>
      <c r="D6" s="62" t="s">
        <v>1614</v>
      </c>
      <c r="E6" s="62">
        <v>3.13</v>
      </c>
      <c r="F6" s="62" t="s">
        <v>1661</v>
      </c>
      <c r="G6" s="62">
        <v>11.5</v>
      </c>
      <c r="H6" s="62" t="s">
        <v>1624</v>
      </c>
      <c r="I6" s="62"/>
      <c r="J6" s="62">
        <v>150</v>
      </c>
      <c r="K6" s="62"/>
      <c r="L6" s="62"/>
      <c r="M6" s="62"/>
      <c r="N6" s="62"/>
      <c r="O6" s="62"/>
      <c r="P6" s="62"/>
      <c r="Q6" s="62"/>
    </row>
    <row r="7" spans="1:17" x14ac:dyDescent="0.3">
      <c r="A7" s="62"/>
      <c r="B7" s="62"/>
      <c r="C7" s="62"/>
      <c r="D7" s="62" t="s">
        <v>1663</v>
      </c>
      <c r="E7" s="62">
        <v>7.42</v>
      </c>
      <c r="F7" s="62" t="s">
        <v>1661</v>
      </c>
      <c r="G7" s="62">
        <v>31.8</v>
      </c>
      <c r="H7" s="62" t="s">
        <v>1624</v>
      </c>
      <c r="I7" s="62"/>
      <c r="J7" s="62">
        <v>301</v>
      </c>
      <c r="K7" s="62"/>
      <c r="L7" s="62"/>
      <c r="M7" s="62"/>
      <c r="N7" s="62"/>
      <c r="O7" s="62"/>
      <c r="P7" s="62"/>
      <c r="Q7" s="62"/>
    </row>
    <row r="8" spans="1:17" x14ac:dyDescent="0.3">
      <c r="A8" s="62"/>
      <c r="B8" s="62"/>
      <c r="C8" s="62"/>
      <c r="D8" s="62" t="s">
        <v>1664</v>
      </c>
      <c r="E8" s="62">
        <v>3.16</v>
      </c>
      <c r="F8" s="62" t="s">
        <v>1628</v>
      </c>
      <c r="G8" s="62"/>
      <c r="H8" s="62" t="s">
        <v>1624</v>
      </c>
      <c r="I8" s="62"/>
      <c r="J8" s="62"/>
      <c r="K8" s="62"/>
      <c r="L8" s="62"/>
      <c r="M8" s="62"/>
      <c r="N8" s="62"/>
      <c r="O8" s="62"/>
      <c r="P8" s="62"/>
      <c r="Q8" s="62"/>
    </row>
    <row r="9" spans="1:17" ht="43.2" x14ac:dyDescent="0.3">
      <c r="A9" s="62"/>
      <c r="B9" s="62"/>
      <c r="C9" s="62"/>
      <c r="D9" s="62" t="s">
        <v>1665</v>
      </c>
      <c r="E9" s="62">
        <v>0.68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3"/>
      <c r="M10" s="62"/>
      <c r="N10" s="62"/>
      <c r="O10" s="62"/>
      <c r="P10" s="63"/>
      <c r="Q10" s="62"/>
    </row>
    <row r="11" spans="1:17" ht="43.2" x14ac:dyDescent="0.3">
      <c r="A11" s="62"/>
      <c r="B11" s="62"/>
      <c r="C11" s="63" t="s">
        <v>2194</v>
      </c>
      <c r="D11" s="152" t="s">
        <v>2193</v>
      </c>
      <c r="E11" s="63">
        <f>0.75*E4</f>
        <v>2.0925000000000002</v>
      </c>
      <c r="F11" s="63" t="s">
        <v>1661</v>
      </c>
      <c r="G11" s="63"/>
      <c r="H11" s="63"/>
      <c r="I11" s="63"/>
      <c r="J11" s="63">
        <v>180</v>
      </c>
      <c r="K11" s="63"/>
      <c r="L11" s="63"/>
      <c r="M11" s="63"/>
      <c r="N11" s="62"/>
      <c r="O11" s="62"/>
      <c r="P11" s="63"/>
      <c r="Q11" s="63"/>
    </row>
    <row r="12" spans="1:17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3"/>
      <c r="L12" s="63"/>
      <c r="M12" s="63"/>
      <c r="N12" s="63"/>
      <c r="O12" s="63"/>
      <c r="P12" s="63"/>
      <c r="Q12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Dashboard</vt:lpstr>
      <vt:lpstr>De echte KPI's</vt:lpstr>
      <vt:lpstr>KPI´s</vt:lpstr>
      <vt:lpstr>CO2 calculations</vt:lpstr>
      <vt:lpstr>FLEET RENEWAL</vt:lpstr>
      <vt:lpstr>BRONNEN</vt:lpstr>
      <vt:lpstr>Competition CAPA</vt:lpstr>
      <vt:lpstr>Competition</vt:lpstr>
      <vt:lpstr>Aircraft Data</vt:lpstr>
      <vt:lpstr>Taxi-Out (TXO) IATA Summer 2024</vt:lpstr>
      <vt:lpstr>Taxi-In (TXI) IATA Summer 2024</vt:lpstr>
      <vt:lpstr>main</vt:lpstr>
      <vt:lpstr>balance sheet</vt:lpstr>
      <vt:lpstr>assumptions</vt:lpstr>
      <vt:lpstr>Lithium Carbon Offsetting</vt:lpstr>
      <vt:lpstr>Passenger Calc</vt:lpstr>
      <vt:lpstr>'Taxi-Out (TXO) IATA Summer 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 de Leeuw</cp:lastModifiedBy>
  <cp:revision/>
  <dcterms:created xsi:type="dcterms:W3CDTF">2025-04-08T09:20:50Z</dcterms:created>
  <dcterms:modified xsi:type="dcterms:W3CDTF">2025-06-07T02:55:28Z</dcterms:modified>
  <cp:category/>
  <cp:contentStatus/>
</cp:coreProperties>
</file>