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Z:\Repo\Dissertation\"/>
    </mc:Choice>
  </mc:AlternateContent>
  <xr:revisionPtr revIDLastSave="0" documentId="13_ncr:1_{65C49FC1-7F9E-421C-B959-D3FFEA5FB0DE}" xr6:coauthVersionLast="47" xr6:coauthVersionMax="47" xr10:uidLastSave="{00000000-0000-0000-0000-000000000000}"/>
  <bookViews>
    <workbookView xWindow="-120" yWindow="-120" windowWidth="38640" windowHeight="21120" activeTab="1" xr2:uid="{6E62CC2F-5E46-4B0F-9F3F-D109107C993D}"/>
  </bookViews>
  <sheets>
    <sheet name="General" sheetId="1" r:id="rId1"/>
    <sheet name="Mid" sheetId="4" r:id="rId2"/>
    <sheet name="Specific" sheetId="3" r:id="rId3"/>
    <sheet name="Errors"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5" i="4" l="1"/>
  <c r="E84"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E85" i="3"/>
  <c r="E84" i="3"/>
  <c r="E85" i="1"/>
  <c r="E84" i="1"/>
  <c r="E41" i="1"/>
  <c r="E40" i="1"/>
  <c r="E39" i="1"/>
  <c r="E38" i="1"/>
  <c r="E37" i="1"/>
  <c r="E36" i="1"/>
  <c r="E35" i="1"/>
  <c r="E34" i="1"/>
  <c r="E33" i="1"/>
  <c r="E32" i="1"/>
  <c r="E31" i="1"/>
  <c r="E30" i="1"/>
  <c r="E29" i="1"/>
  <c r="E28" i="1"/>
  <c r="E27" i="1"/>
  <c r="E26" i="1"/>
  <c r="E25" i="1"/>
  <c r="E24" i="1"/>
  <c r="E23" i="1"/>
  <c r="E22" i="1"/>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2" i="3"/>
  <c r="E43" i="3"/>
  <c r="E44" i="3"/>
  <c r="E45" i="3"/>
  <c r="E46" i="3"/>
  <c r="E41" i="3"/>
  <c r="E40" i="3"/>
  <c r="E39" i="3"/>
  <c r="E38" i="3"/>
  <c r="E37" i="3"/>
  <c r="E36" i="3"/>
  <c r="E35" i="3"/>
  <c r="E34" i="3"/>
  <c r="E33" i="3"/>
  <c r="E32" i="3"/>
  <c r="E31" i="3"/>
  <c r="E30" i="3"/>
  <c r="E29" i="3"/>
  <c r="E28" i="3"/>
  <c r="E27" i="3"/>
  <c r="E26" i="3"/>
  <c r="E25" i="3"/>
  <c r="E23" i="3"/>
  <c r="E24" i="3"/>
  <c r="E22" i="3"/>
  <c r="E21" i="3"/>
  <c r="E20" i="3"/>
  <c r="E19" i="3"/>
  <c r="E18" i="3"/>
  <c r="E17" i="3"/>
  <c r="E16" i="3"/>
  <c r="E15" i="3"/>
  <c r="E14" i="3"/>
  <c r="E13" i="3"/>
  <c r="E12" i="3"/>
  <c r="E11" i="3"/>
  <c r="E10" i="3"/>
  <c r="E9" i="3"/>
  <c r="E8" i="3"/>
  <c r="E7" i="3"/>
  <c r="E6" i="3"/>
  <c r="E5" i="3"/>
  <c r="E4" i="3"/>
  <c r="E3" i="3"/>
  <c r="E2" i="3"/>
  <c r="E81" i="1"/>
  <c r="E80" i="1"/>
  <c r="E79" i="1"/>
  <c r="E78" i="1"/>
  <c r="E77" i="1"/>
  <c r="E72" i="1"/>
  <c r="E73" i="1"/>
  <c r="E74" i="1"/>
  <c r="E75" i="1"/>
  <c r="E76" i="1"/>
  <c r="E71" i="1"/>
  <c r="E70" i="1"/>
  <c r="E69" i="1"/>
  <c r="E68" i="1"/>
  <c r="E67" i="1"/>
  <c r="E66" i="1"/>
  <c r="E65" i="1"/>
  <c r="E64" i="1"/>
  <c r="E63" i="1"/>
  <c r="E62" i="1"/>
  <c r="E61" i="1"/>
  <c r="E60" i="1"/>
  <c r="E59" i="1"/>
  <c r="E58" i="1"/>
  <c r="E47" i="1"/>
  <c r="E48" i="1"/>
  <c r="E49" i="1"/>
  <c r="E50" i="1"/>
  <c r="E51" i="1"/>
  <c r="E52" i="1"/>
  <c r="E53" i="1"/>
  <c r="E54" i="1"/>
  <c r="E55" i="1"/>
  <c r="E56" i="1"/>
  <c r="E57" i="1"/>
  <c r="E46" i="1"/>
  <c r="E45" i="1"/>
  <c r="E44" i="1"/>
  <c r="E43" i="1"/>
  <c r="E4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<sst xmlns="http://schemas.openxmlformats.org/spreadsheetml/2006/main" count="1277" uniqueCount="98">
  <si>
    <t>Section</t>
  </si>
  <si>
    <t>Prompt</t>
  </si>
  <si>
    <t>Found Error?</t>
  </si>
  <si>
    <t>Prompt Output</t>
  </si>
  <si>
    <t>AAA</t>
  </si>
  <si>
    <t>You are a network security analyst reviewing a router configuration for deployment in a mid-sized corporate network. Task: Is this configuration secure? Please identify any security issues, misconfigurations, or best practice violations. If the configuration is secure, state: "Yes, this configuration appears secure." Otherwise, explain the issues briefly.</t>
  </si>
  <si>
    <t>Yes</t>
  </si>
  <si>
    <t>Errors</t>
  </si>
  <si>
    <t>aaa new-model</t>
  </si>
  <si>
    <t>aaa authentication login LOGIN-LIST group tacacs+ local</t>
  </si>
  <si>
    <t>aaa authentication enable</t>
  </si>
  <si>
    <t>aaa authentication dot1x</t>
  </si>
  <si>
    <t>aaa authentication ppp</t>
  </si>
  <si>
    <t>aaa authentication arap</t>
  </si>
  <si>
    <t>aaa authentication attempts max-fail</t>
  </si>
  <si>
    <t>aaa authorization exec</t>
  </si>
  <si>
    <t>aaa authorization config-commands</t>
  </si>
  <si>
    <t>aaa authorization network</t>
  </si>
  <si>
    <t>aaa authorization reverse-access</t>
  </si>
  <si>
    <t>aaa accounting exec EXEC-ACC start-stop group tacacs+</t>
  </si>
  <si>
    <t>aaa accounting commands 15</t>
  </si>
  <si>
    <t>aaa accounting connection</t>
  </si>
  <si>
    <t>aaa accounting network</t>
  </si>
  <si>
    <t>aaa accounting system</t>
  </si>
  <si>
    <t>aaa accounting vrrs</t>
  </si>
  <si>
    <t>aaa accounting delay-start</t>
  </si>
  <si>
    <t>aaa session-id common</t>
  </si>
  <si>
    <t>username &lt;name&gt; secret &lt;secret&gt;</t>
  </si>
  <si>
    <t>enable secret &lt;secret&gt;</t>
  </si>
  <si>
    <t>service password-encryption</t>
  </si>
  <si>
    <t>banner exec &lt;text&gt; ^C</t>
  </si>
  <si>
    <t>banner login &lt;text&gt; ^C</t>
  </si>
  <si>
    <t>banner motd &lt;text&gt; ^C</t>
  </si>
  <si>
    <t>snmp-server community &lt;community&gt;</t>
  </si>
  <si>
    <t>no snmp-server</t>
  </si>
  <si>
    <t>snmp-server host &lt;host&gt;</t>
  </si>
  <si>
    <t>snmp-server enable traps snmp</t>
  </si>
  <si>
    <t>snmp-server group &lt;group&gt; v3 priv</t>
  </si>
  <si>
    <t>snmp-server user &lt;user&gt; v3 auth &lt;auth&gt; priv aes 128 &lt;priv&gt;</t>
  </si>
  <si>
    <t>line con 0</t>
  </si>
  <si>
    <t>line tty</t>
  </si>
  <si>
    <t>line aux 0</t>
  </si>
  <si>
    <t>line vty</t>
  </si>
  <si>
    <t>Error 1 Type:</t>
  </si>
  <si>
    <t>Error 2 Type:</t>
  </si>
  <si>
    <t>Error 3 Type:</t>
  </si>
  <si>
    <t>1 Error</t>
  </si>
  <si>
    <t>No</t>
  </si>
  <si>
    <t>Mistype</t>
  </si>
  <si>
    <t>Comments:</t>
  </si>
  <si>
    <t>aaa authntication enable default group tacacs+ enable</t>
  </si>
  <si>
    <t>You are a network security analyst reviewing a router configuration for deployment in a mid-sized corporate network. Task: Is this configuration secure? Please identify any security issues, misconfigurations, typos, or best practice violations. If the configuration is secure, state: "Yes, this configuration appears secure." Otherwise, explain the issues briefly.</t>
  </si>
  <si>
    <t>aa new-model</t>
  </si>
  <si>
    <t>aaa accounting onnection CONN-ACC</t>
  </si>
  <si>
    <t>aaa accounting dela-start</t>
  </si>
  <si>
    <t>EIGRP</t>
  </si>
  <si>
    <t>key chain \S+</t>
  </si>
  <si>
    <t>key \d+</t>
  </si>
  <si>
    <t>key-string \S+</t>
  </si>
  <si>
    <t>no auto-summary</t>
  </si>
  <si>
    <t>passive-interface \S+</t>
  </si>
  <si>
    <t>maximum-paths \d+</t>
  </si>
  <si>
    <t>OSPF</t>
  </si>
  <si>
    <t>router ospf \d+$</t>
  </si>
  <si>
    <t>area \d+ authentication message-digest$</t>
  </si>
  <si>
    <t>ip ospf message-digest-key \d+ md5 .+$</t>
  </si>
  <si>
    <t>2 Error</t>
  </si>
  <si>
    <t>RIP</t>
  </si>
  <si>
    <t>router rip</t>
  </si>
  <si>
    <t>version 2</t>
  </si>
  <si>
    <t>ip rip authentication mode md5</t>
  </si>
  <si>
    <t>ip rip authentication key-chain \S+</t>
  </si>
  <si>
    <t>^network \d+\.\d+\.\d+\.\d+$</t>
  </si>
  <si>
    <t>redistribute \S+</t>
  </si>
  <si>
    <t>distance \d+</t>
  </si>
  <si>
    <t>offset-list \d+ \S+</t>
  </si>
  <si>
    <t>You are a network security analyst reviewing ONLY an AAA (Authentication, Authorization, and Accounting) configuration for deployment in a mid-sized corporate network. Task: Assess whether this configuration complies with the attached CIS Benchmarks for AAA security. Identify any security issues, misconfigurations, typos, or violations of CIS best practices. If the configuration meets the attached CIS requirements, state: 'Yes, this AAA configuration appears secure and CIS-compliant.' Otherwise, briefly list the issues and how they deviate from CIS guidelines.</t>
  </si>
  <si>
    <r>
      <t xml:space="preserve">You are a network security analyst reviewing ONLY an </t>
    </r>
    <r>
      <rPr>
        <b/>
        <sz val="11"/>
        <color theme="1"/>
        <rFont val="Aptos Narrow"/>
        <family val="2"/>
        <scheme val="minor"/>
      </rPr>
      <t>EIGRP configuration</t>
    </r>
    <r>
      <rPr>
        <sz val="11"/>
        <color theme="1"/>
        <rFont val="Aptos Narrow"/>
        <family val="2"/>
        <scheme val="minor"/>
      </rPr>
      <t xml:space="preserve"> for deployment in a mid-sized corporate network. Task: Assess whether this configuration complies with the attached </t>
    </r>
    <r>
      <rPr>
        <b/>
        <sz val="11"/>
        <color theme="1"/>
        <rFont val="Aptos Narrow"/>
        <family val="2"/>
        <scheme val="minor"/>
      </rPr>
      <t>CIS Benchmarks for EIGRP</t>
    </r>
    <r>
      <rPr>
        <sz val="11"/>
        <color theme="1"/>
        <rFont val="Aptos Narrow"/>
        <family val="2"/>
        <scheme val="minor"/>
      </rPr>
      <t xml:space="preserve"> security. Identify any security issues, misconfigurations, typos, or violations of CIS best practices. If the configuration meets the attached CIS requirements, state: "Yes, this EIGRP configuration appears secure and CIS-compliant." Otherwise, briefly list the issues and how they deviate from CIS guidelines.</t>
    </r>
  </si>
  <si>
    <t xml:space="preserve">    router eigrp \d+</t>
  </si>
  <si>
    <t xml:space="preserve">    address-family ipv4 autonomous-system \d+</t>
  </si>
  <si>
    <t xml:space="preserve">    af-interface .*</t>
  </si>
  <si>
    <t xml:space="preserve">    authentication mode eigrp \d+ md5</t>
  </si>
  <si>
    <t xml:space="preserve">    authentication key-chain eigrp \d+ \S+</t>
  </si>
  <si>
    <t xml:space="preserve">    exit-af-interface</t>
  </si>
  <si>
    <t xml:space="preserve">    exit-address-family</t>
  </si>
  <si>
    <t xml:space="preserve">    key chain \S+</t>
  </si>
  <si>
    <t xml:space="preserve">    key \d+</t>
  </si>
  <si>
    <t xml:space="preserve">    key-string \S+</t>
  </si>
  <si>
    <t xml:space="preserve">    ip authentication mode eigrp \d+ md5</t>
  </si>
  <si>
    <t xml:space="preserve">    ip authentication key-chain eigrp \d+ \S+</t>
  </si>
  <si>
    <t xml:space="preserve">    passive-interface \S+</t>
  </si>
  <si>
    <t>You are a network security analyst reviewing ONLY an OSPF configuration for deployment in a mid-sized corporate network. Assess whether this configuration complies with the attached CIS Benchmarks for OSPF security. Identify any security issues, misconfigurations, typos, or violations of CIS best practices. If the configuration meets the attached CIS requirements, state: 'Yes, this OSPF configuration appears secure and CIS-compliant.' Otherwise, briefly list the issues and how they deviate from CIS guidelines.</t>
  </si>
  <si>
    <t>You are a network security analyst reviewing ONLY a RIP configuration for deployment in a mid-sized corporate network. Assess whether this configuration complies with the attached CIS Benchmarks for RIP security. Identify any security issues, misconfigurations, typos, or violations of CIS best practices. If the configuration meets the attached CIS requirements, state: 'Yes, this RIP configuration appears secure and CIS-compliant.' Otherwise, briefly list the issues and how they deviate from CIS guidelines.</t>
  </si>
  <si>
    <t>Found</t>
  </si>
  <si>
    <t>Not Found</t>
  </si>
  <si>
    <t>Mistypes</t>
  </si>
  <si>
    <t>PP Score</t>
  </si>
  <si>
    <t>You are a network security analyst reviewing a router configuration for deployment in a mid-sized corporate network. Task: According to CIS Benchmarks is this configuration secure? Please identify any security issues, misconfigurations, typos, or best practice violations. If the configuration is secure, state: "Yes, this configuration appears secure." Otherwise, explain the issues briefly.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</si>
</sst>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u/>
      <sz val="11"/>
      <color theme="10"/>
      <name val="Aptos Narrow"/>
      <family val="2"/>
      <scheme val="minor"/>
    </font>
    <font>
      <b/>
      <sz val="11"/>
      <color theme="1"/>
      <name val="Aptos Narrow"/>
      <family val="2"/>
      <scheme val="minor"/>
    </font>
    <font>
      <sz val="11"/>
      <color theme="1"/>
      <name val="Aptos Narrow"/>
      <family val="2"/>
      <scheme val="minor"/>
    </font>
    <font>
      <u/>
      <sz val="11"/>
      <color theme="1"/>
      <name val="Aptos Narrow"/>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rgb="FFDC2860"/>
        <bgColor indexed="64"/>
      </patternFill>
    </fill>
    <fill>
      <patternFill patternType="solid">
        <fgColor rgb="FFFFC000"/>
        <bgColor indexed="64"/>
      </patternFill>
    </fill>
    <fill>
      <patternFill patternType="solid">
        <fgColor rgb="FF00B0F0"/>
        <bgColor indexed="64"/>
      </patternFill>
    </fill>
    <fill>
      <patternFill patternType="solid">
        <fgColor theme="9" tint="0.39997558519241921"/>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3" fillId="0" borderId="0" applyFont="0" applyFill="0" applyBorder="0" applyAlignment="0" applyProtection="0"/>
  </cellStyleXfs>
  <cellXfs count="16">
    <xf numFmtId="0" fontId="0" fillId="0" borderId="0" xfId="0"/>
    <xf numFmtId="0" fontId="0" fillId="2" borderId="0" xfId="0" applyFill="1"/>
    <xf numFmtId="0" fontId="1" fillId="2" borderId="0" xfId="1" applyFill="1"/>
    <xf numFmtId="0" fontId="0" fillId="3" borderId="0" xfId="0" applyFill="1"/>
    <xf numFmtId="0" fontId="1" fillId="3" borderId="0" xfId="1" applyFill="1"/>
    <xf numFmtId="0" fontId="0" fillId="4" borderId="0" xfId="0" applyFill="1"/>
    <xf numFmtId="0" fontId="1" fillId="4" borderId="0" xfId="1" applyFill="1"/>
    <xf numFmtId="0" fontId="0" fillId="2" borderId="0" xfId="0" applyFill="1" applyAlignment="1">
      <alignment horizontal="right"/>
    </xf>
    <xf numFmtId="0" fontId="0" fillId="3" borderId="0" xfId="0" applyFill="1" applyAlignment="1">
      <alignment horizontal="right"/>
    </xf>
    <xf numFmtId="0" fontId="0" fillId="0" borderId="0" xfId="0" applyAlignment="1">
      <alignment horizontal="right"/>
    </xf>
    <xf numFmtId="0" fontId="0" fillId="4" borderId="0" xfId="0" applyFill="1" applyAlignment="1">
      <alignment horizontal="right"/>
    </xf>
    <xf numFmtId="0" fontId="0" fillId="0" borderId="0" xfId="0" applyAlignment="1">
      <alignment horizontal="center"/>
    </xf>
    <xf numFmtId="0" fontId="0" fillId="5" borderId="0" xfId="0" applyFill="1" applyAlignment="1">
      <alignment horizontal="center"/>
    </xf>
    <xf numFmtId="9" fontId="0" fillId="0" borderId="0" xfId="2" applyFont="1"/>
    <xf numFmtId="0" fontId="0" fillId="6" borderId="0" xfId="0" applyFill="1"/>
    <xf numFmtId="0" fontId="4" fillId="3" borderId="0" xfId="1" applyFont="1" applyFill="1"/>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DC28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6A3C5-04F2-4269-B1CC-66B09066F0AA}">
  <dimension ref="A1:I86"/>
  <sheetViews>
    <sheetView topLeftCell="A58" zoomScaleNormal="100" workbookViewId="0">
      <selection activeCell="A83" sqref="A83:E85"/>
    </sheetView>
  </sheetViews>
  <sheetFormatPr defaultRowHeight="15" x14ac:dyDescent="0.25"/>
  <cols>
    <col min="2" max="2" width="56" customWidth="1"/>
    <col min="3" max="3" width="16.28515625" style="9" customWidth="1"/>
    <col min="4" max="4" width="13.85546875" customWidth="1"/>
    <col min="5" max="5" width="19.28515625" customWidth="1"/>
    <col min="6" max="6" width="51.140625" customWidth="1"/>
    <col min="7" max="7" width="33.7109375" customWidth="1"/>
    <col min="8" max="8" width="38" customWidth="1"/>
    <col min="9" max="9" width="59" customWidth="1"/>
  </cols>
  <sheetData>
    <row r="1" spans="1:9" x14ac:dyDescent="0.25">
      <c r="A1" t="s">
        <v>0</v>
      </c>
      <c r="B1" t="s">
        <v>1</v>
      </c>
      <c r="C1" s="9" t="s">
        <v>7</v>
      </c>
      <c r="D1" t="s">
        <v>2</v>
      </c>
      <c r="E1" t="s">
        <v>3</v>
      </c>
      <c r="F1" t="s">
        <v>43</v>
      </c>
      <c r="G1" t="s">
        <v>44</v>
      </c>
      <c r="H1" t="s">
        <v>45</v>
      </c>
      <c r="I1" t="s">
        <v>49</v>
      </c>
    </row>
    <row r="2" spans="1:9" s="1" customFormat="1" ht="15.75" customHeight="1" x14ac:dyDescent="0.25">
      <c r="A2" s="1" t="s">
        <v>4</v>
      </c>
      <c r="B2" s="1" t="s">
        <v>5</v>
      </c>
      <c r="C2" s="7">
        <v>1</v>
      </c>
      <c r="D2" s="1" t="s">
        <v>6</v>
      </c>
      <c r="E2" s="2" t="str">
        <f>HYPERLINK("Z:\Thesis\Prompt\1AAA\router1.png","Prompt1")</f>
        <v>Prompt1</v>
      </c>
      <c r="F2" s="1" t="s">
        <v>29</v>
      </c>
    </row>
    <row r="3" spans="1:9" s="1" customFormat="1" x14ac:dyDescent="0.25">
      <c r="A3" s="1" t="s">
        <v>4</v>
      </c>
      <c r="B3" s="1" t="s">
        <v>5</v>
      </c>
      <c r="C3" s="7">
        <v>1</v>
      </c>
      <c r="D3" s="1" t="s">
        <v>6</v>
      </c>
      <c r="E3" s="2" t="str">
        <f>HYPERLINK("Z:\Thesis\Prompt\1AAA\router2.png","Prompt2")</f>
        <v>Prompt2</v>
      </c>
      <c r="F3" s="1" t="s">
        <v>29</v>
      </c>
    </row>
    <row r="4" spans="1:9" s="1" customFormat="1" x14ac:dyDescent="0.25">
      <c r="A4" s="1" t="s">
        <v>4</v>
      </c>
      <c r="B4" s="1" t="s">
        <v>5</v>
      </c>
      <c r="C4" s="7">
        <v>1</v>
      </c>
      <c r="D4" s="1" t="s">
        <v>6</v>
      </c>
      <c r="E4" s="2" t="str">
        <f>HYPERLINK("Z:\Thesis\Prompt\1AAA\router3.png","Prompt3")</f>
        <v>Prompt3</v>
      </c>
      <c r="F4" s="1" t="s">
        <v>28</v>
      </c>
    </row>
    <row r="5" spans="1:9" s="1" customFormat="1" x14ac:dyDescent="0.25">
      <c r="A5" s="1" t="s">
        <v>4</v>
      </c>
      <c r="B5" s="1" t="s">
        <v>5</v>
      </c>
      <c r="C5" s="7">
        <v>1</v>
      </c>
      <c r="D5" s="1" t="s">
        <v>6</v>
      </c>
      <c r="E5" s="2" t="str">
        <f>HYPERLINK("Z:\Thesis\Prompt\1AAA\router4.png","Prompt4")</f>
        <v>Prompt4</v>
      </c>
      <c r="F5" s="1" t="s">
        <v>15</v>
      </c>
    </row>
    <row r="6" spans="1:9" s="1" customFormat="1" x14ac:dyDescent="0.25">
      <c r="A6" s="1" t="s">
        <v>4</v>
      </c>
      <c r="B6" s="1" t="s">
        <v>5</v>
      </c>
      <c r="C6" s="7">
        <v>1</v>
      </c>
      <c r="D6" s="1" t="s">
        <v>6</v>
      </c>
      <c r="E6" s="2" t="str">
        <f>HYPERLINK("Z:\Thesis\Prompt\1AAA\router5.png","Prompt5")</f>
        <v>Prompt5</v>
      </c>
      <c r="F6" s="1" t="s">
        <v>23</v>
      </c>
    </row>
    <row r="7" spans="1:9" s="1" customFormat="1" x14ac:dyDescent="0.25">
      <c r="A7" s="1" t="s">
        <v>4</v>
      </c>
      <c r="B7" s="1" t="s">
        <v>5</v>
      </c>
      <c r="C7" s="7">
        <v>2</v>
      </c>
      <c r="D7" s="1" t="s">
        <v>6</v>
      </c>
      <c r="E7" s="2" t="str">
        <f>HYPERLINK("Z:\Thesis\Prompt\2AAA\router6.png","Prompt6")</f>
        <v>Prompt6</v>
      </c>
      <c r="F7" s="1" t="s">
        <v>23</v>
      </c>
      <c r="G7" s="1" t="s">
        <v>29</v>
      </c>
    </row>
    <row r="8" spans="1:9" s="3" customFormat="1" x14ac:dyDescent="0.25">
      <c r="A8" s="3" t="s">
        <v>4</v>
      </c>
      <c r="B8" s="3" t="s">
        <v>5</v>
      </c>
      <c r="C8" s="8">
        <v>2</v>
      </c>
      <c r="D8" s="3" t="s">
        <v>47</v>
      </c>
      <c r="E8" s="4" t="str">
        <f>HYPERLINK("Z:\Thesis\Prompt\2AAA\router7.png","Prompt7")</f>
        <v>Prompt7</v>
      </c>
      <c r="F8" s="3" t="s">
        <v>15</v>
      </c>
      <c r="G8" s="3" t="s">
        <v>18</v>
      </c>
    </row>
    <row r="9" spans="1:9" s="3" customFormat="1" x14ac:dyDescent="0.25">
      <c r="A9" s="3" t="s">
        <v>4</v>
      </c>
      <c r="B9" s="3" t="s">
        <v>5</v>
      </c>
      <c r="C9" s="8">
        <v>2</v>
      </c>
      <c r="D9" s="3" t="s">
        <v>47</v>
      </c>
      <c r="E9" s="4" t="str">
        <f>HYPERLINK("Z:\Thesis\Prompt\2AAA\router8.png","Prompt8")</f>
        <v>Prompt8</v>
      </c>
      <c r="F9" s="3" t="s">
        <v>18</v>
      </c>
      <c r="G9" s="3" t="s">
        <v>16</v>
      </c>
    </row>
    <row r="10" spans="1:9" s="3" customFormat="1" x14ac:dyDescent="0.25">
      <c r="A10" s="3" t="s">
        <v>4</v>
      </c>
      <c r="B10" s="3" t="s">
        <v>5</v>
      </c>
      <c r="C10" s="8">
        <v>2</v>
      </c>
      <c r="D10" s="3" t="s">
        <v>47</v>
      </c>
      <c r="E10" s="4" t="str">
        <f>HYPERLINK("Z:\Thesis\Prompt\2AAA\router9.png","Prompt9")</f>
        <v>Prompt9</v>
      </c>
      <c r="F10" s="3" t="s">
        <v>23</v>
      </c>
      <c r="G10" s="3" t="s">
        <v>20</v>
      </c>
    </row>
    <row r="11" spans="1:9" s="5" customFormat="1" x14ac:dyDescent="0.25">
      <c r="A11" s="5" t="s">
        <v>4</v>
      </c>
      <c r="B11" s="5" t="s">
        <v>5</v>
      </c>
      <c r="C11" s="10">
        <v>2</v>
      </c>
      <c r="D11" s="5" t="s">
        <v>46</v>
      </c>
      <c r="E11" s="6" t="str">
        <f>HYPERLINK("Z:\Thesis\Prompt\2AAA\router10.png","Prompt10")</f>
        <v>Prompt10</v>
      </c>
      <c r="F11" s="5" t="s">
        <v>8</v>
      </c>
      <c r="G11" s="5" t="s">
        <v>16</v>
      </c>
    </row>
    <row r="12" spans="1:9" s="5" customFormat="1" x14ac:dyDescent="0.25">
      <c r="A12" s="5" t="s">
        <v>4</v>
      </c>
      <c r="B12" s="5" t="s">
        <v>5</v>
      </c>
      <c r="C12" s="10">
        <v>3</v>
      </c>
      <c r="D12" s="5" t="s">
        <v>46</v>
      </c>
      <c r="E12" s="6" t="str">
        <f>HYPERLINK("Z:\Thesis\Prompt\3AAA\router11.png","Prompt11")</f>
        <v>Prompt11</v>
      </c>
      <c r="F12" s="5" t="s">
        <v>23</v>
      </c>
      <c r="G12" s="5" t="s">
        <v>17</v>
      </c>
      <c r="H12" s="5" t="s">
        <v>42</v>
      </c>
    </row>
    <row r="13" spans="1:9" s="3" customFormat="1" x14ac:dyDescent="0.25">
      <c r="A13" s="3" t="s">
        <v>4</v>
      </c>
      <c r="B13" s="3" t="s">
        <v>5</v>
      </c>
      <c r="C13" s="8">
        <v>3</v>
      </c>
      <c r="D13" s="3" t="s">
        <v>47</v>
      </c>
      <c r="E13" s="4" t="str">
        <f>HYPERLINK("Z:\Thesis\Prompt\3AAA\router12.png","Prompt12")</f>
        <v>Prompt12</v>
      </c>
      <c r="F13" s="3" t="s">
        <v>22</v>
      </c>
      <c r="G13" s="3" t="s">
        <v>25</v>
      </c>
      <c r="H13" s="3" t="s">
        <v>18</v>
      </c>
    </row>
    <row r="14" spans="1:9" s="5" customFormat="1" x14ac:dyDescent="0.25">
      <c r="A14" s="5" t="s">
        <v>4</v>
      </c>
      <c r="B14" s="5" t="s">
        <v>5</v>
      </c>
      <c r="C14" s="10">
        <v>3</v>
      </c>
      <c r="D14" s="5" t="s">
        <v>46</v>
      </c>
      <c r="E14" s="6" t="str">
        <f>HYPERLINK("Z:\Thesis\Prompt\3AAA\router13.png","Prompt13")</f>
        <v>Prompt13</v>
      </c>
      <c r="F14" s="5" t="s">
        <v>42</v>
      </c>
      <c r="G14" s="5" t="s">
        <v>18</v>
      </c>
      <c r="H14" s="5" t="s">
        <v>25</v>
      </c>
    </row>
    <row r="15" spans="1:9" s="5" customFormat="1" x14ac:dyDescent="0.25">
      <c r="A15" s="5" t="s">
        <v>4</v>
      </c>
      <c r="B15" s="5" t="s">
        <v>5</v>
      </c>
      <c r="C15" s="10">
        <v>3</v>
      </c>
      <c r="D15" s="5" t="s">
        <v>46</v>
      </c>
      <c r="E15" s="6" t="str">
        <f>HYPERLINK("Z:\Thesis\Prompt\3AAA\router14.png","Prompt14")</f>
        <v>Prompt14</v>
      </c>
      <c r="F15" s="5" t="s">
        <v>9</v>
      </c>
      <c r="G15" s="5" t="s">
        <v>24</v>
      </c>
      <c r="H15" s="5" t="s">
        <v>25</v>
      </c>
    </row>
    <row r="16" spans="1:9" s="5" customFormat="1" x14ac:dyDescent="0.25">
      <c r="A16" s="5" t="s">
        <v>4</v>
      </c>
      <c r="B16" s="5" t="s">
        <v>5</v>
      </c>
      <c r="C16" s="10">
        <v>3</v>
      </c>
      <c r="D16" s="5" t="s">
        <v>46</v>
      </c>
      <c r="E16" s="6" t="str">
        <f>HYPERLINK("Z:\Thesis\Prompt\3AAA\router15.png","Prompt15")</f>
        <v>Prompt15</v>
      </c>
      <c r="F16" s="5" t="s">
        <v>8</v>
      </c>
      <c r="G16" s="5" t="s">
        <v>15</v>
      </c>
      <c r="H16" s="5" t="s">
        <v>23</v>
      </c>
    </row>
    <row r="17" spans="1:9" s="1" customFormat="1" x14ac:dyDescent="0.25">
      <c r="A17" s="1" t="s">
        <v>4</v>
      </c>
      <c r="B17" s="1" t="s">
        <v>51</v>
      </c>
      <c r="C17" s="7" t="s">
        <v>48</v>
      </c>
      <c r="D17" s="1" t="s">
        <v>6</v>
      </c>
      <c r="E17" s="2" t="str">
        <f>HYPERLINK("Z:\Thesis\Prompt\AAAMistype\router1.png","Prompt16")</f>
        <v>Prompt16</v>
      </c>
      <c r="F17" s="1" t="s">
        <v>10</v>
      </c>
      <c r="I17" s="1" t="s">
        <v>50</v>
      </c>
    </row>
    <row r="18" spans="1:9" s="3" customFormat="1" x14ac:dyDescent="0.25">
      <c r="A18" s="3" t="s">
        <v>4</v>
      </c>
      <c r="B18" s="3" t="s">
        <v>51</v>
      </c>
      <c r="C18" s="8" t="s">
        <v>48</v>
      </c>
      <c r="D18" s="3" t="s">
        <v>47</v>
      </c>
      <c r="E18" s="4" t="str">
        <f>HYPERLINK("Z:\Thesis\Prompt\AAAMistype\router2.png","Prompt17")</f>
        <v>Prompt17</v>
      </c>
      <c r="F18" s="3" t="s">
        <v>8</v>
      </c>
      <c r="I18" s="3" t="s">
        <v>52</v>
      </c>
    </row>
    <row r="19" spans="1:9" s="1" customFormat="1" x14ac:dyDescent="0.25">
      <c r="A19" s="1" t="s">
        <v>4</v>
      </c>
      <c r="B19" s="1" t="s">
        <v>51</v>
      </c>
      <c r="C19" s="7" t="s">
        <v>48</v>
      </c>
      <c r="D19" s="1" t="s">
        <v>6</v>
      </c>
      <c r="E19" s="2" t="str">
        <f>HYPERLINK("Z:\Thesis\Prompt\AAAMistype\router3.png","Prompt18")</f>
        <v>Prompt18</v>
      </c>
      <c r="F19" s="1" t="s">
        <v>21</v>
      </c>
      <c r="I19" s="1" t="s">
        <v>53</v>
      </c>
    </row>
    <row r="20" spans="1:9" s="1" customFormat="1" x14ac:dyDescent="0.25">
      <c r="A20" s="1" t="s">
        <v>4</v>
      </c>
      <c r="B20" s="1" t="s">
        <v>51</v>
      </c>
      <c r="C20" s="7" t="s">
        <v>48</v>
      </c>
      <c r="D20" s="1" t="s">
        <v>6</v>
      </c>
      <c r="E20" s="2" t="str">
        <f>HYPERLINK("Z:\Thesis\Prompt\AAAMistype\router4.png","Prompt19")</f>
        <v>Prompt19</v>
      </c>
      <c r="F20" s="1" t="s">
        <v>21</v>
      </c>
      <c r="I20" s="1" t="s">
        <v>53</v>
      </c>
    </row>
    <row r="21" spans="1:9" s="3" customFormat="1" x14ac:dyDescent="0.25">
      <c r="A21" s="3" t="s">
        <v>4</v>
      </c>
      <c r="B21" s="3" t="s">
        <v>51</v>
      </c>
      <c r="C21" s="8" t="s">
        <v>48</v>
      </c>
      <c r="D21" s="3" t="s">
        <v>47</v>
      </c>
      <c r="E21" s="4" t="str">
        <f>HYPERLINK("Z:\Thesis\Prompt\AAAMistype\router5.png","Prompt20")</f>
        <v>Prompt20</v>
      </c>
      <c r="F21" s="3" t="s">
        <v>25</v>
      </c>
      <c r="I21" s="3" t="s">
        <v>54</v>
      </c>
    </row>
    <row r="22" spans="1:9" s="3" customFormat="1" x14ac:dyDescent="0.25">
      <c r="A22" s="3" t="s">
        <v>55</v>
      </c>
      <c r="B22" s="3" t="s">
        <v>51</v>
      </c>
      <c r="C22" s="8">
        <v>1</v>
      </c>
      <c r="D22" s="3" t="s">
        <v>47</v>
      </c>
      <c r="E22" s="4" t="str">
        <f>HYPERLINK("Z:\Thesis\Prompt\1EIGRP\router16.png","Prompt21")</f>
        <v>Prompt21</v>
      </c>
      <c r="F22" s="3" t="s">
        <v>88</v>
      </c>
    </row>
    <row r="23" spans="1:9" s="3" customFormat="1" x14ac:dyDescent="0.25">
      <c r="A23" s="3" t="s">
        <v>55</v>
      </c>
      <c r="B23" s="3" t="s">
        <v>51</v>
      </c>
      <c r="C23" s="8">
        <v>1</v>
      </c>
      <c r="D23" s="3" t="s">
        <v>47</v>
      </c>
      <c r="E23" s="4" t="str">
        <f>HYPERLINK("Z:\Thesis\Prompt\1EIGRP\router17.png","Prompt22")</f>
        <v>Prompt22</v>
      </c>
      <c r="F23" s="3" t="s">
        <v>87</v>
      </c>
    </row>
    <row r="24" spans="1:9" s="3" customFormat="1" x14ac:dyDescent="0.25">
      <c r="A24" s="3" t="s">
        <v>55</v>
      </c>
      <c r="B24" s="3" t="s">
        <v>51</v>
      </c>
      <c r="C24" s="8">
        <v>1</v>
      </c>
      <c r="D24" s="3" t="s">
        <v>47</v>
      </c>
      <c r="E24" s="4" t="str">
        <f>HYPERLINK("Z:\Thesis\Prompt\1EIGRP\router18.png","Prompt23")</f>
        <v>Prompt23</v>
      </c>
      <c r="F24" s="3" t="s">
        <v>86</v>
      </c>
    </row>
    <row r="25" spans="1:9" s="3" customFormat="1" x14ac:dyDescent="0.25">
      <c r="A25" s="3" t="s">
        <v>55</v>
      </c>
      <c r="B25" s="3" t="s">
        <v>51</v>
      </c>
      <c r="C25" s="8">
        <v>1</v>
      </c>
      <c r="D25" s="3" t="s">
        <v>47</v>
      </c>
      <c r="E25" s="4" t="str">
        <f>HYPERLINK("Z:\Thesis\Prompt\1EIGRP\router19.png","Prompt24")</f>
        <v>Prompt24</v>
      </c>
      <c r="F25" s="3" t="s">
        <v>89</v>
      </c>
    </row>
    <row r="26" spans="1:9" s="3" customFormat="1" x14ac:dyDescent="0.25">
      <c r="A26" s="3" t="s">
        <v>55</v>
      </c>
      <c r="B26" s="3" t="s">
        <v>51</v>
      </c>
      <c r="C26" s="8">
        <v>1</v>
      </c>
      <c r="D26" s="3" t="s">
        <v>47</v>
      </c>
      <c r="E26" s="4" t="str">
        <f>HYPERLINK("Z:\Thesis\Prompt\1EIGRP\router20.png","Prompt25")</f>
        <v>Prompt25</v>
      </c>
      <c r="F26" s="3" t="s">
        <v>89</v>
      </c>
    </row>
    <row r="27" spans="1:9" s="3" customFormat="1" x14ac:dyDescent="0.25">
      <c r="A27" s="3" t="s">
        <v>55</v>
      </c>
      <c r="B27" s="3" t="s">
        <v>51</v>
      </c>
      <c r="C27" s="8">
        <v>2</v>
      </c>
      <c r="D27" s="3" t="s">
        <v>47</v>
      </c>
      <c r="E27" s="4" t="str">
        <f>HYPERLINK("Z:\Thesis\Prompt\2EIGRP\router22.png","Prompt26")</f>
        <v>Prompt26</v>
      </c>
      <c r="F27" s="3" t="s">
        <v>90</v>
      </c>
      <c r="G27" s="3" t="s">
        <v>89</v>
      </c>
    </row>
    <row r="28" spans="1:9" s="5" customFormat="1" x14ac:dyDescent="0.25">
      <c r="A28" s="5" t="s">
        <v>55</v>
      </c>
      <c r="B28" s="5" t="s">
        <v>51</v>
      </c>
      <c r="C28" s="10">
        <v>2</v>
      </c>
      <c r="D28" s="5" t="s">
        <v>46</v>
      </c>
      <c r="E28" s="6" t="str">
        <f>HYPERLINK("Z:\Thesis\Prompt\2EIGRP\router23.png","Prompt27")</f>
        <v>Prompt27</v>
      </c>
      <c r="F28" s="5" t="s">
        <v>89</v>
      </c>
      <c r="G28" s="5" t="s">
        <v>88</v>
      </c>
    </row>
    <row r="29" spans="1:9" s="3" customFormat="1" x14ac:dyDescent="0.25">
      <c r="A29" s="3" t="s">
        <v>55</v>
      </c>
      <c r="B29" s="3" t="s">
        <v>51</v>
      </c>
      <c r="C29" s="8">
        <v>2</v>
      </c>
      <c r="D29" s="3" t="s">
        <v>47</v>
      </c>
      <c r="E29" s="4" t="str">
        <f>HYPERLINK("Z:\Thesis\Prompt\2EIGRP\router24.png","Prompt28")</f>
        <v>Prompt28</v>
      </c>
      <c r="F29" s="3" t="s">
        <v>90</v>
      </c>
      <c r="G29" s="3" t="s">
        <v>89</v>
      </c>
    </row>
    <row r="30" spans="1:9" s="3" customFormat="1" x14ac:dyDescent="0.25">
      <c r="A30" s="3" t="s">
        <v>55</v>
      </c>
      <c r="B30" s="3" t="s">
        <v>51</v>
      </c>
      <c r="C30" s="8">
        <v>2</v>
      </c>
      <c r="D30" s="3" t="s">
        <v>47</v>
      </c>
      <c r="E30" s="4" t="str">
        <f>HYPERLINK("Z:\Thesis\Prompt\2EIGRP\router25.png","Prompt29")</f>
        <v>Prompt29</v>
      </c>
      <c r="F30" s="3" t="s">
        <v>89</v>
      </c>
      <c r="G30" s="3" t="s">
        <v>85</v>
      </c>
    </row>
    <row r="31" spans="1:9" s="3" customFormat="1" x14ac:dyDescent="0.25">
      <c r="A31" s="3" t="s">
        <v>55</v>
      </c>
      <c r="B31" s="3" t="s">
        <v>51</v>
      </c>
      <c r="C31" s="8">
        <v>2</v>
      </c>
      <c r="D31" s="3" t="s">
        <v>47</v>
      </c>
      <c r="E31" s="4" t="str">
        <f>HYPERLINK("Z:\Thesis\Prompt\2EIGRP\router26.png","Prompt30")</f>
        <v>Prompt30</v>
      </c>
      <c r="F31" s="3" t="s">
        <v>86</v>
      </c>
      <c r="G31" s="3" t="s">
        <v>90</v>
      </c>
    </row>
    <row r="32" spans="1:9" s="3" customFormat="1" x14ac:dyDescent="0.25">
      <c r="A32" s="3" t="s">
        <v>55</v>
      </c>
      <c r="B32" s="3" t="s">
        <v>51</v>
      </c>
      <c r="C32" s="8">
        <v>3</v>
      </c>
      <c r="D32" s="3" t="s">
        <v>47</v>
      </c>
      <c r="E32" s="4" t="str">
        <f>HYPERLINK("Z:\Thesis\Prompt\3EIGRP\router28.png","Prompt31")</f>
        <v>Prompt31</v>
      </c>
      <c r="F32" s="3" t="s">
        <v>85</v>
      </c>
      <c r="G32" s="3" t="s">
        <v>86</v>
      </c>
      <c r="H32" s="3" t="s">
        <v>90</v>
      </c>
    </row>
    <row r="33" spans="1:8" s="3" customFormat="1" x14ac:dyDescent="0.25">
      <c r="A33" s="3" t="s">
        <v>55</v>
      </c>
      <c r="B33" s="3" t="s">
        <v>51</v>
      </c>
      <c r="C33" s="8">
        <v>3</v>
      </c>
      <c r="D33" s="3" t="s">
        <v>47</v>
      </c>
      <c r="E33" s="4" t="str">
        <f>HYPERLINK("Z:\Thesis\Prompt\3EIGRP\router29.png","Prompt32")</f>
        <v>Prompt32</v>
      </c>
      <c r="F33" s="3" t="s">
        <v>78</v>
      </c>
      <c r="G33" s="3" t="s">
        <v>85</v>
      </c>
      <c r="H33" s="3" t="s">
        <v>90</v>
      </c>
    </row>
    <row r="34" spans="1:8" s="3" customFormat="1" x14ac:dyDescent="0.25">
      <c r="A34" s="3" t="s">
        <v>55</v>
      </c>
      <c r="B34" s="3" t="s">
        <v>51</v>
      </c>
      <c r="C34" s="8">
        <v>3</v>
      </c>
      <c r="D34" s="3" t="s">
        <v>47</v>
      </c>
      <c r="E34" s="4" t="str">
        <f>HYPERLINK("Z:\Thesis\Prompt\3EIGRP\router30.png","Prompt33")</f>
        <v>Prompt33</v>
      </c>
      <c r="F34" s="3" t="s">
        <v>89</v>
      </c>
      <c r="G34" s="3" t="s">
        <v>88</v>
      </c>
      <c r="H34" s="3" t="s">
        <v>85</v>
      </c>
    </row>
    <row r="35" spans="1:8" s="3" customFormat="1" x14ac:dyDescent="0.25">
      <c r="A35" s="3" t="s">
        <v>55</v>
      </c>
      <c r="B35" s="3" t="s">
        <v>51</v>
      </c>
      <c r="C35" s="8">
        <v>3</v>
      </c>
      <c r="D35" s="3" t="s">
        <v>47</v>
      </c>
      <c r="E35" s="4" t="str">
        <f>HYPERLINK("Z:\Thesis\Prompt\3EIGRP\router31.png","Prompt34")</f>
        <v>Prompt34</v>
      </c>
      <c r="F35" s="3" t="s">
        <v>88</v>
      </c>
      <c r="G35" s="3" t="s">
        <v>90</v>
      </c>
      <c r="H35" s="3" t="s">
        <v>89</v>
      </c>
    </row>
    <row r="36" spans="1:8" s="3" customFormat="1" x14ac:dyDescent="0.25">
      <c r="A36" s="3" t="s">
        <v>55</v>
      </c>
      <c r="B36" s="3" t="s">
        <v>51</v>
      </c>
      <c r="C36" s="8">
        <v>3</v>
      </c>
      <c r="D36" s="3" t="s">
        <v>47</v>
      </c>
      <c r="E36" s="4" t="str">
        <f>HYPERLINK("Z:\Thesis\Prompt\3EIGRP\router32.png","Prompt35")</f>
        <v>Prompt35</v>
      </c>
      <c r="F36" s="3" t="s">
        <v>78</v>
      </c>
      <c r="G36" s="3" t="s">
        <v>89</v>
      </c>
      <c r="H36" s="3" t="s">
        <v>90</v>
      </c>
    </row>
    <row r="37" spans="1:8" s="3" customFormat="1" x14ac:dyDescent="0.25">
      <c r="A37" s="3" t="s">
        <v>55</v>
      </c>
      <c r="B37" s="3" t="s">
        <v>51</v>
      </c>
      <c r="C37" s="8" t="s">
        <v>48</v>
      </c>
      <c r="D37" s="3" t="s">
        <v>47</v>
      </c>
      <c r="E37" s="4" t="str">
        <f>HYPERLINK("Z:\Thesis\Prompt\EIGRPMistype\router16.png","Prompt36")</f>
        <v>Prompt36</v>
      </c>
    </row>
    <row r="38" spans="1:8" s="1" customFormat="1" x14ac:dyDescent="0.25">
      <c r="A38" s="1" t="s">
        <v>55</v>
      </c>
      <c r="B38" s="1" t="s">
        <v>51</v>
      </c>
      <c r="C38" s="7" t="s">
        <v>48</v>
      </c>
      <c r="D38" s="1" t="s">
        <v>6</v>
      </c>
      <c r="E38" s="2" t="str">
        <f>HYPERLINK("Z:\Thesis\Prompt\EIGRPMistype\router17.png","Prompt37")</f>
        <v>Prompt37</v>
      </c>
    </row>
    <row r="39" spans="1:8" s="1" customFormat="1" x14ac:dyDescent="0.25">
      <c r="A39" s="1" t="s">
        <v>55</v>
      </c>
      <c r="B39" s="1" t="s">
        <v>51</v>
      </c>
      <c r="C39" s="7" t="s">
        <v>48</v>
      </c>
      <c r="D39" s="1" t="s">
        <v>6</v>
      </c>
      <c r="E39" s="2" t="str">
        <f>HYPERLINK("Z:\Thesis\Prompt\EIGRPMistype\router18.png","Prompt38")</f>
        <v>Prompt38</v>
      </c>
    </row>
    <row r="40" spans="1:8" s="1" customFormat="1" x14ac:dyDescent="0.25">
      <c r="A40" s="1" t="s">
        <v>55</v>
      </c>
      <c r="B40" s="1" t="s">
        <v>51</v>
      </c>
      <c r="C40" s="7" t="s">
        <v>48</v>
      </c>
      <c r="D40" s="1" t="s">
        <v>6</v>
      </c>
      <c r="E40" s="2" t="str">
        <f>HYPERLINK("Z:\Thesis\Prompt\EIGRPMistype\router19.png","Prompt39")</f>
        <v>Prompt39</v>
      </c>
    </row>
    <row r="41" spans="1:8" s="1" customFormat="1" x14ac:dyDescent="0.25">
      <c r="A41" s="1" t="s">
        <v>55</v>
      </c>
      <c r="B41" s="1" t="s">
        <v>51</v>
      </c>
      <c r="C41" s="7" t="s">
        <v>48</v>
      </c>
      <c r="D41" s="1" t="s">
        <v>6</v>
      </c>
      <c r="E41" s="2" t="str">
        <f>HYPERLINK("Z:\Thesis\Prompt\EIGRPMistype\router20.png","Prompt40")</f>
        <v>Prompt40</v>
      </c>
    </row>
    <row r="42" spans="1:8" s="3" customFormat="1" x14ac:dyDescent="0.25">
      <c r="A42" s="3" t="s">
        <v>62</v>
      </c>
      <c r="B42" s="3" t="s">
        <v>51</v>
      </c>
      <c r="C42" s="8">
        <v>1</v>
      </c>
      <c r="D42" s="3" t="s">
        <v>47</v>
      </c>
      <c r="E42" s="4" t="str">
        <f>HYPERLINK("Z:\Thesis\Prompt\1OSPF\router28.png","Prompt41")</f>
        <v>Prompt41</v>
      </c>
      <c r="F42" s="3" t="s">
        <v>64</v>
      </c>
    </row>
    <row r="43" spans="1:8" s="1" customFormat="1" x14ac:dyDescent="0.25">
      <c r="A43" s="1" t="s">
        <v>62</v>
      </c>
      <c r="B43" s="1" t="s">
        <v>51</v>
      </c>
      <c r="C43" s="7">
        <v>1</v>
      </c>
      <c r="D43" s="1" t="s">
        <v>6</v>
      </c>
      <c r="E43" s="2" t="str">
        <f>HYPERLINK("Z:\Thesis\Prompt\1OSPF\router29.png","Prompt42")</f>
        <v>Prompt42</v>
      </c>
      <c r="F43" s="1" t="s">
        <v>65</v>
      </c>
    </row>
    <row r="44" spans="1:8" s="3" customFormat="1" x14ac:dyDescent="0.25">
      <c r="A44" s="3" t="s">
        <v>62</v>
      </c>
      <c r="B44" s="3" t="s">
        <v>51</v>
      </c>
      <c r="C44" s="8">
        <v>1</v>
      </c>
      <c r="D44" s="3" t="s">
        <v>47</v>
      </c>
      <c r="E44" s="4" t="str">
        <f>HYPERLINK("Z:\Thesis\Prompt\1OSPF\router30.png","Prompt43")</f>
        <v>Prompt43</v>
      </c>
      <c r="F44" s="3" t="s">
        <v>65</v>
      </c>
    </row>
    <row r="45" spans="1:8" s="3" customFormat="1" x14ac:dyDescent="0.25">
      <c r="A45" s="3" t="s">
        <v>62</v>
      </c>
      <c r="B45" s="3" t="s">
        <v>51</v>
      </c>
      <c r="C45" s="8">
        <v>1</v>
      </c>
      <c r="D45" s="3" t="s">
        <v>47</v>
      </c>
      <c r="E45" s="4" t="str">
        <f>HYPERLINK("Z:\Thesis\Prompt\1OSPF\router31.png","Prompt44")</f>
        <v>Prompt44</v>
      </c>
      <c r="F45" s="3" t="s">
        <v>65</v>
      </c>
    </row>
    <row r="46" spans="1:8" s="3" customFormat="1" x14ac:dyDescent="0.25">
      <c r="A46" s="3" t="s">
        <v>62</v>
      </c>
      <c r="B46" s="3" t="s">
        <v>51</v>
      </c>
      <c r="C46" s="8">
        <v>1</v>
      </c>
      <c r="D46" s="3" t="s">
        <v>47</v>
      </c>
      <c r="E46" s="4" t="str">
        <f>HYPERLINK("Z:\Thesis\Prompt\1OSPF\router32.png","Prompt45")</f>
        <v>Prompt45</v>
      </c>
      <c r="F46" s="3" t="s">
        <v>65</v>
      </c>
    </row>
    <row r="47" spans="1:8" s="1" customFormat="1" x14ac:dyDescent="0.25">
      <c r="A47" s="1" t="s">
        <v>62</v>
      </c>
      <c r="B47" s="1" t="s">
        <v>51</v>
      </c>
      <c r="C47" s="7">
        <v>2</v>
      </c>
      <c r="D47" s="1" t="s">
        <v>6</v>
      </c>
      <c r="E47" s="2" t="str">
        <f>HYPERLINK("Z:\Thesis\Prompt\2OSPF\router40.png","Prompt46")</f>
        <v>Prompt46</v>
      </c>
      <c r="F47" s="1" t="s">
        <v>64</v>
      </c>
      <c r="G47" s="1" t="s">
        <v>65</v>
      </c>
    </row>
    <row r="48" spans="1:8" s="1" customFormat="1" ht="14.25" customHeight="1" x14ac:dyDescent="0.25">
      <c r="A48" s="1" t="s">
        <v>62</v>
      </c>
      <c r="B48" s="1" t="s">
        <v>51</v>
      </c>
      <c r="C48" s="7">
        <v>2</v>
      </c>
      <c r="D48" s="1" t="s">
        <v>6</v>
      </c>
      <c r="E48" s="2" t="str">
        <f>HYPERLINK("Z:\Thesis\Prompt\2OSPF\router41.png","Prompt47")</f>
        <v>Prompt47</v>
      </c>
      <c r="F48" s="1" t="s">
        <v>64</v>
      </c>
      <c r="G48" s="1" t="s">
        <v>65</v>
      </c>
    </row>
    <row r="49" spans="1:8" s="5" customFormat="1" x14ac:dyDescent="0.25">
      <c r="A49" s="5" t="s">
        <v>62</v>
      </c>
      <c r="B49" s="5" t="s">
        <v>51</v>
      </c>
      <c r="C49" s="10">
        <v>2</v>
      </c>
      <c r="D49" s="5" t="s">
        <v>46</v>
      </c>
      <c r="E49" s="6" t="str">
        <f>HYPERLINK("Z:\Thesis\Prompt\2OSPF\router42.png","Prompt48")</f>
        <v>Prompt48</v>
      </c>
      <c r="F49" s="5" t="s">
        <v>64</v>
      </c>
      <c r="G49" s="5" t="s">
        <v>65</v>
      </c>
    </row>
    <row r="50" spans="1:8" s="5" customFormat="1" x14ac:dyDescent="0.25">
      <c r="A50" s="5" t="s">
        <v>62</v>
      </c>
      <c r="B50" s="5" t="s">
        <v>51</v>
      </c>
      <c r="C50" s="10">
        <v>2</v>
      </c>
      <c r="D50" s="5" t="s">
        <v>46</v>
      </c>
      <c r="E50" s="6" t="str">
        <f>HYPERLINK("Z:\Thesis\Prompt\2OSPF\router43.png","Prompt49")</f>
        <v>Prompt49</v>
      </c>
      <c r="F50" s="5" t="s">
        <v>64</v>
      </c>
      <c r="G50" s="5" t="s">
        <v>64</v>
      </c>
    </row>
    <row r="51" spans="1:8" s="1" customFormat="1" x14ac:dyDescent="0.25">
      <c r="A51" s="1" t="s">
        <v>62</v>
      </c>
      <c r="B51" s="1" t="s">
        <v>51</v>
      </c>
      <c r="C51" s="7">
        <v>2</v>
      </c>
      <c r="D51" s="1" t="s">
        <v>6</v>
      </c>
      <c r="E51" s="2" t="str">
        <f>HYPERLINK("Z:\Thesis\Prompt\2OSPF\router44.png","Prompt50")</f>
        <v>Prompt50</v>
      </c>
      <c r="F51" s="1" t="s">
        <v>64</v>
      </c>
      <c r="G51" s="1" t="s">
        <v>65</v>
      </c>
    </row>
    <row r="52" spans="1:8" s="1" customFormat="1" x14ac:dyDescent="0.25">
      <c r="A52" s="1" t="s">
        <v>62</v>
      </c>
      <c r="B52" s="1" t="s">
        <v>51</v>
      </c>
      <c r="C52" s="7">
        <v>3</v>
      </c>
      <c r="D52" s="1" t="s">
        <v>6</v>
      </c>
      <c r="E52" s="2" t="str">
        <f>HYPERLINK("Z:\Thesis\Prompt\3OSPF\router46.png","Prompt51")</f>
        <v>Prompt51</v>
      </c>
      <c r="F52" s="1" t="s">
        <v>65</v>
      </c>
      <c r="G52" s="1" t="s">
        <v>65</v>
      </c>
      <c r="H52" s="1" t="s">
        <v>65</v>
      </c>
    </row>
    <row r="53" spans="1:8" s="5" customFormat="1" x14ac:dyDescent="0.25">
      <c r="A53" s="5" t="s">
        <v>62</v>
      </c>
      <c r="B53" s="5" t="s">
        <v>51</v>
      </c>
      <c r="C53" s="10">
        <v>3</v>
      </c>
      <c r="D53" s="5" t="s">
        <v>66</v>
      </c>
      <c r="E53" s="6" t="str">
        <f>HYPERLINK("Z:\Thesis\Prompt\3OSPF\router47.png","Prompt52")</f>
        <v>Prompt52</v>
      </c>
      <c r="F53" s="5" t="s">
        <v>65</v>
      </c>
      <c r="G53" s="5" t="s">
        <v>63</v>
      </c>
      <c r="H53" s="5" t="s">
        <v>65</v>
      </c>
    </row>
    <row r="54" spans="1:8" s="5" customFormat="1" x14ac:dyDescent="0.25">
      <c r="A54" s="5" t="s">
        <v>62</v>
      </c>
      <c r="B54" s="5" t="s">
        <v>51</v>
      </c>
      <c r="C54" s="10">
        <v>3</v>
      </c>
      <c r="D54" s="5" t="s">
        <v>66</v>
      </c>
      <c r="E54" s="6" t="str">
        <f>HYPERLINK("Z:\Thesis\Prompt\3OSPF\router48.png","Prompt53")</f>
        <v>Prompt53</v>
      </c>
      <c r="F54" s="5" t="s">
        <v>65</v>
      </c>
      <c r="G54" s="5" t="s">
        <v>64</v>
      </c>
      <c r="H54" s="5" t="s">
        <v>65</v>
      </c>
    </row>
    <row r="55" spans="1:8" s="3" customFormat="1" x14ac:dyDescent="0.25">
      <c r="A55" s="3" t="s">
        <v>62</v>
      </c>
      <c r="B55" s="3" t="s">
        <v>51</v>
      </c>
      <c r="C55" s="8">
        <v>3</v>
      </c>
      <c r="D55" s="3" t="s">
        <v>47</v>
      </c>
      <c r="E55" s="4" t="str">
        <f>HYPERLINK("Z:\Thesis\Prompt\3OSPF\router49.png","Prompt54")</f>
        <v>Prompt54</v>
      </c>
      <c r="F55" s="3" t="s">
        <v>65</v>
      </c>
      <c r="G55" s="3" t="s">
        <v>65</v>
      </c>
      <c r="H55" s="3" t="s">
        <v>65</v>
      </c>
    </row>
    <row r="56" spans="1:8" s="5" customFormat="1" x14ac:dyDescent="0.25">
      <c r="A56" s="5" t="s">
        <v>62</v>
      </c>
      <c r="B56" s="5" t="s">
        <v>51</v>
      </c>
      <c r="C56" s="10">
        <v>3</v>
      </c>
      <c r="D56" s="5" t="s">
        <v>46</v>
      </c>
      <c r="E56" s="6" t="str">
        <f>HYPERLINK("Z:\Thesis\Prompt\3OSPF\router50.png","Prompt55")</f>
        <v>Prompt55</v>
      </c>
      <c r="F56" s="5" t="s">
        <v>64</v>
      </c>
      <c r="G56" s="5" t="s">
        <v>65</v>
      </c>
      <c r="H56" s="5" t="s">
        <v>63</v>
      </c>
    </row>
    <row r="57" spans="1:8" s="1" customFormat="1" x14ac:dyDescent="0.25">
      <c r="A57" s="1" t="s">
        <v>62</v>
      </c>
      <c r="B57" s="1" t="s">
        <v>51</v>
      </c>
      <c r="C57" s="7" t="s">
        <v>48</v>
      </c>
      <c r="D57" s="1" t="s">
        <v>6</v>
      </c>
      <c r="E57" s="2" t="str">
        <f>HYPERLINK("Z:\Thesis\Prompt\OSPFMistype\router34.png","Prompt56")</f>
        <v>Prompt56</v>
      </c>
    </row>
    <row r="58" spans="1:8" s="3" customFormat="1" x14ac:dyDescent="0.25">
      <c r="A58" s="3" t="s">
        <v>62</v>
      </c>
      <c r="B58" s="3" t="s">
        <v>51</v>
      </c>
      <c r="C58" s="8" t="s">
        <v>48</v>
      </c>
      <c r="D58" s="3" t="s">
        <v>47</v>
      </c>
      <c r="E58" s="4" t="str">
        <f>HYPERLINK("Z:\Thesis\Prompt\OSPFMistype\router35.png","Prompt57")</f>
        <v>Prompt57</v>
      </c>
    </row>
    <row r="59" spans="1:8" s="1" customFormat="1" x14ac:dyDescent="0.25">
      <c r="A59" s="1" t="s">
        <v>62</v>
      </c>
      <c r="B59" s="1" t="s">
        <v>51</v>
      </c>
      <c r="C59" s="7" t="s">
        <v>48</v>
      </c>
      <c r="D59" s="1" t="s">
        <v>6</v>
      </c>
      <c r="E59" s="2" t="str">
        <f>HYPERLINK("Z:\Thesis\Prompt\OSPFMistype\router36.png","Prompt58")</f>
        <v>Prompt58</v>
      </c>
    </row>
    <row r="60" spans="1:8" s="1" customFormat="1" x14ac:dyDescent="0.25">
      <c r="A60" s="1" t="s">
        <v>62</v>
      </c>
      <c r="B60" s="1" t="s">
        <v>51</v>
      </c>
      <c r="C60" s="7" t="s">
        <v>48</v>
      </c>
      <c r="D60" s="1" t="s">
        <v>6</v>
      </c>
      <c r="E60" s="2" t="str">
        <f>HYPERLINK("Z:\Thesis\Prompt\OSPFMistype\router37.png","Prompt59")</f>
        <v>Prompt59</v>
      </c>
    </row>
    <row r="61" spans="1:8" s="1" customFormat="1" x14ac:dyDescent="0.25">
      <c r="A61" s="1" t="s">
        <v>62</v>
      </c>
      <c r="B61" s="1" t="s">
        <v>51</v>
      </c>
      <c r="C61" s="7" t="s">
        <v>48</v>
      </c>
      <c r="D61" s="1" t="s">
        <v>6</v>
      </c>
      <c r="E61" s="2" t="str">
        <f>HYPERLINK("Z:\Thesis\Prompt\OSPFMistype\router38.png","Prompt60")</f>
        <v>Prompt60</v>
      </c>
    </row>
    <row r="62" spans="1:8" s="3" customFormat="1" x14ac:dyDescent="0.25">
      <c r="A62" s="3" t="s">
        <v>67</v>
      </c>
      <c r="B62" s="3" t="s">
        <v>51</v>
      </c>
      <c r="C62" s="8">
        <v>1</v>
      </c>
      <c r="D62" s="3" t="s">
        <v>47</v>
      </c>
      <c r="E62" s="4" t="str">
        <f>HYPERLINK("Z:\Thesis\Prompt\1RIP\router52.png","Prompt61")</f>
        <v>Prompt61</v>
      </c>
      <c r="F62" s="3" t="s">
        <v>69</v>
      </c>
    </row>
    <row r="63" spans="1:8" s="3" customFormat="1" x14ac:dyDescent="0.25">
      <c r="A63" s="3" t="s">
        <v>67</v>
      </c>
      <c r="B63" s="3" t="s">
        <v>51</v>
      </c>
      <c r="C63" s="8">
        <v>1</v>
      </c>
      <c r="D63" s="3" t="s">
        <v>47</v>
      </c>
      <c r="E63" s="4" t="str">
        <f>HYPERLINK("Z:\Thesis\Prompt\1RIP\router53.png","Prompt62")</f>
        <v>Prompt62</v>
      </c>
      <c r="F63" s="3" t="s">
        <v>70</v>
      </c>
    </row>
    <row r="64" spans="1:8" s="3" customFormat="1" x14ac:dyDescent="0.25">
      <c r="A64" s="3" t="s">
        <v>67</v>
      </c>
      <c r="B64" s="3" t="s">
        <v>51</v>
      </c>
      <c r="C64" s="8">
        <v>1</v>
      </c>
      <c r="D64" s="3" t="s">
        <v>47</v>
      </c>
      <c r="E64" s="4" t="str">
        <f>HYPERLINK("Z:\Thesis\Prompt\1RIP\router54.png","Prompt63")</f>
        <v>Prompt63</v>
      </c>
      <c r="F64" s="3" t="s">
        <v>68</v>
      </c>
    </row>
    <row r="65" spans="1:8" s="3" customFormat="1" x14ac:dyDescent="0.25">
      <c r="A65" s="3" t="s">
        <v>67</v>
      </c>
      <c r="B65" s="3" t="s">
        <v>51</v>
      </c>
      <c r="C65" s="8">
        <v>1</v>
      </c>
      <c r="D65" s="3" t="s">
        <v>47</v>
      </c>
      <c r="E65" s="4" t="str">
        <f>HYPERLINK("Z:\Thesis\Prompt\1RIP\router55.png","Prompt64")</f>
        <v>Prompt64</v>
      </c>
      <c r="F65" s="3" t="s">
        <v>71</v>
      </c>
    </row>
    <row r="66" spans="1:8" s="3" customFormat="1" x14ac:dyDescent="0.25">
      <c r="A66" s="3" t="s">
        <v>67</v>
      </c>
      <c r="B66" s="3" t="s">
        <v>51</v>
      </c>
      <c r="C66" s="8">
        <v>1</v>
      </c>
      <c r="D66" s="3" t="s">
        <v>47</v>
      </c>
      <c r="E66" s="4" t="str">
        <f>HYPERLINK("Z:\Thesis\Prompt\1RIP\router56.png","Prompt65")</f>
        <v>Prompt65</v>
      </c>
      <c r="F66" s="3" t="s">
        <v>73</v>
      </c>
    </row>
    <row r="67" spans="1:8" s="3" customFormat="1" x14ac:dyDescent="0.25">
      <c r="A67" s="3" t="s">
        <v>67</v>
      </c>
      <c r="B67" s="3" t="s">
        <v>51</v>
      </c>
      <c r="C67" s="8">
        <v>2</v>
      </c>
      <c r="D67" s="3" t="s">
        <v>47</v>
      </c>
      <c r="E67" s="4" t="str">
        <f>HYPERLINK("Z:\Thesis\Prompt\1RIP\router58.png","Prompt66")</f>
        <v>Prompt66</v>
      </c>
      <c r="F67" s="3" t="s">
        <v>60</v>
      </c>
      <c r="G67" s="3" t="s">
        <v>69</v>
      </c>
    </row>
    <row r="68" spans="1:8" s="5" customFormat="1" x14ac:dyDescent="0.25">
      <c r="A68" s="5" t="s">
        <v>67</v>
      </c>
      <c r="B68" s="5" t="s">
        <v>51</v>
      </c>
      <c r="C68" s="10">
        <v>2</v>
      </c>
      <c r="D68" s="5" t="s">
        <v>46</v>
      </c>
      <c r="E68" s="6" t="str">
        <f>HYPERLINK("Z:\Thesis\Prompt\1RIP\router59.png","Prompt67")</f>
        <v>Prompt67</v>
      </c>
      <c r="F68" s="5" t="s">
        <v>71</v>
      </c>
      <c r="G68" s="5" t="s">
        <v>70</v>
      </c>
    </row>
    <row r="69" spans="1:8" s="3" customFormat="1" x14ac:dyDescent="0.25">
      <c r="A69" s="3" t="s">
        <v>67</v>
      </c>
      <c r="B69" s="3" t="s">
        <v>51</v>
      </c>
      <c r="C69" s="8">
        <v>2</v>
      </c>
      <c r="D69" s="3" t="s">
        <v>47</v>
      </c>
      <c r="E69" s="4" t="str">
        <f>HYPERLINK("Z:\Thesis\Prompt\2RIP\router60.png","Prompt68")</f>
        <v>Prompt68</v>
      </c>
      <c r="F69" s="3" t="s">
        <v>68</v>
      </c>
      <c r="G69" s="3" t="s">
        <v>61</v>
      </c>
    </row>
    <row r="70" spans="1:8" s="5" customFormat="1" x14ac:dyDescent="0.25">
      <c r="A70" s="5" t="s">
        <v>67</v>
      </c>
      <c r="B70" s="5" t="s">
        <v>51</v>
      </c>
      <c r="C70" s="10">
        <v>2</v>
      </c>
      <c r="D70" s="5" t="s">
        <v>46</v>
      </c>
      <c r="E70" s="6" t="str">
        <f>HYPERLINK("Z:\Thesis\Prompt\2RIP\router61.png","Prompt69")</f>
        <v>Prompt69</v>
      </c>
      <c r="F70" s="5" t="s">
        <v>75</v>
      </c>
      <c r="G70" s="5" t="s">
        <v>58</v>
      </c>
    </row>
    <row r="71" spans="1:8" s="3" customFormat="1" x14ac:dyDescent="0.25">
      <c r="A71" s="3" t="s">
        <v>67</v>
      </c>
      <c r="B71" s="3" t="s">
        <v>51</v>
      </c>
      <c r="C71" s="8">
        <v>2</v>
      </c>
      <c r="D71" s="3" t="s">
        <v>47</v>
      </c>
      <c r="E71" s="4" t="str">
        <f>HYPERLINK("Z:\Thesis\Prompt\2RIP\router62.png","Prompt70")</f>
        <v>Prompt70</v>
      </c>
      <c r="F71" s="3" t="s">
        <v>61</v>
      </c>
      <c r="G71" s="3" t="s">
        <v>56</v>
      </c>
    </row>
    <row r="72" spans="1:8" s="5" customFormat="1" x14ac:dyDescent="0.25">
      <c r="A72" s="5" t="s">
        <v>67</v>
      </c>
      <c r="B72" s="5" t="s">
        <v>51</v>
      </c>
      <c r="C72" s="10">
        <v>3</v>
      </c>
      <c r="D72" s="5" t="s">
        <v>46</v>
      </c>
      <c r="E72" s="6" t="str">
        <f>HYPERLINK("Z:\Thesis\Prompt\3RIP\router62.png","Prompt71")</f>
        <v>Prompt71</v>
      </c>
      <c r="F72" s="5" t="s">
        <v>56</v>
      </c>
      <c r="G72" s="5" t="s">
        <v>60</v>
      </c>
      <c r="H72" s="5" t="s">
        <v>73</v>
      </c>
    </row>
    <row r="73" spans="1:8" s="3" customFormat="1" x14ac:dyDescent="0.25">
      <c r="A73" s="3" t="s">
        <v>67</v>
      </c>
      <c r="B73" s="3" t="s">
        <v>51</v>
      </c>
      <c r="C73" s="8">
        <v>3</v>
      </c>
      <c r="D73" s="3" t="s">
        <v>47</v>
      </c>
      <c r="E73" s="4" t="str">
        <f>HYPERLINK("Z:\Thesis\Prompt\3RIP\router63.png","Prompt72")</f>
        <v>Prompt72</v>
      </c>
      <c r="F73" s="3" t="s">
        <v>73</v>
      </c>
      <c r="G73" s="3" t="s">
        <v>70</v>
      </c>
      <c r="H73" s="3" t="s">
        <v>72</v>
      </c>
    </row>
    <row r="74" spans="1:8" s="3" customFormat="1" x14ac:dyDescent="0.25">
      <c r="A74" s="3" t="s">
        <v>67</v>
      </c>
      <c r="B74" s="3" t="s">
        <v>51</v>
      </c>
      <c r="C74" s="8">
        <v>3</v>
      </c>
      <c r="D74" s="3" t="s">
        <v>47</v>
      </c>
      <c r="E74" s="4" t="str">
        <f>HYPERLINK("Z:\Thesis\Prompt\3RIP\router64.png","Prompt73")</f>
        <v>Prompt73</v>
      </c>
      <c r="F74" s="3" t="s">
        <v>72</v>
      </c>
      <c r="G74" s="3" t="s">
        <v>73</v>
      </c>
      <c r="H74" s="3" t="s">
        <v>68</v>
      </c>
    </row>
    <row r="75" spans="1:8" s="3" customFormat="1" x14ac:dyDescent="0.25">
      <c r="A75" s="3" t="s">
        <v>67</v>
      </c>
      <c r="B75" s="3" t="s">
        <v>51</v>
      </c>
      <c r="C75" s="8">
        <v>3</v>
      </c>
      <c r="D75" s="3" t="s">
        <v>47</v>
      </c>
      <c r="E75" s="4" t="str">
        <f>HYPERLINK("Z:\Thesis\Prompt\3RIP\router65.png","Prompt74")</f>
        <v>Prompt74</v>
      </c>
      <c r="F75" s="3" t="s">
        <v>61</v>
      </c>
      <c r="G75" s="3" t="s">
        <v>68</v>
      </c>
      <c r="H75" s="3" t="s">
        <v>72</v>
      </c>
    </row>
    <row r="76" spans="1:8" s="3" customFormat="1" x14ac:dyDescent="0.25">
      <c r="A76" s="3" t="s">
        <v>67</v>
      </c>
      <c r="B76" s="3" t="s">
        <v>51</v>
      </c>
      <c r="C76" s="8">
        <v>3</v>
      </c>
      <c r="D76" s="3" t="s">
        <v>47</v>
      </c>
      <c r="E76" s="4" t="str">
        <f>HYPERLINK("Z:\Thesis\Prompt\3RIP\router66.png","Prompt75")</f>
        <v>Prompt75</v>
      </c>
      <c r="F76" s="3" t="s">
        <v>70</v>
      </c>
      <c r="G76" s="3" t="s">
        <v>72</v>
      </c>
      <c r="H76" s="3" t="s">
        <v>56</v>
      </c>
    </row>
    <row r="77" spans="1:8" s="1" customFormat="1" x14ac:dyDescent="0.25">
      <c r="A77" s="1" t="s">
        <v>67</v>
      </c>
      <c r="B77" s="1" t="s">
        <v>51</v>
      </c>
      <c r="C77" s="7" t="s">
        <v>48</v>
      </c>
      <c r="D77" s="1" t="s">
        <v>6</v>
      </c>
      <c r="E77" s="2" t="str">
        <f>HYPERLINK("Z:\Thesis\Prompt\RIPMistype\router52.png","Prompt76")</f>
        <v>Prompt76</v>
      </c>
    </row>
    <row r="78" spans="1:8" s="1" customFormat="1" x14ac:dyDescent="0.25">
      <c r="A78" s="1" t="s">
        <v>67</v>
      </c>
      <c r="B78" s="1" t="s">
        <v>51</v>
      </c>
      <c r="C78" s="7" t="s">
        <v>48</v>
      </c>
      <c r="D78" s="1" t="s">
        <v>6</v>
      </c>
      <c r="E78" s="2" t="str">
        <f>HYPERLINK("Z:\Thesis\Prompt\RIPMistype\router53.png","Prompt77")</f>
        <v>Prompt77</v>
      </c>
    </row>
    <row r="79" spans="1:8" s="1" customFormat="1" x14ac:dyDescent="0.25">
      <c r="A79" s="1" t="s">
        <v>67</v>
      </c>
      <c r="B79" s="1" t="s">
        <v>51</v>
      </c>
      <c r="C79" s="7" t="s">
        <v>48</v>
      </c>
      <c r="D79" s="1" t="s">
        <v>6</v>
      </c>
      <c r="E79" s="2" t="str">
        <f>HYPERLINK("Z:\Thesis\Prompt\RIPMistype\router54.png","Prompt78")</f>
        <v>Prompt78</v>
      </c>
    </row>
    <row r="80" spans="1:8" s="1" customFormat="1" x14ac:dyDescent="0.25">
      <c r="A80" s="1" t="s">
        <v>67</v>
      </c>
      <c r="B80" s="1" t="s">
        <v>51</v>
      </c>
      <c r="C80" s="7" t="s">
        <v>48</v>
      </c>
      <c r="D80" s="1" t="s">
        <v>6</v>
      </c>
      <c r="E80" s="2" t="str">
        <f>HYPERLINK("Z:\Thesis\Prompt\RIPMistype\router55.png","Prompt79")</f>
        <v>Prompt79</v>
      </c>
    </row>
    <row r="81" spans="1:5" s="3" customFormat="1" x14ac:dyDescent="0.25">
      <c r="A81" s="3" t="s">
        <v>67</v>
      </c>
      <c r="B81" s="3" t="s">
        <v>51</v>
      </c>
      <c r="C81" s="8" t="s">
        <v>48</v>
      </c>
      <c r="D81" s="3" t="s">
        <v>47</v>
      </c>
      <c r="E81" s="4" t="str">
        <f>HYPERLINK("Z:\Thesis\Prompt\RIPMistype\router56.png","Prompt80")</f>
        <v>Prompt80</v>
      </c>
    </row>
    <row r="83" spans="1:5" x14ac:dyDescent="0.25">
      <c r="C83" s="12" t="s">
        <v>93</v>
      </c>
      <c r="D83" s="12" t="s">
        <v>94</v>
      </c>
      <c r="E83" s="14" t="s">
        <v>96</v>
      </c>
    </row>
    <row r="84" spans="1:5" x14ac:dyDescent="0.25">
      <c r="A84" s="11" t="s">
        <v>7</v>
      </c>
      <c r="B84" s="11">
        <v>120</v>
      </c>
      <c r="C84" s="11">
        <v>34</v>
      </c>
      <c r="D84" s="11">
        <v>86</v>
      </c>
      <c r="E84" s="13">
        <f>C84/B84</f>
        <v>0.28333333333333333</v>
      </c>
    </row>
    <row r="85" spans="1:5" x14ac:dyDescent="0.25">
      <c r="A85" s="11" t="s">
        <v>95</v>
      </c>
      <c r="B85" s="11">
        <v>20</v>
      </c>
      <c r="C85" s="11">
        <v>15</v>
      </c>
      <c r="D85" s="11">
        <v>5</v>
      </c>
      <c r="E85" s="13">
        <f>C85/B85</f>
        <v>0.75</v>
      </c>
    </row>
    <row r="86" spans="1:5" x14ac:dyDescent="0.25">
      <c r="A86" s="11"/>
      <c r="B86" s="11"/>
      <c r="C86" s="11"/>
      <c r="D86" s="11"/>
    </row>
  </sheetData>
  <dataValidations count="3">
    <dataValidation type="list" allowBlank="1" showInputMessage="1" showErrorMessage="1" sqref="A1:A83 A86:A1048576" xr:uid="{960B71D9-6483-4016-80B8-B49529829EEE}">
      <formula1>"AAA, EIGRP, VLAN, OSPF, RIP"</formula1>
    </dataValidation>
    <dataValidation type="list" allowBlank="1" showInputMessage="1" showErrorMessage="1" sqref="C86:C1048576 C1:C82" xr:uid="{C6ABE5CC-E54D-4270-B42B-0010339E196E}">
      <formula1>"1, 2, 3, Mistype"</formula1>
    </dataValidation>
    <dataValidation type="list" allowBlank="1" showInputMessage="1" showErrorMessage="1" sqref="D86:D1048576 D1:D82" xr:uid="{3EFC7604-AA39-474F-B024-363A9AA03EDF}">
      <formula1>"Yes, No, 1 Error, 2 Error"</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DE6B36CA-B517-4950-A7EA-663BE7A09879}">
          <x14:formula1>
            <xm:f>Errors!$A$1:$A$40</xm:f>
          </x14:formula1>
          <xm:sqref>G91:H1048576 F1:F21 G1:H26 F86:F1048576 F82</xm:sqref>
        </x14:dataValidation>
        <x14:dataValidation type="list" allowBlank="1" showInputMessage="1" showErrorMessage="1" xr:uid="{1B17148A-BA29-4A38-BA67-B6DE9DBCB8C7}">
          <x14:formula1>
            <xm:f>Errors!$H$1:$H$40</xm:f>
          </x14:formula1>
          <xm:sqref>F22:F40 G27:H41 G82:H83 G86:H90</xm:sqref>
        </x14:dataValidation>
        <x14:dataValidation type="list" allowBlank="1" showInputMessage="1" showErrorMessage="1" xr:uid="{1E3369BC-A38B-4C62-81FE-F049E5CB7247}">
          <x14:formula1>
            <xm:f>Errors!$M$1:$M$40</xm:f>
          </x14:formula1>
          <xm:sqref>F42:H61</xm:sqref>
        </x14:dataValidation>
        <x14:dataValidation type="list" allowBlank="1" showInputMessage="1" showErrorMessage="1" xr:uid="{8BC3FD27-E796-4DA2-B444-3969DDF01CE9}">
          <x14:formula1>
            <xm:f>Errors!$R$1:$R$40</xm:f>
          </x14:formula1>
          <xm:sqref>F62:H81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B0BFB-3F43-4298-9582-F5223F20D3AC}">
  <dimension ref="A1:I85"/>
  <sheetViews>
    <sheetView tabSelected="1" topLeftCell="A40" workbookViewId="0">
      <selection activeCell="D88" sqref="D88"/>
    </sheetView>
  </sheetViews>
  <sheetFormatPr defaultRowHeight="15" x14ac:dyDescent="0.25"/>
  <cols>
    <col min="2" max="2" width="44" customWidth="1"/>
    <col min="3" max="3" width="19.140625" customWidth="1"/>
    <col min="4" max="4" width="16.85546875" customWidth="1"/>
    <col min="5" max="5" width="18" customWidth="1"/>
    <col min="6" max="6" width="29.85546875" customWidth="1"/>
    <col min="7" max="7" width="33.7109375" customWidth="1"/>
    <col min="8" max="8" width="39.140625" customWidth="1"/>
  </cols>
  <sheetData>
    <row r="1" spans="1:9" x14ac:dyDescent="0.25">
      <c r="A1" t="s">
        <v>0</v>
      </c>
      <c r="B1" t="s">
        <v>1</v>
      </c>
      <c r="C1" s="9" t="s">
        <v>7</v>
      </c>
      <c r="D1" t="s">
        <v>2</v>
      </c>
      <c r="E1" t="s">
        <v>3</v>
      </c>
      <c r="F1" t="s">
        <v>43</v>
      </c>
      <c r="G1" t="s">
        <v>44</v>
      </c>
      <c r="H1" t="s">
        <v>45</v>
      </c>
      <c r="I1" t="s">
        <v>49</v>
      </c>
    </row>
    <row r="2" spans="1:9" s="1" customFormat="1" x14ac:dyDescent="0.25">
      <c r="A2" s="1" t="s">
        <v>4</v>
      </c>
      <c r="B2" s="1" t="s">
        <v>97</v>
      </c>
      <c r="C2" s="7">
        <v>1</v>
      </c>
      <c r="D2" s="1" t="s">
        <v>6</v>
      </c>
      <c r="E2" s="2" t="str">
        <f>HYPERLINK("Z:\Thesis\PromptMid\1AAA\router1.png","Prompt1")</f>
        <v>Prompt1</v>
      </c>
      <c r="F2" s="1" t="s">
        <v>29</v>
      </c>
    </row>
    <row r="3" spans="1:9" s="1" customFormat="1" x14ac:dyDescent="0.25">
      <c r="A3" s="1" t="s">
        <v>4</v>
      </c>
      <c r="B3" s="1" t="s">
        <v>97</v>
      </c>
      <c r="C3" s="7">
        <v>1</v>
      </c>
      <c r="D3" s="1" t="s">
        <v>6</v>
      </c>
      <c r="E3" s="2" t="str">
        <f>HYPERLINK("Z:\Thesis\PromptMid\1AAA\router2.png","Prompt2")</f>
        <v>Prompt2</v>
      </c>
      <c r="F3" s="1" t="s">
        <v>29</v>
      </c>
    </row>
    <row r="4" spans="1:9" s="1" customFormat="1" x14ac:dyDescent="0.25">
      <c r="A4" s="1" t="s">
        <v>4</v>
      </c>
      <c r="B4" s="1" t="s">
        <v>97</v>
      </c>
      <c r="C4" s="7">
        <v>1</v>
      </c>
      <c r="D4" s="1" t="s">
        <v>6</v>
      </c>
      <c r="E4" s="2" t="str">
        <f>HYPERLINK("Z:\Thesis\PromptMid\1AAA\router3.png","Prompt3")</f>
        <v>Prompt3</v>
      </c>
      <c r="F4" s="1" t="s">
        <v>28</v>
      </c>
    </row>
    <row r="5" spans="1:9" s="1" customFormat="1" x14ac:dyDescent="0.25">
      <c r="A5" s="1" t="s">
        <v>4</v>
      </c>
      <c r="B5" s="1" t="s">
        <v>97</v>
      </c>
      <c r="C5" s="7">
        <v>1</v>
      </c>
      <c r="D5" s="1" t="s">
        <v>6</v>
      </c>
      <c r="E5" s="2" t="str">
        <f>HYPERLINK("Z:\Thesis\PromptMid\1AAA\router4.png","Prompt4")</f>
        <v>Prompt4</v>
      </c>
      <c r="F5" s="1" t="s">
        <v>15</v>
      </c>
    </row>
    <row r="6" spans="1:9" s="3" customFormat="1" x14ac:dyDescent="0.25">
      <c r="A6" s="3" t="s">
        <v>4</v>
      </c>
      <c r="B6" s="3" t="s">
        <v>97</v>
      </c>
      <c r="C6" s="8">
        <v>1</v>
      </c>
      <c r="D6" s="3" t="s">
        <v>47</v>
      </c>
      <c r="E6" s="4" t="str">
        <f>HYPERLINK("Z:\Thesis\PromptMid\1AAA\router5.png","Prompt5")</f>
        <v>Prompt5</v>
      </c>
      <c r="F6" s="3" t="s">
        <v>23</v>
      </c>
    </row>
    <row r="7" spans="1:9" s="5" customFormat="1" x14ac:dyDescent="0.25">
      <c r="A7" s="5" t="s">
        <v>4</v>
      </c>
      <c r="B7" s="5" t="s">
        <v>97</v>
      </c>
      <c r="C7" s="10">
        <v>2</v>
      </c>
      <c r="D7" s="5" t="s">
        <v>46</v>
      </c>
      <c r="E7" s="6" t="str">
        <f>HYPERLINK("Z:\Thesis\PromptMid\2AAA\router6.png","Prompt6")</f>
        <v>Prompt6</v>
      </c>
      <c r="F7" s="5" t="s">
        <v>23</v>
      </c>
      <c r="G7" s="5" t="s">
        <v>29</v>
      </c>
    </row>
    <row r="8" spans="1:9" s="5" customFormat="1" x14ac:dyDescent="0.25">
      <c r="A8" s="5" t="s">
        <v>4</v>
      </c>
      <c r="B8" s="5" t="s">
        <v>97</v>
      </c>
      <c r="C8" s="10">
        <v>2</v>
      </c>
      <c r="D8" s="5" t="s">
        <v>46</v>
      </c>
      <c r="E8" s="6" t="str">
        <f>HYPERLINK("Z:\Thesis\PromptMid\2AAA\router7.png","Prompt7")</f>
        <v>Prompt7</v>
      </c>
      <c r="F8" s="5" t="s">
        <v>15</v>
      </c>
      <c r="G8" s="5" t="s">
        <v>18</v>
      </c>
    </row>
    <row r="9" spans="1:9" s="3" customFormat="1" x14ac:dyDescent="0.25">
      <c r="A9" s="3" t="s">
        <v>4</v>
      </c>
      <c r="B9" s="3" t="s">
        <v>97</v>
      </c>
      <c r="C9" s="8">
        <v>2</v>
      </c>
      <c r="D9" s="3" t="s">
        <v>47</v>
      </c>
      <c r="E9" s="4" t="str">
        <f>HYPERLINK("Z:\Thesis\PromptMid\2AAA\router8.png","Prompt8")</f>
        <v>Prompt8</v>
      </c>
      <c r="F9" s="3" t="s">
        <v>18</v>
      </c>
      <c r="G9" s="3" t="s">
        <v>16</v>
      </c>
    </row>
    <row r="10" spans="1:9" s="3" customFormat="1" x14ac:dyDescent="0.25">
      <c r="A10" s="3" t="s">
        <v>4</v>
      </c>
      <c r="B10" s="3" t="s">
        <v>97</v>
      </c>
      <c r="C10" s="8">
        <v>2</v>
      </c>
      <c r="D10" s="3" t="s">
        <v>47</v>
      </c>
      <c r="E10" s="4" t="str">
        <f>HYPERLINK("Z:\Thesis\PromptMid\2AAA\router9.png","Prompt9")</f>
        <v>Prompt9</v>
      </c>
      <c r="F10" s="3" t="s">
        <v>23</v>
      </c>
      <c r="G10" s="3" t="s">
        <v>20</v>
      </c>
    </row>
    <row r="11" spans="1:9" s="5" customFormat="1" x14ac:dyDescent="0.25">
      <c r="A11" s="5" t="s">
        <v>4</v>
      </c>
      <c r="B11" s="5" t="s">
        <v>97</v>
      </c>
      <c r="C11" s="10">
        <v>2</v>
      </c>
      <c r="D11" s="5" t="s">
        <v>46</v>
      </c>
      <c r="E11" s="6" t="str">
        <f>HYPERLINK("Z:\Thesis\PromptMid\2AAA\router10.png","Prompt10")</f>
        <v>Prompt10</v>
      </c>
      <c r="F11" s="5" t="s">
        <v>8</v>
      </c>
      <c r="G11" s="5" t="s">
        <v>16</v>
      </c>
    </row>
    <row r="12" spans="1:9" s="5" customFormat="1" x14ac:dyDescent="0.25">
      <c r="A12" s="5" t="s">
        <v>4</v>
      </c>
      <c r="B12" s="5" t="s">
        <v>97</v>
      </c>
      <c r="C12" s="10">
        <v>3</v>
      </c>
      <c r="D12" s="5" t="s">
        <v>46</v>
      </c>
      <c r="E12" s="6" t="str">
        <f>HYPERLINK("Z:\Thesis\PromptMid\3AAA\router11.png","Prompt11")</f>
        <v>Prompt11</v>
      </c>
      <c r="F12" s="5" t="s">
        <v>23</v>
      </c>
      <c r="G12" s="5" t="s">
        <v>17</v>
      </c>
      <c r="H12" s="5" t="s">
        <v>42</v>
      </c>
    </row>
    <row r="13" spans="1:9" s="3" customFormat="1" x14ac:dyDescent="0.25">
      <c r="A13" s="3" t="s">
        <v>4</v>
      </c>
      <c r="B13" s="3" t="s">
        <v>97</v>
      </c>
      <c r="C13" s="8">
        <v>3</v>
      </c>
      <c r="D13" s="3" t="s">
        <v>47</v>
      </c>
      <c r="E13" s="4" t="str">
        <f>HYPERLINK("Z:\Thesis\PromptMid\3AAA\router12.png","Prompt12")</f>
        <v>Prompt12</v>
      </c>
      <c r="F13" s="3" t="s">
        <v>22</v>
      </c>
      <c r="G13" s="3" t="s">
        <v>25</v>
      </c>
      <c r="H13" s="3" t="s">
        <v>18</v>
      </c>
    </row>
    <row r="14" spans="1:9" s="5" customFormat="1" x14ac:dyDescent="0.25">
      <c r="A14" s="5" t="s">
        <v>4</v>
      </c>
      <c r="B14" s="5" t="s">
        <v>97</v>
      </c>
      <c r="C14" s="10">
        <v>3</v>
      </c>
      <c r="D14" s="5" t="s">
        <v>66</v>
      </c>
      <c r="E14" s="6" t="str">
        <f>HYPERLINK("Z:\Thesis\PromptMid\3AAA\router13.png","Prompt13")</f>
        <v>Prompt13</v>
      </c>
      <c r="F14" s="5" t="s">
        <v>42</v>
      </c>
      <c r="G14" s="5" t="s">
        <v>18</v>
      </c>
      <c r="H14" s="5" t="s">
        <v>25</v>
      </c>
    </row>
    <row r="15" spans="1:9" s="3" customFormat="1" x14ac:dyDescent="0.25">
      <c r="A15" s="3" t="s">
        <v>4</v>
      </c>
      <c r="B15" s="3" t="s">
        <v>97</v>
      </c>
      <c r="C15" s="8">
        <v>3</v>
      </c>
      <c r="D15" s="3" t="s">
        <v>47</v>
      </c>
      <c r="E15" s="4" t="str">
        <f>HYPERLINK("Z:\Thesis\PromptMid\3AAA\router14.png","Prompt14")</f>
        <v>Prompt14</v>
      </c>
      <c r="F15" s="3" t="s">
        <v>9</v>
      </c>
      <c r="G15" s="3" t="s">
        <v>24</v>
      </c>
      <c r="H15" s="3" t="s">
        <v>25</v>
      </c>
    </row>
    <row r="16" spans="1:9" s="5" customFormat="1" x14ac:dyDescent="0.25">
      <c r="A16" s="5" t="s">
        <v>4</v>
      </c>
      <c r="B16" s="5" t="s">
        <v>97</v>
      </c>
      <c r="C16" s="10">
        <v>3</v>
      </c>
      <c r="D16" s="5" t="s">
        <v>46</v>
      </c>
      <c r="E16" s="6" t="str">
        <f>HYPERLINK("Z:\Thesis\PromptMid\3AAA\router15.png","Prompt15")</f>
        <v>Prompt15</v>
      </c>
      <c r="F16" s="5" t="s">
        <v>8</v>
      </c>
      <c r="G16" s="5" t="s">
        <v>15</v>
      </c>
      <c r="H16" s="5" t="s">
        <v>23</v>
      </c>
    </row>
    <row r="17" spans="1:9" s="1" customFormat="1" x14ac:dyDescent="0.25">
      <c r="A17" s="1" t="s">
        <v>4</v>
      </c>
      <c r="B17" s="1" t="s">
        <v>97</v>
      </c>
      <c r="C17" s="7" t="s">
        <v>48</v>
      </c>
      <c r="D17" s="1" t="s">
        <v>6</v>
      </c>
      <c r="E17" s="2" t="str">
        <f>HYPERLINK("Z:\Thesis\PromptMid\AAAMistype\router1.png","Prompt16")</f>
        <v>Prompt16</v>
      </c>
      <c r="F17" s="1" t="s">
        <v>10</v>
      </c>
      <c r="I17" s="1" t="s">
        <v>50</v>
      </c>
    </row>
    <row r="18" spans="1:9" s="3" customFormat="1" x14ac:dyDescent="0.25">
      <c r="A18" s="3" t="s">
        <v>4</v>
      </c>
      <c r="B18" s="3" t="s">
        <v>97</v>
      </c>
      <c r="C18" s="8" t="s">
        <v>48</v>
      </c>
      <c r="D18" s="3" t="s">
        <v>47</v>
      </c>
      <c r="E18" s="4" t="str">
        <f>HYPERLINK("Z:\Thesis\PromptMid\AAAMistype\router2.png","Prompt17")</f>
        <v>Prompt17</v>
      </c>
      <c r="F18" s="3" t="s">
        <v>8</v>
      </c>
      <c r="I18" s="3" t="s">
        <v>52</v>
      </c>
    </row>
    <row r="19" spans="1:9" s="1" customFormat="1" x14ac:dyDescent="0.25">
      <c r="A19" s="1" t="s">
        <v>4</v>
      </c>
      <c r="B19" s="1" t="s">
        <v>97</v>
      </c>
      <c r="C19" s="7" t="s">
        <v>48</v>
      </c>
      <c r="D19" s="1" t="s">
        <v>6</v>
      </c>
      <c r="E19" s="2" t="str">
        <f>HYPERLINK("Z:\Thesis\PromptMid\AAAMistype\router3.png","Prompt18")</f>
        <v>Prompt18</v>
      </c>
      <c r="F19" s="1" t="s">
        <v>21</v>
      </c>
      <c r="I19" s="1" t="s">
        <v>53</v>
      </c>
    </row>
    <row r="20" spans="1:9" s="1" customFormat="1" x14ac:dyDescent="0.25">
      <c r="A20" s="1" t="s">
        <v>4</v>
      </c>
      <c r="B20" s="1" t="s">
        <v>97</v>
      </c>
      <c r="C20" s="7" t="s">
        <v>48</v>
      </c>
      <c r="D20" s="1" t="s">
        <v>6</v>
      </c>
      <c r="E20" s="2" t="str">
        <f>HYPERLINK("Z:\Thesis\PromptMid\AAAMistype\router4.png","Prompt19")</f>
        <v>Prompt19</v>
      </c>
      <c r="F20" s="1" t="s">
        <v>21</v>
      </c>
      <c r="I20" s="1" t="s">
        <v>53</v>
      </c>
    </row>
    <row r="21" spans="1:9" s="1" customFormat="1" x14ac:dyDescent="0.25">
      <c r="A21" s="1" t="s">
        <v>4</v>
      </c>
      <c r="B21" s="1" t="s">
        <v>97</v>
      </c>
      <c r="C21" s="7" t="s">
        <v>48</v>
      </c>
      <c r="D21" s="1" t="s">
        <v>6</v>
      </c>
      <c r="E21" s="2" t="str">
        <f>HYPERLINK("Z:\Thesis\PromptMid\AAAMistype\router5.png","Prompt20")</f>
        <v>Prompt20</v>
      </c>
      <c r="F21" s="1" t="s">
        <v>25</v>
      </c>
      <c r="I21" s="1" t="s">
        <v>54</v>
      </c>
    </row>
    <row r="22" spans="1:9" s="3" customFormat="1" x14ac:dyDescent="0.25">
      <c r="A22" s="3" t="s">
        <v>55</v>
      </c>
      <c r="B22" s="3" t="s">
        <v>97</v>
      </c>
      <c r="C22" s="8">
        <v>1</v>
      </c>
      <c r="D22" s="3" t="s">
        <v>47</v>
      </c>
      <c r="E22" s="4" t="str">
        <f>HYPERLINK("Z:\Thesis\PromptMid\1EIGRP\router16.png","Prompt21")</f>
        <v>Prompt21</v>
      </c>
      <c r="F22" s="3" t="s">
        <v>88</v>
      </c>
    </row>
    <row r="23" spans="1:9" s="3" customFormat="1" x14ac:dyDescent="0.25">
      <c r="A23" s="3" t="s">
        <v>55</v>
      </c>
      <c r="B23" s="3" t="s">
        <v>97</v>
      </c>
      <c r="C23" s="8">
        <v>1</v>
      </c>
      <c r="D23" s="3" t="s">
        <v>47</v>
      </c>
      <c r="E23" s="4" t="str">
        <f>HYPERLINK("Z:\Thesis\PromptMid\1EIGRP\router17.png","Prompt22")</f>
        <v>Prompt22</v>
      </c>
      <c r="F23" s="3" t="s">
        <v>87</v>
      </c>
    </row>
    <row r="24" spans="1:9" s="3" customFormat="1" x14ac:dyDescent="0.25">
      <c r="A24" s="3" t="s">
        <v>55</v>
      </c>
      <c r="B24" s="3" t="s">
        <v>97</v>
      </c>
      <c r="C24" s="8">
        <v>1</v>
      </c>
      <c r="D24" s="3" t="s">
        <v>47</v>
      </c>
      <c r="E24" s="4" t="str">
        <f>HYPERLINK("Z:\Thesis\PromptMid\1EIGRP\router18.png","Prompt23")</f>
        <v>Prompt23</v>
      </c>
      <c r="F24" s="3" t="s">
        <v>86</v>
      </c>
    </row>
    <row r="25" spans="1:9" s="3" customFormat="1" x14ac:dyDescent="0.25">
      <c r="A25" s="3" t="s">
        <v>55</v>
      </c>
      <c r="B25" s="3" t="s">
        <v>97</v>
      </c>
      <c r="C25" s="8">
        <v>1</v>
      </c>
      <c r="D25" s="3" t="s">
        <v>47</v>
      </c>
      <c r="E25" s="4" t="str">
        <f>HYPERLINK("Z:\Thesis\PromptMid\1EIGRP\router19.png","Prompt24")</f>
        <v>Prompt24</v>
      </c>
      <c r="F25" s="3" t="s">
        <v>89</v>
      </c>
    </row>
    <row r="26" spans="1:9" s="1" customFormat="1" x14ac:dyDescent="0.25">
      <c r="A26" s="1" t="s">
        <v>55</v>
      </c>
      <c r="B26" s="1" t="s">
        <v>97</v>
      </c>
      <c r="C26" s="7">
        <v>1</v>
      </c>
      <c r="D26" s="1" t="s">
        <v>6</v>
      </c>
      <c r="E26" s="2" t="str">
        <f>HYPERLINK("Z:\Thesis\PromptMid\1EIGRP\router20.png","Prompt25")</f>
        <v>Prompt25</v>
      </c>
      <c r="F26" s="1" t="s">
        <v>89</v>
      </c>
    </row>
    <row r="27" spans="1:9" s="3" customFormat="1" x14ac:dyDescent="0.25">
      <c r="A27" s="3" t="s">
        <v>55</v>
      </c>
      <c r="B27" s="3" t="s">
        <v>97</v>
      </c>
      <c r="C27" s="8">
        <v>2</v>
      </c>
      <c r="D27" s="3" t="s">
        <v>47</v>
      </c>
      <c r="E27" s="15" t="str">
        <f>HYPERLINK("Z:\Thesis\PromptMid\2EIGRP\router22.png","Prompt26")</f>
        <v>Prompt26</v>
      </c>
      <c r="F27" s="3" t="s">
        <v>90</v>
      </c>
      <c r="G27" s="3" t="s">
        <v>89</v>
      </c>
    </row>
    <row r="28" spans="1:9" s="5" customFormat="1" x14ac:dyDescent="0.25">
      <c r="A28" s="5" t="s">
        <v>55</v>
      </c>
      <c r="B28" s="5" t="s">
        <v>97</v>
      </c>
      <c r="C28" s="10">
        <v>2</v>
      </c>
      <c r="D28" s="5" t="s">
        <v>46</v>
      </c>
      <c r="E28" s="6" t="str">
        <f>HYPERLINK("Z:\Thesis\PromptMid\2EIGRP\router23.png","Prompt27")</f>
        <v>Prompt27</v>
      </c>
      <c r="F28" s="5" t="s">
        <v>89</v>
      </c>
      <c r="G28" s="5" t="s">
        <v>88</v>
      </c>
    </row>
    <row r="29" spans="1:9" s="3" customFormat="1" x14ac:dyDescent="0.25">
      <c r="A29" s="3" t="s">
        <v>55</v>
      </c>
      <c r="B29" s="3" t="s">
        <v>97</v>
      </c>
      <c r="C29" s="8">
        <v>2</v>
      </c>
      <c r="D29" s="3" t="s">
        <v>47</v>
      </c>
      <c r="E29" s="4" t="str">
        <f>HYPERLINK("Z:\Thesis\PromptMid\2EIGRP\router24.png","Prompt28")</f>
        <v>Prompt28</v>
      </c>
      <c r="F29" s="3" t="s">
        <v>90</v>
      </c>
      <c r="G29" s="3" t="s">
        <v>89</v>
      </c>
    </row>
    <row r="30" spans="1:9" s="5" customFormat="1" x14ac:dyDescent="0.25">
      <c r="A30" s="5" t="s">
        <v>55</v>
      </c>
      <c r="B30" s="5" t="s">
        <v>97</v>
      </c>
      <c r="C30" s="10">
        <v>2</v>
      </c>
      <c r="D30" s="5" t="s">
        <v>46</v>
      </c>
      <c r="E30" s="6" t="str">
        <f>HYPERLINK("Z:\Thesis\PromptMid\2EIGRP\router25.png","Prompt29")</f>
        <v>Prompt29</v>
      </c>
      <c r="F30" s="5" t="s">
        <v>89</v>
      </c>
      <c r="G30" s="5" t="s">
        <v>85</v>
      </c>
    </row>
    <row r="31" spans="1:9" s="5" customFormat="1" x14ac:dyDescent="0.25">
      <c r="A31" s="5" t="s">
        <v>55</v>
      </c>
      <c r="B31" s="5" t="s">
        <v>97</v>
      </c>
      <c r="C31" s="10">
        <v>2</v>
      </c>
      <c r="D31" s="5" t="s">
        <v>46</v>
      </c>
      <c r="E31" s="6" t="str">
        <f>HYPERLINK("Z:\Thesis\PromptMid\2EIGRP\router26.png","Prompt30")</f>
        <v>Prompt30</v>
      </c>
      <c r="F31" s="5" t="s">
        <v>86</v>
      </c>
      <c r="G31" s="5" t="s">
        <v>90</v>
      </c>
    </row>
    <row r="32" spans="1:9" s="5" customFormat="1" x14ac:dyDescent="0.25">
      <c r="A32" s="5" t="s">
        <v>55</v>
      </c>
      <c r="B32" s="5" t="s">
        <v>97</v>
      </c>
      <c r="C32" s="10">
        <v>3</v>
      </c>
      <c r="D32" s="5" t="s">
        <v>66</v>
      </c>
      <c r="E32" s="6" t="str">
        <f>HYPERLINK("Z:\Thesis\PromptMid\3EIGRP\router28.png","Prompt31")</f>
        <v>Prompt31</v>
      </c>
      <c r="F32" s="5" t="s">
        <v>85</v>
      </c>
      <c r="G32" s="5" t="s">
        <v>86</v>
      </c>
      <c r="H32" s="5" t="s">
        <v>90</v>
      </c>
    </row>
    <row r="33" spans="1:8" s="3" customFormat="1" x14ac:dyDescent="0.25">
      <c r="A33" s="3" t="s">
        <v>55</v>
      </c>
      <c r="B33" s="3" t="s">
        <v>97</v>
      </c>
      <c r="C33" s="8">
        <v>3</v>
      </c>
      <c r="D33" s="3" t="s">
        <v>47</v>
      </c>
      <c r="E33" s="4" t="str">
        <f>HYPERLINK("Z:\Thesis\PromptMid\3EIGRP\router29.png","Prompt32")</f>
        <v>Prompt32</v>
      </c>
      <c r="F33" s="3" t="s">
        <v>78</v>
      </c>
      <c r="G33" s="3" t="s">
        <v>85</v>
      </c>
      <c r="H33" s="3" t="s">
        <v>90</v>
      </c>
    </row>
    <row r="34" spans="1:8" s="5" customFormat="1" x14ac:dyDescent="0.25">
      <c r="A34" s="5" t="s">
        <v>55</v>
      </c>
      <c r="B34" s="5" t="s">
        <v>97</v>
      </c>
      <c r="C34" s="10">
        <v>3</v>
      </c>
      <c r="D34" s="5" t="s">
        <v>46</v>
      </c>
      <c r="E34" s="6" t="str">
        <f>HYPERLINK("Z:\Thesis\PromptMid\3EIGRP\router30.png","Prompt33")</f>
        <v>Prompt33</v>
      </c>
      <c r="F34" s="5" t="s">
        <v>89</v>
      </c>
      <c r="G34" s="5" t="s">
        <v>88</v>
      </c>
      <c r="H34" s="5" t="s">
        <v>85</v>
      </c>
    </row>
    <row r="35" spans="1:8" s="5" customFormat="1" x14ac:dyDescent="0.25">
      <c r="A35" s="5" t="s">
        <v>55</v>
      </c>
      <c r="B35" s="5" t="s">
        <v>97</v>
      </c>
      <c r="C35" s="10">
        <v>3</v>
      </c>
      <c r="D35" s="5" t="s">
        <v>66</v>
      </c>
      <c r="E35" s="6" t="str">
        <f>HYPERLINK("Z:\Thesis\PromptMid\3EIGRP\router31.png","Prompt34")</f>
        <v>Prompt34</v>
      </c>
      <c r="F35" s="5" t="s">
        <v>88</v>
      </c>
      <c r="G35" s="5" t="s">
        <v>90</v>
      </c>
      <c r="H35" s="5" t="s">
        <v>89</v>
      </c>
    </row>
    <row r="36" spans="1:8" s="5" customFormat="1" x14ac:dyDescent="0.25">
      <c r="A36" s="5" t="s">
        <v>55</v>
      </c>
      <c r="B36" s="5" t="s">
        <v>97</v>
      </c>
      <c r="C36" s="10">
        <v>3</v>
      </c>
      <c r="D36" s="5" t="s">
        <v>46</v>
      </c>
      <c r="E36" s="6" t="str">
        <f>HYPERLINK("Z:\Thesis\PromptMidt\3EIGRP\router32.png","Prompt35")</f>
        <v>Prompt35</v>
      </c>
      <c r="F36" s="5" t="s">
        <v>78</v>
      </c>
      <c r="G36" s="5" t="s">
        <v>89</v>
      </c>
      <c r="H36" s="5" t="s">
        <v>90</v>
      </c>
    </row>
    <row r="37" spans="1:8" s="1" customFormat="1" x14ac:dyDescent="0.25">
      <c r="A37" s="1" t="s">
        <v>55</v>
      </c>
      <c r="B37" s="1" t="s">
        <v>97</v>
      </c>
      <c r="C37" s="7" t="s">
        <v>48</v>
      </c>
      <c r="D37" s="1" t="s">
        <v>6</v>
      </c>
      <c r="E37" s="2" t="str">
        <f>HYPERLINK("Z:\Thesis\PromptMid\EIGRPMistype\router16.png","Prompt36")</f>
        <v>Prompt36</v>
      </c>
    </row>
    <row r="38" spans="1:8" s="1" customFormat="1" x14ac:dyDescent="0.25">
      <c r="A38" s="1" t="s">
        <v>55</v>
      </c>
      <c r="B38" s="1" t="s">
        <v>97</v>
      </c>
      <c r="C38" s="7" t="s">
        <v>48</v>
      </c>
      <c r="D38" s="1" t="s">
        <v>6</v>
      </c>
      <c r="E38" s="2" t="str">
        <f>HYPERLINK("Z:\Thesis\PromptMid\EIGRPMistype\router17.png","Prompt37")</f>
        <v>Prompt37</v>
      </c>
    </row>
    <row r="39" spans="1:8" s="1" customFormat="1" x14ac:dyDescent="0.25">
      <c r="A39" s="1" t="s">
        <v>55</v>
      </c>
      <c r="B39" s="1" t="s">
        <v>97</v>
      </c>
      <c r="C39" s="7" t="s">
        <v>48</v>
      </c>
      <c r="D39" s="1" t="s">
        <v>6</v>
      </c>
      <c r="E39" s="2" t="str">
        <f>HYPERLINK("Z:\Thesis\PromptMid\EIGRPMistype\router18.png","Prompt38")</f>
        <v>Prompt38</v>
      </c>
    </row>
    <row r="40" spans="1:8" s="1" customFormat="1" x14ac:dyDescent="0.25">
      <c r="A40" s="1" t="s">
        <v>55</v>
      </c>
      <c r="B40" s="1" t="s">
        <v>97</v>
      </c>
      <c r="C40" s="7" t="s">
        <v>48</v>
      </c>
      <c r="D40" s="1" t="s">
        <v>6</v>
      </c>
      <c r="E40" s="2" t="str">
        <f>HYPERLINK("Z:\Thesis\PromptMid\EIGRPMistype\router19.png","Prompt39")</f>
        <v>Prompt39</v>
      </c>
    </row>
    <row r="41" spans="1:8" s="1" customFormat="1" x14ac:dyDescent="0.25">
      <c r="A41" s="1" t="s">
        <v>55</v>
      </c>
      <c r="B41" s="1" t="s">
        <v>97</v>
      </c>
      <c r="C41" s="7" t="s">
        <v>48</v>
      </c>
      <c r="D41" s="1" t="s">
        <v>6</v>
      </c>
      <c r="E41" s="2" t="str">
        <f>HYPERLINK("Z:\Thesis\PromptMid\EIGRPMistype\router20.png","Prompt40")</f>
        <v>Prompt40</v>
      </c>
    </row>
    <row r="42" spans="1:8" s="3" customFormat="1" x14ac:dyDescent="0.25">
      <c r="A42" s="3" t="s">
        <v>62</v>
      </c>
      <c r="B42" s="3" t="s">
        <v>97</v>
      </c>
      <c r="C42" s="8">
        <v>1</v>
      </c>
      <c r="D42" s="3" t="s">
        <v>47</v>
      </c>
      <c r="E42" s="4" t="str">
        <f>HYPERLINK("Z:\Thesis\PromptMid\1OSPF\router28.png","Prompt41")</f>
        <v>Prompt41</v>
      </c>
      <c r="F42" s="3" t="s">
        <v>64</v>
      </c>
    </row>
    <row r="43" spans="1:8" s="3" customFormat="1" x14ac:dyDescent="0.25">
      <c r="A43" s="3" t="s">
        <v>62</v>
      </c>
      <c r="B43" s="3" t="s">
        <v>97</v>
      </c>
      <c r="C43" s="8">
        <v>1</v>
      </c>
      <c r="D43" s="3" t="s">
        <v>47</v>
      </c>
      <c r="E43" s="4" t="str">
        <f>HYPERLINK("Z:\Thesis\PromptMid\1OSPF\router29.png","Prompt42")</f>
        <v>Prompt42</v>
      </c>
      <c r="F43" s="3" t="s">
        <v>65</v>
      </c>
    </row>
    <row r="44" spans="1:8" s="1" customFormat="1" x14ac:dyDescent="0.25">
      <c r="A44" s="1" t="s">
        <v>62</v>
      </c>
      <c r="B44" s="1" t="s">
        <v>97</v>
      </c>
      <c r="C44" s="7">
        <v>1</v>
      </c>
      <c r="D44" s="1" t="s">
        <v>6</v>
      </c>
      <c r="E44" s="2" t="str">
        <f>HYPERLINK("Z:\Thesis\PromptMid\1OSPF\router30.png","Prompt43")</f>
        <v>Prompt43</v>
      </c>
      <c r="F44" s="1" t="s">
        <v>65</v>
      </c>
    </row>
    <row r="45" spans="1:8" s="3" customFormat="1" x14ac:dyDescent="0.25">
      <c r="A45" s="3" t="s">
        <v>62</v>
      </c>
      <c r="B45" s="3" t="s">
        <v>97</v>
      </c>
      <c r="C45" s="8">
        <v>1</v>
      </c>
      <c r="D45" s="3" t="s">
        <v>47</v>
      </c>
      <c r="E45" s="4" t="str">
        <f>HYPERLINK("Z:\Thesis\PromptMid\1OSPF\router31.png","Prompt44")</f>
        <v>Prompt44</v>
      </c>
      <c r="F45" s="3" t="s">
        <v>65</v>
      </c>
    </row>
    <row r="46" spans="1:8" s="3" customFormat="1" x14ac:dyDescent="0.25">
      <c r="A46" s="3" t="s">
        <v>62</v>
      </c>
      <c r="B46" s="3" t="s">
        <v>97</v>
      </c>
      <c r="C46" s="8">
        <v>1</v>
      </c>
      <c r="D46" s="3" t="s">
        <v>47</v>
      </c>
      <c r="E46" s="4" t="str">
        <f>HYPERLINK("Z:\Thesis\PromptMid\1OSPF\router32.png","Prompt45")</f>
        <v>Prompt45</v>
      </c>
      <c r="F46" s="3" t="s">
        <v>65</v>
      </c>
    </row>
    <row r="47" spans="1:8" s="1" customFormat="1" x14ac:dyDescent="0.25">
      <c r="A47" s="1" t="s">
        <v>62</v>
      </c>
      <c r="B47" s="1" t="s">
        <v>97</v>
      </c>
      <c r="C47" s="7">
        <v>2</v>
      </c>
      <c r="D47" s="1" t="s">
        <v>6</v>
      </c>
      <c r="E47" s="2" t="str">
        <f>HYPERLINK("Z:\Thesis\PromptMid\2OSPF\router40.png","Prompt46")</f>
        <v>Prompt46</v>
      </c>
      <c r="F47" s="1" t="s">
        <v>64</v>
      </c>
      <c r="G47" s="1" t="s">
        <v>65</v>
      </c>
    </row>
    <row r="48" spans="1:8" s="5" customFormat="1" x14ac:dyDescent="0.25">
      <c r="A48" s="5" t="s">
        <v>62</v>
      </c>
      <c r="B48" s="5" t="s">
        <v>97</v>
      </c>
      <c r="C48" s="10">
        <v>2</v>
      </c>
      <c r="D48" s="5" t="s">
        <v>46</v>
      </c>
      <c r="E48" s="6" t="str">
        <f>HYPERLINK("Z:\Thesis\PromptMid\2OSPF\router41.png","Prompt47")</f>
        <v>Prompt47</v>
      </c>
      <c r="F48" s="5" t="s">
        <v>64</v>
      </c>
      <c r="G48" s="5" t="s">
        <v>65</v>
      </c>
    </row>
    <row r="49" spans="1:8" s="1" customFormat="1" x14ac:dyDescent="0.25">
      <c r="A49" s="1" t="s">
        <v>62</v>
      </c>
      <c r="B49" s="1" t="s">
        <v>97</v>
      </c>
      <c r="C49" s="7">
        <v>2</v>
      </c>
      <c r="D49" s="1" t="s">
        <v>6</v>
      </c>
      <c r="E49" s="2" t="str">
        <f>HYPERLINK("Z:\Thesis\PromptMid\2OSPF\router42.png","Prompt48")</f>
        <v>Prompt48</v>
      </c>
      <c r="F49" s="1" t="s">
        <v>64</v>
      </c>
      <c r="G49" s="1" t="s">
        <v>65</v>
      </c>
    </row>
    <row r="50" spans="1:8" s="3" customFormat="1" x14ac:dyDescent="0.25">
      <c r="A50" s="3" t="s">
        <v>62</v>
      </c>
      <c r="B50" s="3" t="s">
        <v>97</v>
      </c>
      <c r="C50" s="8">
        <v>2</v>
      </c>
      <c r="D50" s="3" t="s">
        <v>47</v>
      </c>
      <c r="E50" s="4" t="str">
        <f>HYPERLINK("Z:\Thesis\PromptMid\2OSPF\router43.png","Prompt49")</f>
        <v>Prompt49</v>
      </c>
      <c r="F50" s="3" t="s">
        <v>64</v>
      </c>
      <c r="G50" s="3" t="s">
        <v>64</v>
      </c>
    </row>
    <row r="51" spans="1:8" s="5" customFormat="1" x14ac:dyDescent="0.25">
      <c r="A51" s="5" t="s">
        <v>62</v>
      </c>
      <c r="B51" s="5" t="s">
        <v>97</v>
      </c>
      <c r="C51" s="10">
        <v>2</v>
      </c>
      <c r="D51" s="5" t="s">
        <v>46</v>
      </c>
      <c r="E51" s="6" t="str">
        <f>HYPERLINK("Z:\Thesis\PromptMidt\2OSPF\router44.png","Prompt50")</f>
        <v>Prompt50</v>
      </c>
      <c r="F51" s="5" t="s">
        <v>64</v>
      </c>
      <c r="G51" s="5" t="s">
        <v>65</v>
      </c>
    </row>
    <row r="52" spans="1:8" s="1" customFormat="1" x14ac:dyDescent="0.25">
      <c r="A52" s="1" t="s">
        <v>62</v>
      </c>
      <c r="B52" s="1" t="s">
        <v>97</v>
      </c>
      <c r="C52" s="7">
        <v>3</v>
      </c>
      <c r="D52" s="1" t="s">
        <v>6</v>
      </c>
      <c r="E52" s="2" t="str">
        <f>HYPERLINK("Z:\Thesis\PromptMid\3OSPF\router46.png","Prompt51")</f>
        <v>Prompt51</v>
      </c>
      <c r="F52" s="1" t="s">
        <v>65</v>
      </c>
      <c r="G52" s="1" t="s">
        <v>65</v>
      </c>
      <c r="H52" s="1" t="s">
        <v>65</v>
      </c>
    </row>
    <row r="53" spans="1:8" s="3" customFormat="1" x14ac:dyDescent="0.25">
      <c r="A53" s="3" t="s">
        <v>62</v>
      </c>
      <c r="B53" s="3" t="s">
        <v>97</v>
      </c>
      <c r="C53" s="8">
        <v>3</v>
      </c>
      <c r="D53" s="3" t="s">
        <v>47</v>
      </c>
      <c r="E53" s="4" t="str">
        <f>HYPERLINK("Z:\Thesis\PromptMid\3OSPF\router47.png","Prompt52")</f>
        <v>Prompt52</v>
      </c>
      <c r="F53" s="3" t="s">
        <v>65</v>
      </c>
      <c r="G53" s="3" t="s">
        <v>63</v>
      </c>
      <c r="H53" s="3" t="s">
        <v>65</v>
      </c>
    </row>
    <row r="54" spans="1:8" s="5" customFormat="1" x14ac:dyDescent="0.25">
      <c r="A54" s="5" t="s">
        <v>62</v>
      </c>
      <c r="B54" s="5" t="s">
        <v>97</v>
      </c>
      <c r="C54" s="10">
        <v>3</v>
      </c>
      <c r="D54" s="5" t="s">
        <v>66</v>
      </c>
      <c r="E54" s="6" t="str">
        <f>HYPERLINK("Z:\Thesis\PromptMid\3OSPF\router48.png","Prompt53")</f>
        <v>Prompt53</v>
      </c>
      <c r="F54" s="5" t="s">
        <v>65</v>
      </c>
      <c r="G54" s="5" t="s">
        <v>64</v>
      </c>
      <c r="H54" s="5" t="s">
        <v>65</v>
      </c>
    </row>
    <row r="55" spans="1:8" s="5" customFormat="1" x14ac:dyDescent="0.25">
      <c r="A55" s="5" t="s">
        <v>62</v>
      </c>
      <c r="B55" s="5" t="s">
        <v>97</v>
      </c>
      <c r="C55" s="10">
        <v>3</v>
      </c>
      <c r="D55" s="5" t="s">
        <v>66</v>
      </c>
      <c r="E55" s="6" t="str">
        <f>HYPERLINK("Z:\Thesis\PromptMid\3OSPF\router49.png","Prompt54")</f>
        <v>Prompt54</v>
      </c>
      <c r="F55" s="5" t="s">
        <v>65</v>
      </c>
      <c r="G55" s="5" t="s">
        <v>65</v>
      </c>
      <c r="H55" s="5" t="s">
        <v>65</v>
      </c>
    </row>
    <row r="56" spans="1:8" s="5" customFormat="1" x14ac:dyDescent="0.25">
      <c r="A56" s="5" t="s">
        <v>62</v>
      </c>
      <c r="B56" s="5" t="s">
        <v>97</v>
      </c>
      <c r="C56" s="10">
        <v>3</v>
      </c>
      <c r="D56" s="5" t="s">
        <v>46</v>
      </c>
      <c r="E56" s="6" t="str">
        <f>HYPERLINK("Z:\Thesis\PromptMid\3OSPF\router50.png","Prompt55")</f>
        <v>Prompt55</v>
      </c>
      <c r="F56" s="5" t="s">
        <v>64</v>
      </c>
      <c r="G56" s="5" t="s">
        <v>65</v>
      </c>
      <c r="H56" s="5" t="s">
        <v>63</v>
      </c>
    </row>
    <row r="57" spans="1:8" s="1" customFormat="1" x14ac:dyDescent="0.25">
      <c r="A57" s="1" t="s">
        <v>62</v>
      </c>
      <c r="B57" s="1" t="s">
        <v>97</v>
      </c>
      <c r="C57" s="7" t="s">
        <v>48</v>
      </c>
      <c r="D57" s="1" t="s">
        <v>6</v>
      </c>
      <c r="E57" s="2" t="str">
        <f>HYPERLINK("Z:\Thesis\PromptMid\OSPFMistype\router34.png","Prompt56")</f>
        <v>Prompt56</v>
      </c>
    </row>
    <row r="58" spans="1:8" s="1" customFormat="1" x14ac:dyDescent="0.25">
      <c r="A58" s="1" t="s">
        <v>62</v>
      </c>
      <c r="B58" s="1" t="s">
        <v>97</v>
      </c>
      <c r="C58" s="7" t="s">
        <v>48</v>
      </c>
      <c r="D58" s="1" t="s">
        <v>6</v>
      </c>
      <c r="E58" s="2" t="str">
        <f>HYPERLINK("Z:\Thesis\PromptMid\OSPFMistype\router35.png","Prompt57")</f>
        <v>Prompt57</v>
      </c>
    </row>
    <row r="59" spans="1:8" s="1" customFormat="1" x14ac:dyDescent="0.25">
      <c r="A59" s="1" t="s">
        <v>62</v>
      </c>
      <c r="B59" s="1" t="s">
        <v>97</v>
      </c>
      <c r="C59" s="7" t="s">
        <v>48</v>
      </c>
      <c r="D59" s="1" t="s">
        <v>6</v>
      </c>
      <c r="E59" s="2" t="str">
        <f>HYPERLINK("Z:\Thesis\PromptMid\OSPFMistype\router36.png","Prompt58")</f>
        <v>Prompt58</v>
      </c>
    </row>
    <row r="60" spans="1:8" s="1" customFormat="1" x14ac:dyDescent="0.25">
      <c r="A60" s="1" t="s">
        <v>62</v>
      </c>
      <c r="B60" s="1" t="s">
        <v>97</v>
      </c>
      <c r="C60" s="7" t="s">
        <v>48</v>
      </c>
      <c r="D60" s="1" t="s">
        <v>6</v>
      </c>
      <c r="E60" s="2" t="str">
        <f>HYPERLINK("Z:\Thesis\PromptMid\OSPFMistype\router37.png","Prompt59")</f>
        <v>Prompt59</v>
      </c>
    </row>
    <row r="61" spans="1:8" s="3" customFormat="1" x14ac:dyDescent="0.25">
      <c r="A61" s="3" t="s">
        <v>62</v>
      </c>
      <c r="B61" s="3" t="s">
        <v>97</v>
      </c>
      <c r="C61" s="8" t="s">
        <v>48</v>
      </c>
      <c r="D61" s="3" t="s">
        <v>47</v>
      </c>
      <c r="E61" s="4" t="str">
        <f>HYPERLINK("Z:\Thesis\PromptMid\OSPFMistype\router38.png","Prompt60")</f>
        <v>Prompt60</v>
      </c>
    </row>
    <row r="62" spans="1:8" s="3" customFormat="1" x14ac:dyDescent="0.25">
      <c r="A62" s="3" t="s">
        <v>67</v>
      </c>
      <c r="B62" s="3" t="s">
        <v>97</v>
      </c>
      <c r="C62" s="8">
        <v>1</v>
      </c>
      <c r="D62" s="3" t="s">
        <v>47</v>
      </c>
      <c r="E62" s="4" t="str">
        <f>HYPERLINK("Z:\Thesis\PromptMid\1RIP\router52.png","Prompt61")</f>
        <v>Prompt61</v>
      </c>
      <c r="F62" s="3" t="s">
        <v>69</v>
      </c>
    </row>
    <row r="63" spans="1:8" s="3" customFormat="1" x14ac:dyDescent="0.25">
      <c r="A63" s="3" t="s">
        <v>67</v>
      </c>
      <c r="B63" s="3" t="s">
        <v>97</v>
      </c>
      <c r="C63" s="8">
        <v>1</v>
      </c>
      <c r="D63" s="3" t="s">
        <v>47</v>
      </c>
      <c r="E63" s="4" t="str">
        <f>HYPERLINK("Z:\Thesis\PromptMid\1RIP\router53.png","Prompt62")</f>
        <v>Prompt62</v>
      </c>
      <c r="F63" s="3" t="s">
        <v>70</v>
      </c>
    </row>
    <row r="64" spans="1:8" s="3" customFormat="1" x14ac:dyDescent="0.25">
      <c r="A64" s="3" t="s">
        <v>67</v>
      </c>
      <c r="B64" s="3" t="s">
        <v>97</v>
      </c>
      <c r="C64" s="8">
        <v>1</v>
      </c>
      <c r="D64" s="3" t="s">
        <v>47</v>
      </c>
      <c r="E64" s="4" t="str">
        <f>HYPERLINK("Z:\Thesis\PromptMid\1RIP\router54.png","Prompt63")</f>
        <v>Prompt63</v>
      </c>
      <c r="F64" s="3" t="s">
        <v>68</v>
      </c>
    </row>
    <row r="65" spans="1:8" s="1" customFormat="1" x14ac:dyDescent="0.25">
      <c r="A65" s="1" t="s">
        <v>67</v>
      </c>
      <c r="B65" s="1" t="s">
        <v>97</v>
      </c>
      <c r="C65" s="7">
        <v>1</v>
      </c>
      <c r="D65" s="1" t="s">
        <v>6</v>
      </c>
      <c r="E65" s="2" t="str">
        <f>HYPERLINK("Z:\Thesis\PromptMid\1RIP\router55.png","Prompt64")</f>
        <v>Prompt64</v>
      </c>
      <c r="F65" s="1" t="s">
        <v>71</v>
      </c>
    </row>
    <row r="66" spans="1:8" s="3" customFormat="1" x14ac:dyDescent="0.25">
      <c r="A66" s="3" t="s">
        <v>67</v>
      </c>
      <c r="B66" s="3" t="s">
        <v>97</v>
      </c>
      <c r="C66" s="8">
        <v>1</v>
      </c>
      <c r="D66" s="3" t="s">
        <v>47</v>
      </c>
      <c r="E66" s="4" t="str">
        <f>HYPERLINK("Z:\Thesis\PromptMid\1RIP\router56.png","Prompt65")</f>
        <v>Prompt65</v>
      </c>
      <c r="F66" s="3" t="s">
        <v>73</v>
      </c>
    </row>
    <row r="67" spans="1:8" s="3" customFormat="1" x14ac:dyDescent="0.25">
      <c r="A67" s="3" t="s">
        <v>67</v>
      </c>
      <c r="B67" s="3" t="s">
        <v>97</v>
      </c>
      <c r="C67" s="8">
        <v>2</v>
      </c>
      <c r="D67" s="3" t="s">
        <v>47</v>
      </c>
      <c r="E67" s="4" t="str">
        <f>HYPERLINK("Z:\Thesis\PromptMid\1RIP\router58.png","Prompt66")</f>
        <v>Prompt66</v>
      </c>
      <c r="F67" s="3" t="s">
        <v>60</v>
      </c>
      <c r="G67" s="3" t="s">
        <v>69</v>
      </c>
    </row>
    <row r="68" spans="1:8" s="1" customFormat="1" x14ac:dyDescent="0.25">
      <c r="A68" s="1" t="s">
        <v>67</v>
      </c>
      <c r="B68" s="1" t="s">
        <v>97</v>
      </c>
      <c r="C68" s="7">
        <v>2</v>
      </c>
      <c r="D68" s="1" t="s">
        <v>6</v>
      </c>
      <c r="E68" s="2" t="str">
        <f>HYPERLINK("Z:\Thesis\PromptMid\1RIP\router59.png","Prompt67")</f>
        <v>Prompt67</v>
      </c>
      <c r="F68" s="1" t="s">
        <v>71</v>
      </c>
      <c r="G68" s="1" t="s">
        <v>70</v>
      </c>
    </row>
    <row r="69" spans="1:8" s="3" customFormat="1" x14ac:dyDescent="0.25">
      <c r="A69" s="3" t="s">
        <v>67</v>
      </c>
      <c r="B69" s="3" t="s">
        <v>97</v>
      </c>
      <c r="C69" s="8">
        <v>2</v>
      </c>
      <c r="D69" s="3" t="s">
        <v>47</v>
      </c>
      <c r="E69" s="4" t="str">
        <f>HYPERLINK("Z:\Thesis\PromptMidt\2RIP\router60.png","Prompt68")</f>
        <v>Prompt68</v>
      </c>
      <c r="F69" s="3" t="s">
        <v>68</v>
      </c>
      <c r="G69" s="3" t="s">
        <v>61</v>
      </c>
    </row>
    <row r="70" spans="1:8" s="5" customFormat="1" x14ac:dyDescent="0.25">
      <c r="A70" s="5" t="s">
        <v>67</v>
      </c>
      <c r="B70" s="5" t="s">
        <v>97</v>
      </c>
      <c r="C70" s="10">
        <v>2</v>
      </c>
      <c r="D70" s="5" t="s">
        <v>46</v>
      </c>
      <c r="E70" s="6" t="str">
        <f>HYPERLINK("Z:\Thesis\PromptMid\2RIP\router61.png","Prompt69")</f>
        <v>Prompt69</v>
      </c>
      <c r="F70" s="5" t="s">
        <v>75</v>
      </c>
      <c r="G70" s="5" t="s">
        <v>58</v>
      </c>
    </row>
    <row r="71" spans="1:8" s="5" customFormat="1" x14ac:dyDescent="0.25">
      <c r="A71" s="5" t="s">
        <v>67</v>
      </c>
      <c r="B71" s="5" t="s">
        <v>97</v>
      </c>
      <c r="C71" s="10">
        <v>2</v>
      </c>
      <c r="D71" s="5" t="s">
        <v>46</v>
      </c>
      <c r="E71" s="6" t="str">
        <f>HYPERLINK("Z:\Thesis\PromptMid\2RIP\router62.png","Prompt70")</f>
        <v>Prompt70</v>
      </c>
      <c r="F71" s="5" t="s">
        <v>61</v>
      </c>
      <c r="G71" s="5" t="s">
        <v>56</v>
      </c>
    </row>
    <row r="72" spans="1:8" s="3" customFormat="1" x14ac:dyDescent="0.25">
      <c r="A72" s="3" t="s">
        <v>67</v>
      </c>
      <c r="B72" s="3" t="s">
        <v>97</v>
      </c>
      <c r="C72" s="8">
        <v>3</v>
      </c>
      <c r="D72" s="3" t="s">
        <v>47</v>
      </c>
      <c r="E72" s="4" t="str">
        <f>HYPERLINK("Z:\Thesis\PromptMid\3RIP\router62.png","Prompt71")</f>
        <v>Prompt71</v>
      </c>
      <c r="F72" s="3" t="s">
        <v>56</v>
      </c>
      <c r="G72" s="3" t="s">
        <v>60</v>
      </c>
      <c r="H72" s="3" t="s">
        <v>73</v>
      </c>
    </row>
    <row r="73" spans="1:8" s="3" customFormat="1" x14ac:dyDescent="0.25">
      <c r="A73" s="3" t="s">
        <v>67</v>
      </c>
      <c r="B73" s="3" t="s">
        <v>97</v>
      </c>
      <c r="C73" s="8">
        <v>3</v>
      </c>
      <c r="D73" s="3" t="s">
        <v>47</v>
      </c>
      <c r="E73" s="4" t="str">
        <f>HYPERLINK("Z:\Thesis\PromptMid\3RIP\router63.png","Prompt72")</f>
        <v>Prompt72</v>
      </c>
      <c r="F73" s="3" t="s">
        <v>73</v>
      </c>
      <c r="G73" s="3" t="s">
        <v>70</v>
      </c>
      <c r="H73" s="3" t="s">
        <v>72</v>
      </c>
    </row>
    <row r="74" spans="1:8" s="3" customFormat="1" x14ac:dyDescent="0.25">
      <c r="A74" s="3" t="s">
        <v>67</v>
      </c>
      <c r="B74" s="3" t="s">
        <v>97</v>
      </c>
      <c r="C74" s="8">
        <v>3</v>
      </c>
      <c r="D74" s="3" t="s">
        <v>47</v>
      </c>
      <c r="E74" s="4" t="str">
        <f>HYPERLINK("Z:\Thesis\PromptMid\3RIP\router64.png","Prompt73")</f>
        <v>Prompt73</v>
      </c>
      <c r="F74" s="3" t="s">
        <v>72</v>
      </c>
      <c r="G74" s="3" t="s">
        <v>73</v>
      </c>
      <c r="H74" s="3" t="s">
        <v>68</v>
      </c>
    </row>
    <row r="75" spans="1:8" s="3" customFormat="1" x14ac:dyDescent="0.25">
      <c r="A75" s="3" t="s">
        <v>67</v>
      </c>
      <c r="B75" s="3" t="s">
        <v>97</v>
      </c>
      <c r="C75" s="8">
        <v>3</v>
      </c>
      <c r="D75" s="3" t="s">
        <v>47</v>
      </c>
      <c r="E75" s="4" t="str">
        <f>HYPERLINK("Z:\Thesis\PromptMid\3RIP\router65.png","Prompt74")</f>
        <v>Prompt74</v>
      </c>
      <c r="F75" s="3" t="s">
        <v>61</v>
      </c>
      <c r="G75" s="3" t="s">
        <v>68</v>
      </c>
      <c r="H75" s="3" t="s">
        <v>72</v>
      </c>
    </row>
    <row r="76" spans="1:8" s="3" customFormat="1" x14ac:dyDescent="0.25">
      <c r="A76" s="3" t="s">
        <v>67</v>
      </c>
      <c r="B76" s="3" t="s">
        <v>97</v>
      </c>
      <c r="C76" s="8">
        <v>3</v>
      </c>
      <c r="D76" s="3" t="s">
        <v>47</v>
      </c>
      <c r="E76" s="4" t="str">
        <f>HYPERLINK("Z:\Thesis\PromptMid\3RIP\router66.png","Prompt75")</f>
        <v>Prompt75</v>
      </c>
      <c r="F76" s="3" t="s">
        <v>70</v>
      </c>
      <c r="G76" s="3" t="s">
        <v>72</v>
      </c>
      <c r="H76" s="3" t="s">
        <v>56</v>
      </c>
    </row>
    <row r="77" spans="1:8" s="1" customFormat="1" x14ac:dyDescent="0.25">
      <c r="A77" s="1" t="s">
        <v>67</v>
      </c>
      <c r="B77" s="1" t="s">
        <v>97</v>
      </c>
      <c r="C77" s="7" t="s">
        <v>48</v>
      </c>
      <c r="D77" s="1" t="s">
        <v>6</v>
      </c>
      <c r="E77" s="2" t="str">
        <f>HYPERLINK("Z:\Thesis\PromptMid\RIPMistype\router52.png","Prompt76")</f>
        <v>Prompt76</v>
      </c>
    </row>
    <row r="78" spans="1:8" s="1" customFormat="1" x14ac:dyDescent="0.25">
      <c r="A78" s="1" t="s">
        <v>67</v>
      </c>
      <c r="B78" s="1" t="s">
        <v>97</v>
      </c>
      <c r="C78" s="7" t="s">
        <v>48</v>
      </c>
      <c r="D78" s="1" t="s">
        <v>6</v>
      </c>
      <c r="E78" s="2" t="str">
        <f>HYPERLINK("Z:\Thesis\PromptMid\RIPMistype\router53.png","Prompt77")</f>
        <v>Prompt77</v>
      </c>
    </row>
    <row r="79" spans="1:8" s="1" customFormat="1" x14ac:dyDescent="0.25">
      <c r="A79" s="1" t="s">
        <v>67</v>
      </c>
      <c r="B79" s="1" t="s">
        <v>97</v>
      </c>
      <c r="C79" s="7" t="s">
        <v>48</v>
      </c>
      <c r="D79" s="1" t="s">
        <v>6</v>
      </c>
      <c r="E79" s="2" t="str">
        <f>HYPERLINK("Z:\Thesis\PromptMid\RIPMistype\router54.png","Prompt78")</f>
        <v>Prompt78</v>
      </c>
    </row>
    <row r="80" spans="1:8" s="1" customFormat="1" x14ac:dyDescent="0.25">
      <c r="A80" s="1" t="s">
        <v>67</v>
      </c>
      <c r="B80" s="1" t="s">
        <v>97</v>
      </c>
      <c r="C80" s="7" t="s">
        <v>48</v>
      </c>
      <c r="D80" s="1" t="s">
        <v>6</v>
      </c>
      <c r="E80" s="2" t="str">
        <f>HYPERLINK("Z:\Thesis\PromptMid\RIPMistype\router55.png","Prompt79")</f>
        <v>Prompt79</v>
      </c>
    </row>
    <row r="81" spans="1:5" s="3" customFormat="1" x14ac:dyDescent="0.25">
      <c r="A81" s="3" t="s">
        <v>67</v>
      </c>
      <c r="B81" s="3" t="s">
        <v>97</v>
      </c>
      <c r="C81" s="8" t="s">
        <v>48</v>
      </c>
      <c r="D81" s="3" t="s">
        <v>47</v>
      </c>
      <c r="E81" s="4" t="str">
        <f>HYPERLINK("Z:\Thesis\PromptMid\RIPMistype\router56.png","Prompt80")</f>
        <v>Prompt80</v>
      </c>
    </row>
    <row r="83" spans="1:5" x14ac:dyDescent="0.25">
      <c r="C83" s="12" t="s">
        <v>93</v>
      </c>
      <c r="D83" s="12" t="s">
        <v>94</v>
      </c>
      <c r="E83" s="14" t="s">
        <v>96</v>
      </c>
    </row>
    <row r="84" spans="1:5" x14ac:dyDescent="0.25">
      <c r="A84" s="11" t="s">
        <v>7</v>
      </c>
      <c r="B84" s="11">
        <v>120</v>
      </c>
      <c r="C84" s="11">
        <v>39</v>
      </c>
      <c r="D84" s="11">
        <v>81</v>
      </c>
      <c r="E84" s="13">
        <f>C84/B84</f>
        <v>0.32500000000000001</v>
      </c>
    </row>
    <row r="85" spans="1:5" x14ac:dyDescent="0.25">
      <c r="A85" s="11" t="s">
        <v>95</v>
      </c>
      <c r="B85" s="11">
        <v>20</v>
      </c>
      <c r="C85" s="11">
        <v>17</v>
      </c>
      <c r="D85" s="11">
        <v>3</v>
      </c>
      <c r="E85" s="13">
        <f>C85/B85</f>
        <v>0.85</v>
      </c>
    </row>
  </sheetData>
  <dataValidations count="3">
    <dataValidation type="list" allowBlank="1" showInputMessage="1" showErrorMessage="1" sqref="C1:C81" xr:uid="{1C1A52BA-925C-4174-AD08-B6CE84EE4C4B}">
      <formula1>"1, 2, 3, Mistype"</formula1>
    </dataValidation>
    <dataValidation type="list" allowBlank="1" showInputMessage="1" showErrorMessage="1" sqref="A1:A81 A83" xr:uid="{FB8643A0-7E18-40C0-92D4-0D07C8EB94FB}">
      <formula1>"AAA, EIGRP, VLAN, OSPF, RIP"</formula1>
    </dataValidation>
    <dataValidation type="list" allowBlank="1" showInputMessage="1" showErrorMessage="1" sqref="D1:D8 D10:D81" xr:uid="{746F0A84-D670-407A-B7E1-03C7A97A34D2}">
      <formula1>"Yes, No, 1 Error, 2 Error"</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93C95C27-BC54-423A-BFC9-0938C30FA84E}">
          <x14:formula1>
            <xm:f>Errors!$R$1:$R$40</xm:f>
          </x14:formula1>
          <xm:sqref>F62:H81</xm:sqref>
        </x14:dataValidation>
        <x14:dataValidation type="list" allowBlank="1" showInputMessage="1" showErrorMessage="1" xr:uid="{DFDAEC17-AC5E-426F-BC38-E1A49B2B722D}">
          <x14:formula1>
            <xm:f>Errors!$M$1:$M$40</xm:f>
          </x14:formula1>
          <xm:sqref>F42:H61</xm:sqref>
        </x14:dataValidation>
        <x14:dataValidation type="list" allowBlank="1" showInputMessage="1" showErrorMessage="1" xr:uid="{A8B312C0-952B-4F7D-A2A6-8E23FA43BA3D}">
          <x14:formula1>
            <xm:f>Errors!$H$1:$H$40</xm:f>
          </x14:formula1>
          <xm:sqref>F22:F40 G27:H41</xm:sqref>
        </x14:dataValidation>
        <x14:dataValidation type="list" allowBlank="1" showInputMessage="1" showErrorMessage="1" xr:uid="{99826E3E-62B2-42AA-A5B6-8C7C4F6CCE65}">
          <x14:formula1>
            <xm:f>Errors!$A$1:$A$40</xm:f>
          </x14:formula1>
          <xm:sqref>F1:F21 G1:H26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4366C-8411-40C3-A46E-192183A9621E}">
  <dimension ref="A1:I85"/>
  <sheetViews>
    <sheetView topLeftCell="A52" workbookViewId="0">
      <selection activeCell="E4" sqref="E4"/>
    </sheetView>
  </sheetViews>
  <sheetFormatPr defaultRowHeight="15" x14ac:dyDescent="0.25"/>
  <cols>
    <col min="2" max="2" width="48.140625" customWidth="1"/>
    <col min="3" max="3" width="16.28515625" style="9" customWidth="1"/>
    <col min="4" max="4" width="12.28515625" customWidth="1"/>
    <col min="5" max="5" width="14.140625" customWidth="1"/>
    <col min="6" max="6" width="39.5703125" customWidth="1"/>
    <col min="7" max="7" width="39" customWidth="1"/>
    <col min="8" max="8" width="23" customWidth="1"/>
    <col min="9" max="9" width="24.28515625" customWidth="1"/>
  </cols>
  <sheetData>
    <row r="1" spans="1:9" x14ac:dyDescent="0.25">
      <c r="A1" t="s">
        <v>0</v>
      </c>
      <c r="B1" t="s">
        <v>1</v>
      </c>
      <c r="C1" s="9" t="s">
        <v>7</v>
      </c>
      <c r="D1" t="s">
        <v>2</v>
      </c>
      <c r="E1" t="s">
        <v>3</v>
      </c>
      <c r="F1" t="s">
        <v>43</v>
      </c>
      <c r="G1" t="s">
        <v>44</v>
      </c>
      <c r="H1" t="s">
        <v>45</v>
      </c>
      <c r="I1" t="s">
        <v>49</v>
      </c>
    </row>
    <row r="2" spans="1:9" s="1" customFormat="1" x14ac:dyDescent="0.25">
      <c r="A2" s="1" t="s">
        <v>4</v>
      </c>
      <c r="B2" s="1" t="s">
        <v>76</v>
      </c>
      <c r="C2" s="7">
        <v>1</v>
      </c>
      <c r="D2" s="1" t="s">
        <v>6</v>
      </c>
      <c r="E2" s="2" t="str">
        <f>HYPERLINK("Z:\Thesis\PromptSpecific\1AAA\router1.png","Prompt1")</f>
        <v>Prompt1</v>
      </c>
      <c r="F2" s="1" t="s">
        <v>29</v>
      </c>
    </row>
    <row r="3" spans="1:9" s="1" customFormat="1" x14ac:dyDescent="0.25">
      <c r="A3" s="1" t="s">
        <v>4</v>
      </c>
      <c r="B3" s="1" t="s">
        <v>76</v>
      </c>
      <c r="C3" s="7">
        <v>1</v>
      </c>
      <c r="D3" s="1" t="s">
        <v>6</v>
      </c>
      <c r="E3" s="2" t="str">
        <f>HYPERLINK("Z:\Thesis\PromptSpecific\1AAA\router2.png","Prompt2")</f>
        <v>Prompt2</v>
      </c>
      <c r="F3" s="1" t="s">
        <v>29</v>
      </c>
    </row>
    <row r="4" spans="1:9" s="1" customFormat="1" x14ac:dyDescent="0.25">
      <c r="A4" s="1" t="s">
        <v>4</v>
      </c>
      <c r="B4" s="1" t="s">
        <v>76</v>
      </c>
      <c r="C4" s="7">
        <v>1</v>
      </c>
      <c r="D4" s="1" t="s">
        <v>6</v>
      </c>
      <c r="E4" s="2" t="str">
        <f>HYPERLINK("Z:\Thesis\PromptSpecific\1AAA\router3.png","Prompt3")</f>
        <v>Prompt3</v>
      </c>
      <c r="F4" s="1" t="s">
        <v>28</v>
      </c>
    </row>
    <row r="5" spans="1:9" s="1" customFormat="1" x14ac:dyDescent="0.25">
      <c r="A5" s="1" t="s">
        <v>4</v>
      </c>
      <c r="B5" s="1" t="s">
        <v>76</v>
      </c>
      <c r="C5" s="7">
        <v>1</v>
      </c>
      <c r="D5" s="1" t="s">
        <v>6</v>
      </c>
      <c r="E5" s="2" t="str">
        <f>HYPERLINK("Z:\Thesis\PromptSpecific\1AAA\router4.png","Prompt4")</f>
        <v>Prompt4</v>
      </c>
      <c r="F5" s="1" t="s">
        <v>15</v>
      </c>
    </row>
    <row r="6" spans="1:9" s="1" customFormat="1" x14ac:dyDescent="0.25">
      <c r="A6" s="1" t="s">
        <v>4</v>
      </c>
      <c r="B6" s="1" t="s">
        <v>76</v>
      </c>
      <c r="C6" s="7">
        <v>1</v>
      </c>
      <c r="D6" s="1" t="s">
        <v>6</v>
      </c>
      <c r="E6" s="2" t="str">
        <f>HYPERLINK("Z:\Thesis\PromptSpecific\1AAA\router5.png","Prompt5")</f>
        <v>Prompt5</v>
      </c>
      <c r="F6" s="1" t="s">
        <v>23</v>
      </c>
    </row>
    <row r="7" spans="1:9" s="5" customFormat="1" x14ac:dyDescent="0.25">
      <c r="A7" s="5" t="s">
        <v>4</v>
      </c>
      <c r="B7" s="5" t="s">
        <v>76</v>
      </c>
      <c r="C7" s="10">
        <v>2</v>
      </c>
      <c r="D7" s="5" t="s">
        <v>46</v>
      </c>
      <c r="E7" s="6" t="str">
        <f>HYPERLINK("Z:\Thesis\PromptSpecific\2AAA\router6.png","Prompt6")</f>
        <v>Prompt6</v>
      </c>
      <c r="F7" s="5" t="s">
        <v>23</v>
      </c>
      <c r="G7" s="5" t="s">
        <v>29</v>
      </c>
    </row>
    <row r="8" spans="1:9" s="3" customFormat="1" x14ac:dyDescent="0.25">
      <c r="A8" s="3" t="s">
        <v>4</v>
      </c>
      <c r="B8" s="3" t="s">
        <v>76</v>
      </c>
      <c r="C8" s="8">
        <v>2</v>
      </c>
      <c r="D8" s="3" t="s">
        <v>47</v>
      </c>
      <c r="E8" s="4" t="str">
        <f>HYPERLINK("Z:\Thesis\PromptSpecific\2AAA\router7.png","Prompt7")</f>
        <v>Prompt7</v>
      </c>
      <c r="F8" s="3" t="s">
        <v>15</v>
      </c>
      <c r="G8" s="3" t="s">
        <v>18</v>
      </c>
    </row>
    <row r="9" spans="1:9" s="3" customFormat="1" x14ac:dyDescent="0.25">
      <c r="A9" s="3" t="s">
        <v>4</v>
      </c>
      <c r="B9" s="3" t="s">
        <v>76</v>
      </c>
      <c r="C9" s="8">
        <v>2</v>
      </c>
      <c r="D9" s="3" t="s">
        <v>47</v>
      </c>
      <c r="E9" s="4" t="str">
        <f>HYPERLINK("Z:\Thesis\PromptSpecific\2AAA\router8.png","Prompt8")</f>
        <v>Prompt8</v>
      </c>
      <c r="F9" s="3" t="s">
        <v>18</v>
      </c>
      <c r="G9" s="3" t="s">
        <v>16</v>
      </c>
    </row>
    <row r="10" spans="1:9" s="1" customFormat="1" x14ac:dyDescent="0.25">
      <c r="A10" s="1" t="s">
        <v>4</v>
      </c>
      <c r="B10" s="1" t="s">
        <v>76</v>
      </c>
      <c r="C10" s="7">
        <v>2</v>
      </c>
      <c r="D10" s="1" t="s">
        <v>6</v>
      </c>
      <c r="E10" s="2" t="str">
        <f>HYPERLINK("Z:\Thesis\PromptSpecific\2AAA\router9.png","Prompt9")</f>
        <v>Prompt9</v>
      </c>
      <c r="F10" s="1" t="s">
        <v>23</v>
      </c>
      <c r="G10" s="1" t="s">
        <v>20</v>
      </c>
    </row>
    <row r="11" spans="1:9" s="1" customFormat="1" x14ac:dyDescent="0.25">
      <c r="A11" s="1" t="s">
        <v>4</v>
      </c>
      <c r="B11" s="1" t="s">
        <v>76</v>
      </c>
      <c r="C11" s="7">
        <v>2</v>
      </c>
      <c r="D11" s="1" t="s">
        <v>6</v>
      </c>
      <c r="E11" s="2" t="str">
        <f>HYPERLINK("Z:\Thesis\PromptSpecific\2AAA\router10.png","Prompt10")</f>
        <v>Prompt10</v>
      </c>
      <c r="F11" s="1" t="s">
        <v>8</v>
      </c>
      <c r="G11" s="1" t="s">
        <v>16</v>
      </c>
    </row>
    <row r="12" spans="1:9" s="5" customFormat="1" x14ac:dyDescent="0.25">
      <c r="A12" s="5" t="s">
        <v>4</v>
      </c>
      <c r="B12" s="5" t="s">
        <v>76</v>
      </c>
      <c r="C12" s="10">
        <v>3</v>
      </c>
      <c r="D12" s="5" t="s">
        <v>66</v>
      </c>
      <c r="E12" s="6" t="str">
        <f>HYPERLINK("Z:\Thesis\PromptSpecific\3AAA\router11.png","Prompt11")</f>
        <v>Prompt11</v>
      </c>
      <c r="F12" s="5" t="s">
        <v>23</v>
      </c>
      <c r="G12" s="5" t="s">
        <v>17</v>
      </c>
      <c r="H12" s="5" t="s">
        <v>42</v>
      </c>
    </row>
    <row r="13" spans="1:9" s="5" customFormat="1" x14ac:dyDescent="0.25">
      <c r="A13" s="5" t="s">
        <v>4</v>
      </c>
      <c r="B13" s="5" t="s">
        <v>76</v>
      </c>
      <c r="C13" s="10">
        <v>3</v>
      </c>
      <c r="D13" s="5" t="s">
        <v>46</v>
      </c>
      <c r="E13" s="6" t="str">
        <f>HYPERLINK("Z:\Thesis\PromptSpecific\3AAA\router12.png","Prompt12")</f>
        <v>Prompt12</v>
      </c>
      <c r="F13" s="5" t="s">
        <v>22</v>
      </c>
      <c r="G13" s="5" t="s">
        <v>25</v>
      </c>
      <c r="H13" s="5" t="s">
        <v>18</v>
      </c>
    </row>
    <row r="14" spans="1:9" s="3" customFormat="1" x14ac:dyDescent="0.25">
      <c r="A14" s="3" t="s">
        <v>4</v>
      </c>
      <c r="B14" s="3" t="s">
        <v>76</v>
      </c>
      <c r="C14" s="8">
        <v>3</v>
      </c>
      <c r="D14" s="3" t="s">
        <v>47</v>
      </c>
      <c r="E14" s="4" t="str">
        <f>HYPERLINK("Z:\Thesis\PromptSpecific\3AAA\router13.png","Prompt13")</f>
        <v>Prompt13</v>
      </c>
      <c r="F14" s="3" t="s">
        <v>42</v>
      </c>
      <c r="G14" s="3" t="s">
        <v>18</v>
      </c>
      <c r="H14" s="3" t="s">
        <v>25</v>
      </c>
    </row>
    <row r="15" spans="1:9" s="5" customFormat="1" x14ac:dyDescent="0.25">
      <c r="A15" s="5" t="s">
        <v>4</v>
      </c>
      <c r="B15" s="5" t="s">
        <v>76</v>
      </c>
      <c r="C15" s="10">
        <v>3</v>
      </c>
      <c r="D15" s="5" t="s">
        <v>46</v>
      </c>
      <c r="E15" s="6" t="str">
        <f>HYPERLINK("Z:\Thesis\PromptSpecific\3AAA\router14.png","Prompt14")</f>
        <v>Prompt14</v>
      </c>
      <c r="F15" s="5" t="s">
        <v>9</v>
      </c>
      <c r="G15" s="5" t="s">
        <v>24</v>
      </c>
      <c r="H15" s="5" t="s">
        <v>25</v>
      </c>
    </row>
    <row r="16" spans="1:9" s="5" customFormat="1" x14ac:dyDescent="0.25">
      <c r="A16" s="5" t="s">
        <v>4</v>
      </c>
      <c r="B16" s="5" t="s">
        <v>76</v>
      </c>
      <c r="C16" s="10">
        <v>3</v>
      </c>
      <c r="D16" s="5" t="s">
        <v>46</v>
      </c>
      <c r="E16" s="6" t="str">
        <f>HYPERLINK("Z:\Thesis\PromptSpecific\3AAA\router15.png","Prompt15")</f>
        <v>Prompt15</v>
      </c>
      <c r="F16" s="5" t="s">
        <v>8</v>
      </c>
      <c r="G16" s="5" t="s">
        <v>15</v>
      </c>
      <c r="H16" s="5" t="s">
        <v>23</v>
      </c>
    </row>
    <row r="17" spans="1:9" s="1" customFormat="1" x14ac:dyDescent="0.25">
      <c r="A17" s="1" t="s">
        <v>4</v>
      </c>
      <c r="B17" s="1" t="s">
        <v>76</v>
      </c>
      <c r="C17" s="7" t="s">
        <v>48</v>
      </c>
      <c r="D17" s="1" t="s">
        <v>6</v>
      </c>
      <c r="E17" s="2" t="str">
        <f>HYPERLINK("Z:\Thesis\PromptSpecific\AAAMistype\router1.png","Prompt16")</f>
        <v>Prompt16</v>
      </c>
      <c r="F17" s="1" t="s">
        <v>10</v>
      </c>
      <c r="I17" s="1" t="s">
        <v>50</v>
      </c>
    </row>
    <row r="18" spans="1:9" s="3" customFormat="1" x14ac:dyDescent="0.25">
      <c r="A18" s="3" t="s">
        <v>4</v>
      </c>
      <c r="B18" s="3" t="s">
        <v>76</v>
      </c>
      <c r="C18" s="8" t="s">
        <v>48</v>
      </c>
      <c r="D18" s="3" t="s">
        <v>47</v>
      </c>
      <c r="E18" s="4" t="str">
        <f>HYPERLINK("Z:\Thesis\PromptSpecific\AAAMistype\router2.png","Prompt17")</f>
        <v>Prompt17</v>
      </c>
      <c r="F18" s="3" t="s">
        <v>8</v>
      </c>
      <c r="I18" s="3" t="s">
        <v>52</v>
      </c>
    </row>
    <row r="19" spans="1:9" s="1" customFormat="1" x14ac:dyDescent="0.25">
      <c r="A19" s="1" t="s">
        <v>4</v>
      </c>
      <c r="B19" s="1" t="s">
        <v>76</v>
      </c>
      <c r="C19" s="7" t="s">
        <v>48</v>
      </c>
      <c r="D19" s="1" t="s">
        <v>6</v>
      </c>
      <c r="E19" s="2" t="str">
        <f>HYPERLINK("Z:\Thesis\PromptSpecific\AAAMistype\router3.png","Prompt18")</f>
        <v>Prompt18</v>
      </c>
      <c r="F19" s="1" t="s">
        <v>21</v>
      </c>
      <c r="I19" s="1" t="s">
        <v>53</v>
      </c>
    </row>
    <row r="20" spans="1:9" s="1" customFormat="1" x14ac:dyDescent="0.25">
      <c r="A20" s="1" t="s">
        <v>4</v>
      </c>
      <c r="B20" s="1" t="s">
        <v>76</v>
      </c>
      <c r="C20" s="7" t="s">
        <v>48</v>
      </c>
      <c r="D20" s="1" t="s">
        <v>6</v>
      </c>
      <c r="E20" s="2" t="str">
        <f>HYPERLINK("Z:\Thesis\PromptSpecific\AAAMistype\router4.png","Prompt19")</f>
        <v>Prompt19</v>
      </c>
      <c r="F20" s="1" t="s">
        <v>21</v>
      </c>
      <c r="I20" s="1" t="s">
        <v>53</v>
      </c>
    </row>
    <row r="21" spans="1:9" s="1" customFormat="1" x14ac:dyDescent="0.25">
      <c r="A21" s="1" t="s">
        <v>4</v>
      </c>
      <c r="B21" s="1" t="s">
        <v>76</v>
      </c>
      <c r="C21" s="7" t="s">
        <v>48</v>
      </c>
      <c r="D21" s="1" t="s">
        <v>6</v>
      </c>
      <c r="E21" s="2" t="str">
        <f>HYPERLINK("Z:\Thesis\PromptSpecific\AAAMistype\router5.png","Prompt20")</f>
        <v>Prompt20</v>
      </c>
      <c r="F21" s="1" t="s">
        <v>25</v>
      </c>
      <c r="I21" s="1" t="s">
        <v>54</v>
      </c>
    </row>
    <row r="22" spans="1:9" s="3" customFormat="1" ht="15.75" customHeight="1" x14ac:dyDescent="0.25">
      <c r="A22" s="3" t="s">
        <v>55</v>
      </c>
      <c r="B22" s="3" t="s">
        <v>77</v>
      </c>
      <c r="C22" s="8">
        <v>1</v>
      </c>
      <c r="D22" s="3" t="s">
        <v>47</v>
      </c>
      <c r="E22" s="4" t="str">
        <f>HYPERLINK("Z:\Thesis\PromptSpecific\1EIGRP\router16.png","Prompt21")</f>
        <v>Prompt21</v>
      </c>
      <c r="F22" s="3" t="s">
        <v>88</v>
      </c>
    </row>
    <row r="23" spans="1:9" s="3" customFormat="1" x14ac:dyDescent="0.25">
      <c r="A23" s="3" t="s">
        <v>55</v>
      </c>
      <c r="B23" s="3" t="s">
        <v>77</v>
      </c>
      <c r="C23" s="8">
        <v>1</v>
      </c>
      <c r="D23" s="3" t="s">
        <v>47</v>
      </c>
      <c r="E23" s="4" t="str">
        <f>HYPERLINK("Z:\Thesis\PromptSpecific\1EIGRP\router17.png","Prompt22")</f>
        <v>Prompt22</v>
      </c>
      <c r="F23" s="3" t="s">
        <v>87</v>
      </c>
    </row>
    <row r="24" spans="1:9" s="3" customFormat="1" x14ac:dyDescent="0.25">
      <c r="A24" s="3" t="s">
        <v>55</v>
      </c>
      <c r="B24" s="3" t="s">
        <v>77</v>
      </c>
      <c r="C24" s="8">
        <v>1</v>
      </c>
      <c r="D24" s="3" t="s">
        <v>47</v>
      </c>
      <c r="E24" s="4" t="str">
        <f>HYPERLINK("Z:\Thesis\PromptSpecific\1EIGRP\router17.png","Prompt23")</f>
        <v>Prompt23</v>
      </c>
      <c r="F24" s="3" t="s">
        <v>86</v>
      </c>
    </row>
    <row r="25" spans="1:9" s="1" customFormat="1" x14ac:dyDescent="0.25">
      <c r="A25" s="1" t="s">
        <v>55</v>
      </c>
      <c r="B25" s="1" t="s">
        <v>77</v>
      </c>
      <c r="C25" s="7">
        <v>1</v>
      </c>
      <c r="D25" s="1" t="s">
        <v>6</v>
      </c>
      <c r="E25" s="2" t="str">
        <f>HYPERLINK("Z:\Thesis\PromptSpecific\1EIGRP\router19.png","Prompt24")</f>
        <v>Prompt24</v>
      </c>
      <c r="F25" s="1" t="s">
        <v>89</v>
      </c>
    </row>
    <row r="26" spans="1:9" s="1" customFormat="1" x14ac:dyDescent="0.25">
      <c r="A26" s="1" t="s">
        <v>55</v>
      </c>
      <c r="B26" s="1" t="s">
        <v>77</v>
      </c>
      <c r="C26" s="7">
        <v>1</v>
      </c>
      <c r="D26" s="1" t="s">
        <v>6</v>
      </c>
      <c r="E26" s="2" t="str">
        <f>HYPERLINK("Z:\Thesis\PromptSpecific\1EIGRP\router20.png","Prompt25")</f>
        <v>Prompt25</v>
      </c>
      <c r="F26" s="1" t="s">
        <v>89</v>
      </c>
    </row>
    <row r="27" spans="1:9" s="1" customFormat="1" x14ac:dyDescent="0.25">
      <c r="A27" s="1" t="s">
        <v>55</v>
      </c>
      <c r="B27" s="1" t="s">
        <v>77</v>
      </c>
      <c r="C27" s="7">
        <v>2</v>
      </c>
      <c r="D27" s="1" t="s">
        <v>6</v>
      </c>
      <c r="E27" s="2" t="str">
        <f>HYPERLINK("Z:\Thesis\PromptSpecific\2EIGRP\router22.png","Prompt26")</f>
        <v>Prompt26</v>
      </c>
      <c r="F27" s="1" t="s">
        <v>90</v>
      </c>
      <c r="G27" s="1" t="s">
        <v>89</v>
      </c>
    </row>
    <row r="28" spans="1:9" s="1" customFormat="1" x14ac:dyDescent="0.25">
      <c r="A28" s="1" t="s">
        <v>55</v>
      </c>
      <c r="B28" s="1" t="s">
        <v>77</v>
      </c>
      <c r="C28" s="7">
        <v>2</v>
      </c>
      <c r="D28" s="1" t="s">
        <v>6</v>
      </c>
      <c r="E28" s="2" t="str">
        <f>HYPERLINK("Z:\Thesis\PromptSpecific\2EIGRP\router23.png","Prompt27")</f>
        <v>Prompt27</v>
      </c>
      <c r="F28" s="1" t="s">
        <v>89</v>
      </c>
      <c r="G28" s="1" t="s">
        <v>88</v>
      </c>
    </row>
    <row r="29" spans="1:9" s="5" customFormat="1" x14ac:dyDescent="0.25">
      <c r="A29" s="5" t="s">
        <v>55</v>
      </c>
      <c r="B29" s="5" t="s">
        <v>77</v>
      </c>
      <c r="C29" s="10">
        <v>2</v>
      </c>
      <c r="D29" s="5" t="s">
        <v>46</v>
      </c>
      <c r="E29" s="6" t="str">
        <f>HYPERLINK("Z:\Thesis\PromptSpecific\2EIGRP\router24.png","Prompt28")</f>
        <v>Prompt28</v>
      </c>
      <c r="F29" s="5" t="s">
        <v>90</v>
      </c>
      <c r="G29" s="5" t="s">
        <v>89</v>
      </c>
    </row>
    <row r="30" spans="1:9" s="1" customFormat="1" x14ac:dyDescent="0.25">
      <c r="A30" s="1" t="s">
        <v>55</v>
      </c>
      <c r="B30" s="1" t="s">
        <v>77</v>
      </c>
      <c r="C30" s="7">
        <v>2</v>
      </c>
      <c r="D30" s="1" t="s">
        <v>6</v>
      </c>
      <c r="E30" s="2" t="str">
        <f>HYPERLINK("Z:\Thesis\PromptSpecific\2EIGRP\router25.png","Prompt29")</f>
        <v>Prompt29</v>
      </c>
      <c r="F30" s="1" t="s">
        <v>89</v>
      </c>
      <c r="G30" s="1" t="s">
        <v>85</v>
      </c>
    </row>
    <row r="31" spans="1:9" s="1" customFormat="1" x14ac:dyDescent="0.25">
      <c r="A31" s="1" t="s">
        <v>55</v>
      </c>
      <c r="B31" s="1" t="s">
        <v>77</v>
      </c>
      <c r="C31" s="7">
        <v>2</v>
      </c>
      <c r="D31" s="1" t="s">
        <v>6</v>
      </c>
      <c r="E31" s="2" t="str">
        <f>HYPERLINK("Z:\Thesis\PromptSpecific\2EIGRP\router26.png","Prompt30")</f>
        <v>Prompt30</v>
      </c>
      <c r="F31" s="1" t="s">
        <v>86</v>
      </c>
      <c r="G31" s="1" t="s">
        <v>90</v>
      </c>
    </row>
    <row r="32" spans="1:9" s="5" customFormat="1" x14ac:dyDescent="0.25">
      <c r="A32" s="5" t="s">
        <v>55</v>
      </c>
      <c r="B32" s="5" t="s">
        <v>77</v>
      </c>
      <c r="C32" s="10">
        <v>3</v>
      </c>
      <c r="D32" s="5" t="s">
        <v>66</v>
      </c>
      <c r="E32" s="6" t="str">
        <f>HYPERLINK("Z:\Thesis\PromptSpecific\3EIGRP\router28.png","Prompt31")</f>
        <v>Prompt31</v>
      </c>
      <c r="F32" s="5" t="s">
        <v>85</v>
      </c>
      <c r="G32" s="5" t="s">
        <v>86</v>
      </c>
      <c r="H32" s="5" t="s">
        <v>90</v>
      </c>
    </row>
    <row r="33" spans="1:8" s="5" customFormat="1" x14ac:dyDescent="0.25">
      <c r="A33" s="5" t="s">
        <v>55</v>
      </c>
      <c r="B33" s="5" t="s">
        <v>77</v>
      </c>
      <c r="C33" s="10">
        <v>3</v>
      </c>
      <c r="D33" s="5" t="s">
        <v>46</v>
      </c>
      <c r="E33" s="6" t="str">
        <f>HYPERLINK("Z:\Thesis\PromptSpecific\3EIGRP\router29.png","Prompt32")</f>
        <v>Prompt32</v>
      </c>
      <c r="F33" s="5" t="s">
        <v>78</v>
      </c>
      <c r="G33" s="5" t="s">
        <v>85</v>
      </c>
      <c r="H33" s="5" t="s">
        <v>90</v>
      </c>
    </row>
    <row r="34" spans="1:8" s="1" customFormat="1" x14ac:dyDescent="0.25">
      <c r="A34" s="1" t="s">
        <v>55</v>
      </c>
      <c r="B34" s="1" t="s">
        <v>77</v>
      </c>
      <c r="C34" s="7">
        <v>3</v>
      </c>
      <c r="D34" s="1" t="s">
        <v>6</v>
      </c>
      <c r="E34" s="2" t="str">
        <f>HYPERLINK("Z:\Thesis\PromptSpecific\3EIGRP\router30.png","Prompt33")</f>
        <v>Prompt33</v>
      </c>
      <c r="F34" s="1" t="s">
        <v>89</v>
      </c>
      <c r="G34" s="1" t="s">
        <v>88</v>
      </c>
      <c r="H34" s="1" t="s">
        <v>85</v>
      </c>
    </row>
    <row r="35" spans="1:8" s="1" customFormat="1" x14ac:dyDescent="0.25">
      <c r="A35" s="1" t="s">
        <v>55</v>
      </c>
      <c r="B35" s="1" t="s">
        <v>77</v>
      </c>
      <c r="C35" s="7">
        <v>3</v>
      </c>
      <c r="D35" s="1" t="s">
        <v>6</v>
      </c>
      <c r="E35" s="2" t="str">
        <f>HYPERLINK("Z:\Thesis\PromptSpecific\3EIGRP\router31.png","Prompt34")</f>
        <v>Prompt34</v>
      </c>
      <c r="F35" s="1" t="s">
        <v>88</v>
      </c>
      <c r="G35" s="1" t="s">
        <v>90</v>
      </c>
      <c r="H35" s="1" t="s">
        <v>89</v>
      </c>
    </row>
    <row r="36" spans="1:8" s="5" customFormat="1" x14ac:dyDescent="0.25">
      <c r="A36" s="5" t="s">
        <v>55</v>
      </c>
      <c r="B36" s="5" t="s">
        <v>77</v>
      </c>
      <c r="C36" s="10">
        <v>3</v>
      </c>
      <c r="D36" s="5" t="s">
        <v>66</v>
      </c>
      <c r="E36" s="6" t="str">
        <f>HYPERLINK("Z:\Thesis\PromptSpecific\3EIGRP\router32.png","Prompt35")</f>
        <v>Prompt35</v>
      </c>
      <c r="F36" s="5" t="s">
        <v>78</v>
      </c>
      <c r="G36" s="5" t="s">
        <v>89</v>
      </c>
      <c r="H36" s="5" t="s">
        <v>90</v>
      </c>
    </row>
    <row r="37" spans="1:8" s="1" customFormat="1" x14ac:dyDescent="0.25">
      <c r="A37" s="1" t="s">
        <v>55</v>
      </c>
      <c r="B37" s="1" t="s">
        <v>77</v>
      </c>
      <c r="C37" s="7" t="s">
        <v>48</v>
      </c>
      <c r="D37" s="1" t="s">
        <v>6</v>
      </c>
      <c r="E37" s="2" t="str">
        <f>HYPERLINK("Z:\Thesis\PromptSpecific\EIGRPMistype\router16.png","Prompt36")</f>
        <v>Prompt36</v>
      </c>
    </row>
    <row r="38" spans="1:8" s="1" customFormat="1" x14ac:dyDescent="0.25">
      <c r="A38" s="1" t="s">
        <v>55</v>
      </c>
      <c r="B38" s="1" t="s">
        <v>77</v>
      </c>
      <c r="C38" s="7" t="s">
        <v>48</v>
      </c>
      <c r="D38" s="1" t="s">
        <v>6</v>
      </c>
      <c r="E38" s="2" t="str">
        <f>HYPERLINK("Z:\Thesis\PromptSpecific\EIGRPMistype\router17.png","Prompt37")</f>
        <v>Prompt37</v>
      </c>
    </row>
    <row r="39" spans="1:8" s="1" customFormat="1" x14ac:dyDescent="0.25">
      <c r="A39" s="1" t="s">
        <v>55</v>
      </c>
      <c r="B39" s="1" t="s">
        <v>77</v>
      </c>
      <c r="C39" s="7" t="s">
        <v>48</v>
      </c>
      <c r="D39" s="1" t="s">
        <v>6</v>
      </c>
      <c r="E39" s="2" t="str">
        <f>HYPERLINK("Z:\Thesis\PromptSpecific\EIGRPMistype\router18.png","Prompt38")</f>
        <v>Prompt38</v>
      </c>
    </row>
    <row r="40" spans="1:8" s="1" customFormat="1" x14ac:dyDescent="0.25">
      <c r="A40" s="1" t="s">
        <v>55</v>
      </c>
      <c r="B40" s="1" t="s">
        <v>77</v>
      </c>
      <c r="C40" s="7" t="s">
        <v>48</v>
      </c>
      <c r="D40" s="1" t="s">
        <v>6</v>
      </c>
      <c r="E40" s="2" t="str">
        <f>HYPERLINK("Z:\Thesis\PromptSpecific\EIGRPMistype\router19.png","Prompt39")</f>
        <v>Prompt39</v>
      </c>
    </row>
    <row r="41" spans="1:8" s="1" customFormat="1" x14ac:dyDescent="0.25">
      <c r="A41" s="1" t="s">
        <v>55</v>
      </c>
      <c r="B41" s="1" t="s">
        <v>77</v>
      </c>
      <c r="C41" s="7" t="s">
        <v>48</v>
      </c>
      <c r="D41" s="1" t="s">
        <v>6</v>
      </c>
      <c r="E41" s="2" t="str">
        <f>HYPERLINK("Z:\Thesis\PromptSpecific\EIGRPMistype\router20.png","Prompt40")</f>
        <v>Prompt40</v>
      </c>
    </row>
    <row r="42" spans="1:8" s="1" customFormat="1" ht="13.5" customHeight="1" x14ac:dyDescent="0.25">
      <c r="A42" s="1" t="s">
        <v>62</v>
      </c>
      <c r="B42" s="1" t="s">
        <v>91</v>
      </c>
      <c r="C42" s="7">
        <v>1</v>
      </c>
      <c r="D42" s="1" t="s">
        <v>6</v>
      </c>
      <c r="E42" s="2" t="str">
        <f>HYPERLINK("Z:\Thesis\PromptSpecific\1OSPF\router28.png","Prompt41")</f>
        <v>Prompt41</v>
      </c>
      <c r="F42" s="1" t="s">
        <v>64</v>
      </c>
    </row>
    <row r="43" spans="1:8" s="1" customFormat="1" ht="14.25" customHeight="1" x14ac:dyDescent="0.25">
      <c r="A43" s="1" t="s">
        <v>62</v>
      </c>
      <c r="B43" s="1" t="s">
        <v>91</v>
      </c>
      <c r="C43" s="7">
        <v>1</v>
      </c>
      <c r="D43" s="1" t="s">
        <v>6</v>
      </c>
      <c r="E43" s="2" t="str">
        <f>HYPERLINK("Z:\Thesis\PromptSpecific\1OSPF\router29.png","Prompt42")</f>
        <v>Prompt42</v>
      </c>
      <c r="F43" s="1" t="s">
        <v>65</v>
      </c>
    </row>
    <row r="44" spans="1:8" s="1" customFormat="1" x14ac:dyDescent="0.25">
      <c r="A44" s="1" t="s">
        <v>62</v>
      </c>
      <c r="B44" s="1" t="s">
        <v>91</v>
      </c>
      <c r="C44" s="7">
        <v>1</v>
      </c>
      <c r="D44" s="1" t="s">
        <v>6</v>
      </c>
      <c r="E44" s="2" t="str">
        <f>HYPERLINK("Z:\Thesis\PromptSpecific\1OSPF\router30.png","Prompt43")</f>
        <v>Prompt43</v>
      </c>
      <c r="F44" s="1" t="s">
        <v>65</v>
      </c>
    </row>
    <row r="45" spans="1:8" s="3" customFormat="1" x14ac:dyDescent="0.25">
      <c r="A45" s="3" t="s">
        <v>62</v>
      </c>
      <c r="B45" s="3" t="s">
        <v>91</v>
      </c>
      <c r="C45" s="8">
        <v>1</v>
      </c>
      <c r="D45" s="3" t="s">
        <v>47</v>
      </c>
      <c r="E45" s="4" t="str">
        <f>HYPERLINK("Z:\Thesis\PromptSpecific\1OSPF\router31.png","Prompt44")</f>
        <v>Prompt44</v>
      </c>
      <c r="F45" s="3" t="s">
        <v>65</v>
      </c>
    </row>
    <row r="46" spans="1:8" s="3" customFormat="1" x14ac:dyDescent="0.25">
      <c r="A46" s="3" t="s">
        <v>62</v>
      </c>
      <c r="B46" s="3" t="s">
        <v>91</v>
      </c>
      <c r="C46" s="8">
        <v>1</v>
      </c>
      <c r="D46" s="3" t="s">
        <v>47</v>
      </c>
      <c r="E46" s="4" t="str">
        <f>HYPERLINK("Z:\Thesis\PromptSpecific\1OSPF\router32.png","Prompt45")</f>
        <v>Prompt45</v>
      </c>
      <c r="F46" s="3" t="s">
        <v>65</v>
      </c>
    </row>
    <row r="47" spans="1:8" s="5" customFormat="1" x14ac:dyDescent="0.25">
      <c r="A47" s="5" t="s">
        <v>62</v>
      </c>
      <c r="B47" s="5" t="s">
        <v>91</v>
      </c>
      <c r="C47" s="10">
        <v>2</v>
      </c>
      <c r="D47" s="5" t="s">
        <v>46</v>
      </c>
      <c r="E47" s="6" t="str">
        <f>HYPERLINK("Z:\Thesis\PromptSpecific\2OSPF\router40.png","Prompt46")</f>
        <v>Prompt46</v>
      </c>
      <c r="F47" s="5" t="s">
        <v>64</v>
      </c>
      <c r="G47" s="5" t="s">
        <v>65</v>
      </c>
    </row>
    <row r="48" spans="1:8" s="1" customFormat="1" x14ac:dyDescent="0.25">
      <c r="A48" s="1" t="s">
        <v>62</v>
      </c>
      <c r="B48" s="1" t="s">
        <v>91</v>
      </c>
      <c r="C48" s="7">
        <v>2</v>
      </c>
      <c r="D48" s="1" t="s">
        <v>6</v>
      </c>
      <c r="E48" s="2" t="str">
        <f>HYPERLINK("Z:\Thesis\PromptSpecific\2OSPF\router41.png","Prompt47")</f>
        <v>Prompt47</v>
      </c>
      <c r="F48" s="1" t="s">
        <v>64</v>
      </c>
      <c r="G48" s="1" t="s">
        <v>65</v>
      </c>
    </row>
    <row r="49" spans="1:8" s="5" customFormat="1" x14ac:dyDescent="0.25">
      <c r="A49" s="5" t="s">
        <v>62</v>
      </c>
      <c r="B49" s="5" t="s">
        <v>91</v>
      </c>
      <c r="C49" s="10">
        <v>2</v>
      </c>
      <c r="D49" s="5" t="s">
        <v>46</v>
      </c>
      <c r="E49" s="6" t="str">
        <f>HYPERLINK("Z:\Thesis\PromptSpecific\2OSPF\router42.png","Prompt48")</f>
        <v>Prompt48</v>
      </c>
      <c r="F49" s="5" t="s">
        <v>64</v>
      </c>
      <c r="G49" s="5" t="s">
        <v>65</v>
      </c>
    </row>
    <row r="50" spans="1:8" s="5" customFormat="1" x14ac:dyDescent="0.25">
      <c r="A50" s="5" t="s">
        <v>62</v>
      </c>
      <c r="B50" s="5" t="s">
        <v>91</v>
      </c>
      <c r="C50" s="10">
        <v>2</v>
      </c>
      <c r="D50" s="5" t="s">
        <v>46</v>
      </c>
      <c r="E50" s="6" t="str">
        <f>HYPERLINK("Z:\Thesis\PromptSpecific\2OSPF\router43.png","Prompt49")</f>
        <v>Prompt49</v>
      </c>
      <c r="F50" s="5" t="s">
        <v>64</v>
      </c>
      <c r="G50" s="5" t="s">
        <v>64</v>
      </c>
    </row>
    <row r="51" spans="1:8" s="1" customFormat="1" x14ac:dyDescent="0.25">
      <c r="A51" s="1" t="s">
        <v>62</v>
      </c>
      <c r="B51" s="1" t="s">
        <v>91</v>
      </c>
      <c r="C51" s="7">
        <v>2</v>
      </c>
      <c r="D51" s="1" t="s">
        <v>6</v>
      </c>
      <c r="E51" s="2" t="str">
        <f>HYPERLINK("Z:\Thesis\PromptSpecific\2OSPF\router44.png","Prompt50")</f>
        <v>Prompt50</v>
      </c>
      <c r="F51" s="1" t="s">
        <v>64</v>
      </c>
      <c r="G51" s="1" t="s">
        <v>65</v>
      </c>
    </row>
    <row r="52" spans="1:8" s="1" customFormat="1" x14ac:dyDescent="0.25">
      <c r="A52" s="1" t="s">
        <v>62</v>
      </c>
      <c r="B52" s="1" t="s">
        <v>91</v>
      </c>
      <c r="C52" s="7">
        <v>3</v>
      </c>
      <c r="D52" s="1" t="s">
        <v>6</v>
      </c>
      <c r="E52" s="2" t="str">
        <f>HYPERLINK("Z:\Thesis\PromptSpecific\3OSPF\router46.png","Prompt51")</f>
        <v>Prompt51</v>
      </c>
      <c r="F52" s="1" t="s">
        <v>65</v>
      </c>
      <c r="G52" s="1" t="s">
        <v>65</v>
      </c>
      <c r="H52" s="1" t="s">
        <v>65</v>
      </c>
    </row>
    <row r="53" spans="1:8" s="5" customFormat="1" x14ac:dyDescent="0.25">
      <c r="A53" s="5" t="s">
        <v>62</v>
      </c>
      <c r="B53" s="5" t="s">
        <v>91</v>
      </c>
      <c r="C53" s="10">
        <v>3</v>
      </c>
      <c r="D53" s="5" t="s">
        <v>66</v>
      </c>
      <c r="E53" s="6" t="str">
        <f>HYPERLINK("Z:\Thesis\PromptSpecific\3OSPF\router47.png","Prompt52")</f>
        <v>Prompt52</v>
      </c>
      <c r="F53" s="5" t="s">
        <v>65</v>
      </c>
      <c r="G53" s="5" t="s">
        <v>63</v>
      </c>
      <c r="H53" s="5" t="s">
        <v>65</v>
      </c>
    </row>
    <row r="54" spans="1:8" s="5" customFormat="1" x14ac:dyDescent="0.25">
      <c r="A54" s="5" t="s">
        <v>62</v>
      </c>
      <c r="B54" s="5" t="s">
        <v>91</v>
      </c>
      <c r="C54" s="10">
        <v>3</v>
      </c>
      <c r="D54" s="5" t="s">
        <v>66</v>
      </c>
      <c r="E54" s="6" t="str">
        <f>HYPERLINK("Z:\Thesis\PromptSpecific\3OSPF\router48.png","Prompt53")</f>
        <v>Prompt53</v>
      </c>
      <c r="F54" s="5" t="s">
        <v>65</v>
      </c>
      <c r="G54" s="5" t="s">
        <v>64</v>
      </c>
      <c r="H54" s="5" t="s">
        <v>65</v>
      </c>
    </row>
    <row r="55" spans="1:8" s="1" customFormat="1" x14ac:dyDescent="0.25">
      <c r="A55" s="1" t="s">
        <v>62</v>
      </c>
      <c r="B55" s="1" t="s">
        <v>91</v>
      </c>
      <c r="C55" s="7">
        <v>3</v>
      </c>
      <c r="D55" s="1" t="s">
        <v>6</v>
      </c>
      <c r="E55" s="2" t="str">
        <f>HYPERLINK("Z:\Thesis\PromptSpecific\3OSPF\router49.png","Prompt54")</f>
        <v>Prompt54</v>
      </c>
      <c r="F55" s="1" t="s">
        <v>65</v>
      </c>
      <c r="G55" s="1" t="s">
        <v>65</v>
      </c>
      <c r="H55" s="1" t="s">
        <v>65</v>
      </c>
    </row>
    <row r="56" spans="1:8" s="1" customFormat="1" x14ac:dyDescent="0.25">
      <c r="A56" s="1" t="s">
        <v>62</v>
      </c>
      <c r="B56" s="1" t="s">
        <v>91</v>
      </c>
      <c r="C56" s="7">
        <v>3</v>
      </c>
      <c r="D56" s="1" t="s">
        <v>6</v>
      </c>
      <c r="E56" s="2" t="str">
        <f>HYPERLINK("Z:\Thesis\PromptSpecific\3OSPF\router50.png","Prompt55")</f>
        <v>Prompt55</v>
      </c>
      <c r="F56" s="1" t="s">
        <v>64</v>
      </c>
      <c r="G56" s="1" t="s">
        <v>65</v>
      </c>
      <c r="H56" s="1" t="s">
        <v>63</v>
      </c>
    </row>
    <row r="57" spans="1:8" s="1" customFormat="1" x14ac:dyDescent="0.25">
      <c r="A57" s="1" t="s">
        <v>62</v>
      </c>
      <c r="B57" s="1" t="s">
        <v>91</v>
      </c>
      <c r="C57" s="7" t="s">
        <v>48</v>
      </c>
      <c r="D57" s="1" t="s">
        <v>6</v>
      </c>
      <c r="E57" s="2" t="str">
        <f>HYPERLINK("Z:\Thesis\PromptSpecific\OSPFMistype\router34.png","Prompt56")</f>
        <v>Prompt56</v>
      </c>
    </row>
    <row r="58" spans="1:8" s="1" customFormat="1" x14ac:dyDescent="0.25">
      <c r="A58" s="1" t="s">
        <v>62</v>
      </c>
      <c r="B58" s="1" t="s">
        <v>91</v>
      </c>
      <c r="C58" s="7" t="s">
        <v>48</v>
      </c>
      <c r="D58" s="1" t="s">
        <v>6</v>
      </c>
      <c r="E58" s="2" t="str">
        <f>HYPERLINK("Z:\Thesis\PromptSpecific\OSPFMistype\router35.png","Prompt57")</f>
        <v>Prompt57</v>
      </c>
    </row>
    <row r="59" spans="1:8" s="1" customFormat="1" x14ac:dyDescent="0.25">
      <c r="A59" s="1" t="s">
        <v>62</v>
      </c>
      <c r="B59" s="1" t="s">
        <v>91</v>
      </c>
      <c r="C59" s="7" t="s">
        <v>48</v>
      </c>
      <c r="D59" s="1" t="s">
        <v>6</v>
      </c>
      <c r="E59" s="2" t="str">
        <f>HYPERLINK("Z:\Thesis\PromptSpecific\OSPFMistype\router36.png","Prompt58")</f>
        <v>Prompt58</v>
      </c>
    </row>
    <row r="60" spans="1:8" s="1" customFormat="1" x14ac:dyDescent="0.25">
      <c r="A60" s="1" t="s">
        <v>62</v>
      </c>
      <c r="B60" s="1" t="s">
        <v>91</v>
      </c>
      <c r="C60" s="7" t="s">
        <v>48</v>
      </c>
      <c r="D60" s="1" t="s">
        <v>6</v>
      </c>
      <c r="E60" s="2" t="str">
        <f>HYPERLINK("Z:\Thesis\PromptSpecific\OSPFMistype\router37.png","Prompt59")</f>
        <v>Prompt59</v>
      </c>
    </row>
    <row r="61" spans="1:8" s="1" customFormat="1" x14ac:dyDescent="0.25">
      <c r="A61" s="1" t="s">
        <v>62</v>
      </c>
      <c r="B61" s="1" t="s">
        <v>91</v>
      </c>
      <c r="C61" s="7" t="s">
        <v>48</v>
      </c>
      <c r="D61" s="1" t="s">
        <v>6</v>
      </c>
      <c r="E61" s="2" t="str">
        <f>HYPERLINK("Z:\Thesis\PromptSpecific\OSPFMistype\router38.png","Prompt60")</f>
        <v>Prompt60</v>
      </c>
    </row>
    <row r="62" spans="1:8" s="3" customFormat="1" x14ac:dyDescent="0.25">
      <c r="A62" s="3" t="s">
        <v>67</v>
      </c>
      <c r="B62" s="3" t="s">
        <v>92</v>
      </c>
      <c r="C62" s="8">
        <v>1</v>
      </c>
      <c r="D62" s="3" t="s">
        <v>47</v>
      </c>
      <c r="E62" s="4" t="str">
        <f>HYPERLINK("Z:\Thesis\PromptSpecific\1RIP\router52.png","Prompt61")</f>
        <v>Prompt61</v>
      </c>
      <c r="F62" s="3" t="s">
        <v>69</v>
      </c>
    </row>
    <row r="63" spans="1:8" s="1" customFormat="1" x14ac:dyDescent="0.25">
      <c r="A63" s="1" t="s">
        <v>67</v>
      </c>
      <c r="B63" s="1" t="s">
        <v>92</v>
      </c>
      <c r="C63" s="7">
        <v>1</v>
      </c>
      <c r="D63" s="1" t="s">
        <v>6</v>
      </c>
      <c r="E63" s="2" t="str">
        <f>HYPERLINK("Z:\Thesis\PromptSpecific\1RIP\router53.png","Prompt62")</f>
        <v>Prompt62</v>
      </c>
      <c r="F63" s="1" t="s">
        <v>70</v>
      </c>
    </row>
    <row r="64" spans="1:8" s="3" customFormat="1" x14ac:dyDescent="0.25">
      <c r="A64" s="3" t="s">
        <v>67</v>
      </c>
      <c r="B64" s="3" t="s">
        <v>92</v>
      </c>
      <c r="C64" s="8">
        <v>1</v>
      </c>
      <c r="D64" s="3" t="s">
        <v>47</v>
      </c>
      <c r="E64" s="4" t="str">
        <f>HYPERLINK("Z:\Thesis\PromptSpecific\1RIP\router54.png","Prompt63")</f>
        <v>Prompt63</v>
      </c>
      <c r="F64" s="3" t="s">
        <v>68</v>
      </c>
    </row>
    <row r="65" spans="1:8" s="1" customFormat="1" x14ac:dyDescent="0.25">
      <c r="A65" s="1" t="s">
        <v>67</v>
      </c>
      <c r="B65" s="1" t="s">
        <v>92</v>
      </c>
      <c r="C65" s="7">
        <v>1</v>
      </c>
      <c r="D65" s="1" t="s">
        <v>6</v>
      </c>
      <c r="E65" s="2" t="str">
        <f>HYPERLINK("Z:\Thesis\PromptSpecific\1RIP\router55.png","Prompt64")</f>
        <v>Prompt64</v>
      </c>
      <c r="F65" s="1" t="s">
        <v>71</v>
      </c>
    </row>
    <row r="66" spans="1:8" s="3" customFormat="1" x14ac:dyDescent="0.25">
      <c r="A66" s="3" t="s">
        <v>67</v>
      </c>
      <c r="B66" s="3" t="s">
        <v>92</v>
      </c>
      <c r="C66" s="8">
        <v>1</v>
      </c>
      <c r="D66" s="3" t="s">
        <v>47</v>
      </c>
      <c r="E66" s="4" t="str">
        <f>HYPERLINK("Z:\Thesis\PromptSpecific\1RIP\router56.png","Prompt65")</f>
        <v>Prompt65</v>
      </c>
      <c r="F66" s="3" t="s">
        <v>73</v>
      </c>
    </row>
    <row r="67" spans="1:8" s="5" customFormat="1" x14ac:dyDescent="0.25">
      <c r="A67" s="5" t="s">
        <v>67</v>
      </c>
      <c r="B67" s="5" t="s">
        <v>92</v>
      </c>
      <c r="C67" s="10">
        <v>2</v>
      </c>
      <c r="D67" s="5" t="s">
        <v>46</v>
      </c>
      <c r="E67" s="6" t="str">
        <f>HYPERLINK("Z:\Thesis\PromptSpecific\2RIP\router58.png","Prompt66")</f>
        <v>Prompt66</v>
      </c>
      <c r="F67" s="5" t="s">
        <v>60</v>
      </c>
      <c r="G67" s="5" t="s">
        <v>69</v>
      </c>
    </row>
    <row r="68" spans="1:8" s="1" customFormat="1" x14ac:dyDescent="0.25">
      <c r="A68" s="1" t="s">
        <v>67</v>
      </c>
      <c r="B68" s="1" t="s">
        <v>92</v>
      </c>
      <c r="C68" s="7">
        <v>2</v>
      </c>
      <c r="D68" s="1" t="s">
        <v>6</v>
      </c>
      <c r="E68" s="2" t="str">
        <f>HYPERLINK("Z:\Thesis\PromptSpecific\2RIP\router59.png","Prompt67")</f>
        <v>Prompt67</v>
      </c>
      <c r="F68" s="1" t="s">
        <v>71</v>
      </c>
      <c r="G68" s="1" t="s">
        <v>70</v>
      </c>
    </row>
    <row r="69" spans="1:8" s="5" customFormat="1" x14ac:dyDescent="0.25">
      <c r="A69" s="5" t="s">
        <v>67</v>
      </c>
      <c r="B69" s="5" t="s">
        <v>92</v>
      </c>
      <c r="C69" s="10">
        <v>2</v>
      </c>
      <c r="D69" s="5" t="s">
        <v>46</v>
      </c>
      <c r="E69" s="6" t="str">
        <f>HYPERLINK("Z:\Thesis\PromptSpecific\2RIP\router60.png","Prompt68")</f>
        <v>Prompt68</v>
      </c>
      <c r="F69" s="5" t="s">
        <v>68</v>
      </c>
      <c r="G69" s="5" t="s">
        <v>61</v>
      </c>
    </row>
    <row r="70" spans="1:8" s="5" customFormat="1" x14ac:dyDescent="0.25">
      <c r="A70" s="5" t="s">
        <v>67</v>
      </c>
      <c r="B70" s="5" t="s">
        <v>92</v>
      </c>
      <c r="C70" s="10">
        <v>2</v>
      </c>
      <c r="D70" s="5" t="s">
        <v>46</v>
      </c>
      <c r="E70" s="6" t="str">
        <f>HYPERLINK("Z:\Thesis\PromptSpecific\2RIP\router61.png","Prompt69")</f>
        <v>Prompt69</v>
      </c>
      <c r="F70" s="5" t="s">
        <v>75</v>
      </c>
      <c r="G70" s="5" t="s">
        <v>58</v>
      </c>
    </row>
    <row r="71" spans="1:8" s="5" customFormat="1" x14ac:dyDescent="0.25">
      <c r="A71" s="5" t="s">
        <v>67</v>
      </c>
      <c r="B71" s="5" t="s">
        <v>92</v>
      </c>
      <c r="C71" s="10">
        <v>2</v>
      </c>
      <c r="D71" s="5" t="s">
        <v>46</v>
      </c>
      <c r="E71" s="6" t="str">
        <f>HYPERLINK("Z:\Thesis\PromptSpecific\2RIP\router62.png","Prompt70")</f>
        <v>Prompt70</v>
      </c>
      <c r="F71" s="5" t="s">
        <v>61</v>
      </c>
      <c r="G71" s="5" t="s">
        <v>56</v>
      </c>
    </row>
    <row r="72" spans="1:8" s="5" customFormat="1" x14ac:dyDescent="0.25">
      <c r="A72" s="5" t="s">
        <v>67</v>
      </c>
      <c r="B72" s="5" t="s">
        <v>92</v>
      </c>
      <c r="C72" s="10">
        <v>3</v>
      </c>
      <c r="D72" s="5" t="s">
        <v>66</v>
      </c>
      <c r="E72" s="6" t="str">
        <f>HYPERLINK("Z:\Thesis\PromptSpecific\3RIP\router62.png","Prompt71")</f>
        <v>Prompt71</v>
      </c>
      <c r="F72" s="5" t="s">
        <v>56</v>
      </c>
      <c r="G72" s="5" t="s">
        <v>60</v>
      </c>
      <c r="H72" s="5" t="s">
        <v>73</v>
      </c>
    </row>
    <row r="73" spans="1:8" s="5" customFormat="1" x14ac:dyDescent="0.25">
      <c r="A73" s="5" t="s">
        <v>67</v>
      </c>
      <c r="B73" s="5" t="s">
        <v>92</v>
      </c>
      <c r="C73" s="10">
        <v>3</v>
      </c>
      <c r="D73" s="5" t="s">
        <v>46</v>
      </c>
      <c r="E73" s="6" t="str">
        <f>HYPERLINK("Z:\Thesis\PromptSpecific\3RIP\router63.png","Prompt72")</f>
        <v>Prompt72</v>
      </c>
      <c r="F73" s="5" t="s">
        <v>73</v>
      </c>
      <c r="G73" s="5" t="s">
        <v>70</v>
      </c>
      <c r="H73" s="5" t="s">
        <v>72</v>
      </c>
    </row>
    <row r="74" spans="1:8" s="3" customFormat="1" x14ac:dyDescent="0.25">
      <c r="A74" s="3" t="s">
        <v>67</v>
      </c>
      <c r="B74" s="3" t="s">
        <v>92</v>
      </c>
      <c r="C74" s="8">
        <v>3</v>
      </c>
      <c r="D74" s="3" t="s">
        <v>47</v>
      </c>
      <c r="E74" s="4" t="str">
        <f>HYPERLINK("Z:\Thesis\PromptSpecific\3RIP\router64.png","Prompt73")</f>
        <v>Prompt73</v>
      </c>
      <c r="F74" s="3" t="s">
        <v>72</v>
      </c>
      <c r="G74" s="3" t="s">
        <v>73</v>
      </c>
      <c r="H74" s="3" t="s">
        <v>68</v>
      </c>
    </row>
    <row r="75" spans="1:8" s="5" customFormat="1" x14ac:dyDescent="0.25">
      <c r="A75" s="5" t="s">
        <v>67</v>
      </c>
      <c r="B75" s="5" t="s">
        <v>92</v>
      </c>
      <c r="C75" s="10">
        <v>3</v>
      </c>
      <c r="D75" s="5" t="s">
        <v>46</v>
      </c>
      <c r="E75" s="6" t="str">
        <f>HYPERLINK("Z:\Thesis\PromptSpecific\3RIP\router65.png","Prompt74")</f>
        <v>Prompt74</v>
      </c>
      <c r="F75" s="5" t="s">
        <v>61</v>
      </c>
      <c r="G75" s="5" t="s">
        <v>68</v>
      </c>
      <c r="H75" s="5" t="s">
        <v>72</v>
      </c>
    </row>
    <row r="76" spans="1:8" s="5" customFormat="1" x14ac:dyDescent="0.25">
      <c r="A76" s="5" t="s">
        <v>67</v>
      </c>
      <c r="B76" s="5" t="s">
        <v>92</v>
      </c>
      <c r="C76" s="10">
        <v>3</v>
      </c>
      <c r="D76" s="5" t="s">
        <v>46</v>
      </c>
      <c r="E76" s="6" t="str">
        <f>HYPERLINK("Z:\Thesis\PromptSpecific\3RIP\router66.png","Prompt75")</f>
        <v>Prompt75</v>
      </c>
      <c r="F76" s="5" t="s">
        <v>70</v>
      </c>
      <c r="G76" s="5" t="s">
        <v>72</v>
      </c>
      <c r="H76" s="5" t="s">
        <v>56</v>
      </c>
    </row>
    <row r="77" spans="1:8" s="1" customFormat="1" x14ac:dyDescent="0.25">
      <c r="A77" s="1" t="s">
        <v>67</v>
      </c>
      <c r="B77" s="1" t="s">
        <v>92</v>
      </c>
      <c r="C77" s="7" t="s">
        <v>48</v>
      </c>
      <c r="D77" s="1" t="s">
        <v>6</v>
      </c>
      <c r="E77" s="2" t="str">
        <f>HYPERLINK("Z:\Thesis\PromptSpecific\RIPMistype\router52.png","Prompt76")</f>
        <v>Prompt76</v>
      </c>
    </row>
    <row r="78" spans="1:8" s="1" customFormat="1" x14ac:dyDescent="0.25">
      <c r="A78" s="1" t="s">
        <v>67</v>
      </c>
      <c r="B78" s="1" t="s">
        <v>92</v>
      </c>
      <c r="C78" s="7" t="s">
        <v>48</v>
      </c>
      <c r="D78" s="1" t="s">
        <v>6</v>
      </c>
      <c r="E78" s="2" t="str">
        <f>HYPERLINK("Z:\Thesis\PromptSpecific\RIPMistype\router53.png","Prompt77")</f>
        <v>Prompt77</v>
      </c>
    </row>
    <row r="79" spans="1:8" s="3" customFormat="1" x14ac:dyDescent="0.25">
      <c r="A79" s="3" t="s">
        <v>67</v>
      </c>
      <c r="B79" s="3" t="s">
        <v>92</v>
      </c>
      <c r="C79" s="8" t="s">
        <v>48</v>
      </c>
      <c r="D79" s="3" t="s">
        <v>47</v>
      </c>
      <c r="E79" s="4" t="str">
        <f>HYPERLINK("Z:\Thesis\PromptSpecific\RIPMistype\router54.png","Prompt78")</f>
        <v>Prompt78</v>
      </c>
    </row>
    <row r="80" spans="1:8" s="1" customFormat="1" x14ac:dyDescent="0.25">
      <c r="A80" s="1" t="s">
        <v>67</v>
      </c>
      <c r="B80" s="1" t="s">
        <v>92</v>
      </c>
      <c r="C80" s="7" t="s">
        <v>48</v>
      </c>
      <c r="D80" s="1" t="s">
        <v>6</v>
      </c>
      <c r="E80" s="2" t="str">
        <f>HYPERLINK("Z:\Thesis\PromptSpecific\RIPMistype\router55.png","Prompt79")</f>
        <v>Prompt79</v>
      </c>
    </row>
    <row r="81" spans="1:5" s="3" customFormat="1" x14ac:dyDescent="0.25">
      <c r="A81" s="3" t="s">
        <v>67</v>
      </c>
      <c r="B81" s="3" t="s">
        <v>92</v>
      </c>
      <c r="C81" s="8" t="s">
        <v>48</v>
      </c>
      <c r="D81" s="3" t="s">
        <v>47</v>
      </c>
      <c r="E81" s="4" t="str">
        <f>HYPERLINK("Z:\Thesis\PromptSpecific\RIPMistype\router56.png","Prompt80")</f>
        <v>Prompt80</v>
      </c>
    </row>
    <row r="83" spans="1:5" x14ac:dyDescent="0.25">
      <c r="C83" s="12" t="s">
        <v>93</v>
      </c>
      <c r="D83" s="12" t="s">
        <v>94</v>
      </c>
      <c r="E83" s="14" t="s">
        <v>96</v>
      </c>
    </row>
    <row r="84" spans="1:5" x14ac:dyDescent="0.25">
      <c r="A84" s="11" t="s">
        <v>7</v>
      </c>
      <c r="B84" s="11">
        <v>120</v>
      </c>
      <c r="C84" s="11">
        <v>73</v>
      </c>
      <c r="D84" s="11">
        <v>47</v>
      </c>
      <c r="E84" s="13">
        <f>C84/B84</f>
        <v>0.60833333333333328</v>
      </c>
    </row>
    <row r="85" spans="1:5" x14ac:dyDescent="0.25">
      <c r="A85" s="11" t="s">
        <v>95</v>
      </c>
      <c r="B85" s="11">
        <v>20</v>
      </c>
      <c r="C85" s="11">
        <v>17</v>
      </c>
      <c r="D85" s="11">
        <v>3</v>
      </c>
      <c r="E85" s="13">
        <f>C85/B85</f>
        <v>0.85</v>
      </c>
    </row>
  </sheetData>
  <dataValidations count="3">
    <dataValidation type="list" allowBlank="1" showInputMessage="1" showErrorMessage="1" sqref="D1:D82 D86:D1048576" xr:uid="{736FCE3B-EAAD-48DE-8F70-E31CEAA49A0A}">
      <formula1>"Yes, No, 1 Error, 2 Error"</formula1>
    </dataValidation>
    <dataValidation type="list" allowBlank="1" showInputMessage="1" showErrorMessage="1" sqref="C1:C82 C86:C1048576" xr:uid="{48F8CC9F-812E-49E3-A031-3AB70110A9DA}">
      <formula1>"1, 2, 3, Mistype"</formula1>
    </dataValidation>
    <dataValidation type="list" allowBlank="1" showInputMessage="1" showErrorMessage="1" sqref="A86:A1048576 A1:A82" xr:uid="{8F9D317C-F984-4E77-BD5B-1B6802F8C843}">
      <formula1>"AAA, EIGRP, VLAN, OSPF, RIP"</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6E58CAC0-1AF9-406F-8C10-EBD684EF4AB7}">
          <x14:formula1>
            <xm:f>Errors!$A$1:$A$40</xm:f>
          </x14:formula1>
          <xm:sqref>F1:H1 F2:F21 G2:H26</xm:sqref>
        </x14:dataValidation>
        <x14:dataValidation type="list" allowBlank="1" showInputMessage="1" showErrorMessage="1" xr:uid="{331C931C-0E57-487F-A225-74E743428BC1}">
          <x14:formula1>
            <xm:f>Errors!$R$1:$R$40</xm:f>
          </x14:formula1>
          <xm:sqref>F62:H81</xm:sqref>
        </x14:dataValidation>
        <x14:dataValidation type="list" allowBlank="1" showInputMessage="1" showErrorMessage="1" xr:uid="{38C302EB-2682-428D-9176-2A330AF76EE9}">
          <x14:formula1>
            <xm:f>Errors!$M$1:$M$40</xm:f>
          </x14:formula1>
          <xm:sqref>F42:H61</xm:sqref>
        </x14:dataValidation>
        <x14:dataValidation type="list" allowBlank="1" showInputMessage="1" showErrorMessage="1" xr:uid="{718E099C-AFCB-4AAC-88F4-92B533CA66F0}">
          <x14:formula1>
            <xm:f>Errors!$H$1:$H$40</xm:f>
          </x14:formula1>
          <xm:sqref>F22:F40 G27:H41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155C7-8849-4291-A9EA-B114CA494A91}">
  <dimension ref="A1:R35"/>
  <sheetViews>
    <sheetView workbookViewId="0">
      <selection activeCell="N17" sqref="N17"/>
    </sheetView>
  </sheetViews>
  <sheetFormatPr defaultRowHeight="15" x14ac:dyDescent="0.25"/>
  <sheetData>
    <row r="1" spans="1:18" x14ac:dyDescent="0.25">
      <c r="A1" t="s">
        <v>8</v>
      </c>
      <c r="H1" t="s">
        <v>78</v>
      </c>
      <c r="M1" t="s">
        <v>63</v>
      </c>
      <c r="R1" t="s">
        <v>68</v>
      </c>
    </row>
    <row r="2" spans="1:18" x14ac:dyDescent="0.25">
      <c r="A2" t="s">
        <v>9</v>
      </c>
      <c r="H2" t="s">
        <v>79</v>
      </c>
      <c r="M2" t="s">
        <v>64</v>
      </c>
      <c r="R2" t="s">
        <v>69</v>
      </c>
    </row>
    <row r="3" spans="1:18" x14ac:dyDescent="0.25">
      <c r="A3" t="s">
        <v>10</v>
      </c>
      <c r="H3" t="s">
        <v>80</v>
      </c>
      <c r="M3" t="s">
        <v>65</v>
      </c>
      <c r="R3" t="s">
        <v>59</v>
      </c>
    </row>
    <row r="4" spans="1:18" x14ac:dyDescent="0.25">
      <c r="A4" t="s">
        <v>11</v>
      </c>
      <c r="H4" t="s">
        <v>81</v>
      </c>
      <c r="R4" t="s">
        <v>70</v>
      </c>
    </row>
    <row r="5" spans="1:18" x14ac:dyDescent="0.25">
      <c r="A5" t="s">
        <v>12</v>
      </c>
      <c r="H5" t="s">
        <v>82</v>
      </c>
      <c r="R5" t="s">
        <v>71</v>
      </c>
    </row>
    <row r="6" spans="1:18" x14ac:dyDescent="0.25">
      <c r="A6" t="s">
        <v>13</v>
      </c>
      <c r="H6" t="s">
        <v>83</v>
      </c>
      <c r="R6" t="s">
        <v>56</v>
      </c>
    </row>
    <row r="7" spans="1:18" x14ac:dyDescent="0.25">
      <c r="A7" t="s">
        <v>14</v>
      </c>
      <c r="H7" t="s">
        <v>84</v>
      </c>
      <c r="R7" t="s">
        <v>57</v>
      </c>
    </row>
    <row r="8" spans="1:18" x14ac:dyDescent="0.25">
      <c r="A8" t="s">
        <v>15</v>
      </c>
      <c r="H8" t="s">
        <v>85</v>
      </c>
      <c r="R8" t="s">
        <v>58</v>
      </c>
    </row>
    <row r="9" spans="1:18" x14ac:dyDescent="0.25">
      <c r="A9" t="s">
        <v>16</v>
      </c>
      <c r="H9" t="s">
        <v>86</v>
      </c>
      <c r="R9" t="s">
        <v>60</v>
      </c>
    </row>
    <row r="10" spans="1:18" x14ac:dyDescent="0.25">
      <c r="A10" t="s">
        <v>17</v>
      </c>
      <c r="H10" t="s">
        <v>87</v>
      </c>
      <c r="R10" t="s">
        <v>72</v>
      </c>
    </row>
    <row r="11" spans="1:18" x14ac:dyDescent="0.25">
      <c r="A11" t="s">
        <v>18</v>
      </c>
      <c r="H11" t="s">
        <v>88</v>
      </c>
      <c r="R11" t="s">
        <v>73</v>
      </c>
    </row>
    <row r="12" spans="1:18" x14ac:dyDescent="0.25">
      <c r="A12" t="s">
        <v>19</v>
      </c>
      <c r="H12" t="s">
        <v>89</v>
      </c>
      <c r="R12" t="s">
        <v>61</v>
      </c>
    </row>
    <row r="13" spans="1:18" x14ac:dyDescent="0.25">
      <c r="A13" t="s">
        <v>20</v>
      </c>
      <c r="H13" t="s">
        <v>90</v>
      </c>
      <c r="R13" t="s">
        <v>74</v>
      </c>
    </row>
    <row r="14" spans="1:18" x14ac:dyDescent="0.25">
      <c r="A14" t="s">
        <v>21</v>
      </c>
      <c r="R14" t="s">
        <v>75</v>
      </c>
    </row>
    <row r="15" spans="1:18" x14ac:dyDescent="0.25">
      <c r="A15" t="s">
        <v>22</v>
      </c>
    </row>
    <row r="16" spans="1:18" x14ac:dyDescent="0.25">
      <c r="A16" t="s">
        <v>23</v>
      </c>
    </row>
    <row r="17" spans="1:1" x14ac:dyDescent="0.25">
      <c r="A17" t="s">
        <v>24</v>
      </c>
    </row>
    <row r="18" spans="1:1" x14ac:dyDescent="0.25">
      <c r="A18" t="s">
        <v>25</v>
      </c>
    </row>
    <row r="19" spans="1:1" x14ac:dyDescent="0.25">
      <c r="A19" t="s">
        <v>26</v>
      </c>
    </row>
    <row r="20" spans="1:1" x14ac:dyDescent="0.25">
      <c r="A20" t="s">
        <v>27</v>
      </c>
    </row>
    <row r="21" spans="1:1" x14ac:dyDescent="0.25">
      <c r="A21" t="s">
        <v>28</v>
      </c>
    </row>
    <row r="22" spans="1:1" x14ac:dyDescent="0.25">
      <c r="A22" t="s">
        <v>29</v>
      </c>
    </row>
    <row r="23" spans="1:1" x14ac:dyDescent="0.25">
      <c r="A23" t="s">
        <v>30</v>
      </c>
    </row>
    <row r="24" spans="1:1" x14ac:dyDescent="0.25">
      <c r="A24" t="s">
        <v>31</v>
      </c>
    </row>
    <row r="25" spans="1:1" x14ac:dyDescent="0.25">
      <c r="A25" t="s">
        <v>32</v>
      </c>
    </row>
    <row r="26" spans="1:1" x14ac:dyDescent="0.25">
      <c r="A26" t="s">
        <v>33</v>
      </c>
    </row>
    <row r="27" spans="1:1" x14ac:dyDescent="0.25">
      <c r="A27" t="s">
        <v>34</v>
      </c>
    </row>
    <row r="28" spans="1:1" x14ac:dyDescent="0.25">
      <c r="A28" t="s">
        <v>35</v>
      </c>
    </row>
    <row r="29" spans="1:1" x14ac:dyDescent="0.25">
      <c r="A29" t="s">
        <v>36</v>
      </c>
    </row>
    <row r="30" spans="1:1" x14ac:dyDescent="0.25">
      <c r="A30" t="s">
        <v>37</v>
      </c>
    </row>
    <row r="31" spans="1:1" x14ac:dyDescent="0.25">
      <c r="A31" t="s">
        <v>38</v>
      </c>
    </row>
    <row r="32" spans="1:1" x14ac:dyDescent="0.25">
      <c r="A32" t="s">
        <v>39</v>
      </c>
    </row>
    <row r="33" spans="1:1" x14ac:dyDescent="0.25">
      <c r="A33" t="s">
        <v>40</v>
      </c>
    </row>
    <row r="34" spans="1:1" x14ac:dyDescent="0.25">
      <c r="A34" t="s">
        <v>41</v>
      </c>
    </row>
    <row r="35" spans="1:1" x14ac:dyDescent="0.25">
      <c r="A35" t="s">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vt:lpstr>
      <vt:lpstr>Mid</vt:lpstr>
      <vt:lpstr>Specific</vt:lpstr>
      <vt:lpstr>Errors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Camilleri</dc:creator>
  <cp:lastModifiedBy>Jonathan Camilleri</cp:lastModifiedBy>
  <dcterms:created xsi:type="dcterms:W3CDTF">2025-07-20T17:36:27Z</dcterms:created>
  <dcterms:modified xsi:type="dcterms:W3CDTF">2025-08-21T20:01:01Z</dcterms:modified>
</cp:coreProperties>
</file>