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urthMacbookAir/Desktop/"/>
    </mc:Choice>
  </mc:AlternateContent>
  <xr:revisionPtr revIDLastSave="0" documentId="12_ncr:500000_{D8AAFE73-0806-9C46-B21A-36DB0ACFE9AF}" xr6:coauthVersionLast="31" xr6:coauthVersionMax="31" xr10:uidLastSave="{00000000-0000-0000-0000-000000000000}"/>
  <bookViews>
    <workbookView xWindow="0" yWindow="1360" windowWidth="26840" windowHeight="14680" activeTab="8" xr2:uid="{229AE108-717C-974F-99E2-3E6C99552A47}"/>
  </bookViews>
  <sheets>
    <sheet name="COGS" sheetId="6" r:id="rId1"/>
    <sheet name="Product Cost Basis" sheetId="7" r:id="rId2"/>
    <sheet name="Profit Forecast" sheetId="8" r:id="rId3"/>
    <sheet name="BlackSheepYoga" sheetId="9" r:id="rId4"/>
    <sheet name="Product Cost" sheetId="5" r:id="rId5"/>
    <sheet name="Cup of Joe" sheetId="4" r:id="rId6"/>
    <sheet name="Store Inventory" sheetId="1" r:id="rId7"/>
    <sheet name="Tea Pricing" sheetId="2" r:id="rId8"/>
    <sheet name="Order History" sheetId="3" r:id="rId9"/>
  </sheets>
  <externalReferences>
    <externalReference r:id="rId1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9" l="1"/>
  <c r="D58" i="8"/>
  <c r="D57" i="8"/>
  <c r="E56" i="8"/>
  <c r="L44" i="8"/>
  <c r="K44" i="8"/>
  <c r="G41" i="8"/>
  <c r="G40" i="8"/>
  <c r="G39" i="8"/>
  <c r="G38" i="8"/>
  <c r="G37" i="8"/>
  <c r="G36" i="8"/>
  <c r="G35" i="8"/>
  <c r="G34" i="8"/>
  <c r="G33" i="8"/>
  <c r="G32" i="8"/>
  <c r="G31" i="8"/>
  <c r="G30" i="8"/>
  <c r="G28" i="8"/>
  <c r="G27" i="8"/>
  <c r="G26" i="8"/>
  <c r="G25" i="8"/>
  <c r="G24" i="8"/>
  <c r="G23" i="8"/>
  <c r="G22" i="8"/>
  <c r="G19" i="8"/>
  <c r="G18" i="8"/>
  <c r="G17" i="8"/>
  <c r="G14" i="8"/>
  <c r="G13" i="8"/>
  <c r="G11" i="8"/>
  <c r="G10" i="8"/>
  <c r="G9" i="8"/>
  <c r="G7" i="8"/>
  <c r="D7" i="8"/>
  <c r="G6" i="8"/>
  <c r="J6" i="8" s="1"/>
  <c r="L6" i="8" s="1"/>
  <c r="L5" i="8"/>
  <c r="J5" i="8"/>
  <c r="G5" i="8"/>
  <c r="G4" i="8"/>
  <c r="D217" i="7"/>
  <c r="D214" i="7"/>
  <c r="D213" i="7"/>
  <c r="C212" i="7"/>
  <c r="D212" i="7" s="1"/>
  <c r="D211" i="7"/>
  <c r="D210" i="7"/>
  <c r="C209" i="7"/>
  <c r="D202" i="7"/>
  <c r="D199" i="7"/>
  <c r="D198" i="7"/>
  <c r="D196" i="7"/>
  <c r="D195" i="7"/>
  <c r="B195" i="7"/>
  <c r="C194" i="7"/>
  <c r="D194" i="7" s="1"/>
  <c r="C192" i="7"/>
  <c r="D192" i="7" s="1"/>
  <c r="D189" i="7"/>
  <c r="C189" i="7"/>
  <c r="D183" i="7"/>
  <c r="C179" i="7"/>
  <c r="D179" i="7" s="1"/>
  <c r="B177" i="7"/>
  <c r="C176" i="7"/>
  <c r="D176" i="7" s="1"/>
  <c r="D163" i="7"/>
  <c r="C161" i="7"/>
  <c r="D161" i="7" s="1"/>
  <c r="B159" i="7"/>
  <c r="D158" i="7"/>
  <c r="D153" i="7"/>
  <c r="C153" i="7"/>
  <c r="C147" i="7"/>
  <c r="D145" i="7"/>
  <c r="C145" i="7"/>
  <c r="B143" i="7"/>
  <c r="D128" i="7"/>
  <c r="B123" i="7"/>
  <c r="D112" i="7"/>
  <c r="D111" i="7"/>
  <c r="B109" i="7"/>
  <c r="D85" i="7"/>
  <c r="B79" i="7"/>
  <c r="D68" i="7"/>
  <c r="C68" i="7" s="1"/>
  <c r="B51" i="7"/>
  <c r="C70" i="7" s="1"/>
  <c r="B49" i="7"/>
  <c r="D34" i="7"/>
  <c r="D31" i="7"/>
  <c r="D30" i="7"/>
  <c r="D28" i="7"/>
  <c r="B27" i="7"/>
  <c r="D27" i="7" s="1"/>
  <c r="C25" i="7"/>
  <c r="D25" i="7" s="1"/>
  <c r="D22" i="7"/>
  <c r="C22" i="7"/>
  <c r="D15" i="7"/>
  <c r="B10" i="7"/>
  <c r="D8" i="7"/>
  <c r="D7" i="7"/>
  <c r="D6" i="7"/>
  <c r="D3" i="7"/>
  <c r="F146" i="6"/>
  <c r="F145" i="6"/>
  <c r="F144" i="6"/>
  <c r="F142" i="6"/>
  <c r="D182" i="7" s="1"/>
  <c r="F140" i="6"/>
  <c r="C44" i="7" s="1"/>
  <c r="D44" i="7" s="1"/>
  <c r="F137" i="6"/>
  <c r="F136" i="6"/>
  <c r="F135" i="6"/>
  <c r="F131" i="6"/>
  <c r="D146" i="7" s="1"/>
  <c r="F130" i="6"/>
  <c r="F129" i="6"/>
  <c r="F128" i="6"/>
  <c r="F127" i="6"/>
  <c r="C191" i="7" s="1"/>
  <c r="D191" i="7" s="1"/>
  <c r="F126" i="6"/>
  <c r="F125" i="6"/>
  <c r="F124" i="6"/>
  <c r="F123" i="6"/>
  <c r="F122" i="6"/>
  <c r="F121" i="6"/>
  <c r="F120" i="6"/>
  <c r="F119" i="6"/>
  <c r="F118" i="6"/>
  <c r="F116" i="6"/>
  <c r="F115" i="6"/>
  <c r="C105" i="7" s="1"/>
  <c r="D105" i="7" s="1"/>
  <c r="F114" i="6"/>
  <c r="F113" i="6"/>
  <c r="F112" i="6"/>
  <c r="F110" i="6"/>
  <c r="F109" i="6"/>
  <c r="F108" i="6"/>
  <c r="F107" i="6"/>
  <c r="F106" i="6"/>
  <c r="F105" i="6"/>
  <c r="D164" i="7" s="1"/>
  <c r="F104" i="6"/>
  <c r="C141" i="7" s="1"/>
  <c r="D141" i="7" s="1"/>
  <c r="F103" i="6"/>
  <c r="F102" i="6"/>
  <c r="F101" i="6"/>
  <c r="F100" i="6"/>
  <c r="F99" i="6"/>
  <c r="F98" i="6"/>
  <c r="F97" i="6"/>
  <c r="F96" i="6"/>
  <c r="F95" i="6"/>
  <c r="C45" i="7" s="1"/>
  <c r="D45" i="7" s="1"/>
  <c r="F94" i="6"/>
  <c r="F93" i="6"/>
  <c r="F92" i="6"/>
  <c r="C174" i="7" s="1"/>
  <c r="D174" i="7" s="1"/>
  <c r="F91" i="6"/>
  <c r="D218" i="7" s="1"/>
  <c r="F90" i="6"/>
  <c r="F89" i="6"/>
  <c r="F88" i="6"/>
  <c r="F87" i="6"/>
  <c r="F86" i="6"/>
  <c r="C47" i="7" s="1"/>
  <c r="D47" i="7" s="1"/>
  <c r="F85" i="6"/>
  <c r="F84" i="6"/>
  <c r="C136" i="7" s="1"/>
  <c r="D136" i="7" s="1"/>
  <c r="F83" i="6"/>
  <c r="F82" i="6"/>
  <c r="F81" i="6"/>
  <c r="C171" i="7" s="1"/>
  <c r="D171" i="7" s="1"/>
  <c r="F80" i="6"/>
  <c r="F79" i="6"/>
  <c r="F78" i="6"/>
  <c r="F77" i="6"/>
  <c r="C142" i="7" s="1"/>
  <c r="D142" i="7" s="1"/>
  <c r="F76" i="6"/>
  <c r="F75" i="6"/>
  <c r="F74" i="6"/>
  <c r="F71" i="6"/>
  <c r="D203" i="7" s="1"/>
  <c r="F69" i="6"/>
  <c r="F63" i="6"/>
  <c r="C91" i="7" s="1"/>
  <c r="D91" i="7" s="1"/>
  <c r="F59" i="6"/>
  <c r="C53" i="6"/>
  <c r="C54" i="6" s="1"/>
  <c r="C55" i="6" s="1"/>
  <c r="C52" i="6"/>
  <c r="C51" i="6"/>
  <c r="G49" i="6"/>
  <c r="F41" i="6"/>
  <c r="C12" i="7" s="1"/>
  <c r="D12" i="7" s="1"/>
  <c r="F38" i="6"/>
  <c r="C51" i="7" s="1"/>
  <c r="D51" i="7" s="1"/>
  <c r="J30" i="6"/>
  <c r="J29" i="6"/>
  <c r="C48" i="7" s="1"/>
  <c r="D48" i="7" s="1"/>
  <c r="J28" i="6"/>
  <c r="J27" i="6"/>
  <c r="C193" i="7" s="1"/>
  <c r="D193" i="7" s="1"/>
  <c r="J26" i="6"/>
  <c r="C77" i="7" s="1"/>
  <c r="J25" i="6"/>
  <c r="C125" i="7" s="1"/>
  <c r="D125" i="7" s="1"/>
  <c r="J24" i="6"/>
  <c r="J23" i="6"/>
  <c r="C23" i="7" s="1"/>
  <c r="D23" i="7" s="1"/>
  <c r="J22" i="6"/>
  <c r="C137" i="7" s="1"/>
  <c r="D137" i="7" s="1"/>
  <c r="J21" i="6"/>
  <c r="C122" i="7" s="1"/>
  <c r="D122" i="7" s="1"/>
  <c r="J20" i="6"/>
  <c r="J19" i="6"/>
  <c r="C173" i="7" s="1"/>
  <c r="D173" i="7" s="1"/>
  <c r="J18" i="6"/>
  <c r="C119" i="7" s="1"/>
  <c r="D119" i="7" s="1"/>
  <c r="J17" i="6"/>
  <c r="J16" i="6"/>
  <c r="B209" i="7" s="1"/>
  <c r="J15" i="6"/>
  <c r="J14" i="6"/>
  <c r="J13" i="6"/>
  <c r="C170" i="7" s="1"/>
  <c r="D170" i="7" s="1"/>
  <c r="R12" i="6"/>
  <c r="J12" i="6"/>
  <c r="C76" i="7" s="1"/>
  <c r="R11" i="6"/>
  <c r="J11" i="6"/>
  <c r="C118" i="7" s="1"/>
  <c r="D118" i="7" s="1"/>
  <c r="R10" i="6"/>
  <c r="J10" i="6"/>
  <c r="C94" i="7" s="1"/>
  <c r="R9" i="6"/>
  <c r="J9" i="6"/>
  <c r="O8" i="6"/>
  <c r="R8" i="6" s="1"/>
  <c r="J8" i="6"/>
  <c r="D4" i="7" s="1"/>
  <c r="R7" i="6"/>
  <c r="J7" i="6"/>
  <c r="C121" i="7" s="1"/>
  <c r="D121" i="7" s="1"/>
  <c r="R6" i="6"/>
  <c r="J6" i="6"/>
  <c r="C139" i="7" s="1"/>
  <c r="D139" i="7" s="1"/>
  <c r="J5" i="6"/>
  <c r="D5" i="7" s="1"/>
  <c r="O4" i="6"/>
  <c r="R4" i="6" s="1"/>
  <c r="J4" i="6"/>
  <c r="C120" i="7" s="1"/>
  <c r="D120" i="7" s="1"/>
  <c r="D177" i="7" l="1"/>
  <c r="D123" i="7"/>
  <c r="D131" i="7" s="1"/>
  <c r="D21" i="8" s="1"/>
  <c r="G21" i="8" s="1"/>
  <c r="D209" i="7"/>
  <c r="D220" i="7" s="1"/>
  <c r="D46" i="8" s="1"/>
  <c r="D77" i="7"/>
  <c r="H77" i="7"/>
  <c r="H76" i="7"/>
  <c r="D76" i="7"/>
  <c r="C24" i="7"/>
  <c r="D24" i="7" s="1"/>
  <c r="D37" i="7" s="1"/>
  <c r="C26" i="7"/>
  <c r="D26" i="7" s="1"/>
  <c r="C42" i="7"/>
  <c r="D42" i="7" s="1"/>
  <c r="C46" i="7"/>
  <c r="D46" i="7" s="1"/>
  <c r="C75" i="7"/>
  <c r="C93" i="7"/>
  <c r="D95" i="7"/>
  <c r="C104" i="7"/>
  <c r="D104" i="7" s="1"/>
  <c r="C106" i="7"/>
  <c r="D106" i="7" s="1"/>
  <c r="C108" i="7"/>
  <c r="D108" i="7" s="1"/>
  <c r="C138" i="7"/>
  <c r="D138" i="7" s="1"/>
  <c r="C140" i="7"/>
  <c r="D140" i="7" s="1"/>
  <c r="D143" i="7" s="1"/>
  <c r="D148" i="7" s="1"/>
  <c r="C155" i="7"/>
  <c r="D155" i="7" s="1"/>
  <c r="C157" i="7"/>
  <c r="D157" i="7" s="1"/>
  <c r="C175" i="7"/>
  <c r="D175" i="7" s="1"/>
  <c r="O5" i="6"/>
  <c r="R5" i="6" s="1"/>
  <c r="C29" i="7"/>
  <c r="D29" i="7" s="1"/>
  <c r="C78" i="7"/>
  <c r="D93" i="7"/>
  <c r="C190" i="7"/>
  <c r="D190" i="7" s="1"/>
  <c r="D205" i="7" s="1"/>
  <c r="D45" i="8" s="1"/>
  <c r="D16" i="7"/>
  <c r="D18" i="7" s="1"/>
  <c r="D3" i="8" s="1"/>
  <c r="G3" i="8" s="1"/>
  <c r="J3" i="8" s="1"/>
  <c r="L3" i="8" s="1"/>
  <c r="L47" i="8" s="1"/>
  <c r="D35" i="7"/>
  <c r="C43" i="7"/>
  <c r="D43" i="7" s="1"/>
  <c r="D54" i="7"/>
  <c r="D69" i="7"/>
  <c r="D86" i="7"/>
  <c r="C92" i="7"/>
  <c r="C103" i="7"/>
  <c r="D103" i="7" s="1"/>
  <c r="C107" i="7"/>
  <c r="D107" i="7" s="1"/>
  <c r="D129" i="7"/>
  <c r="C146" i="7"/>
  <c r="C152" i="7"/>
  <c r="D152" i="7" s="1"/>
  <c r="C154" i="7"/>
  <c r="D154" i="7" s="1"/>
  <c r="C156" i="7"/>
  <c r="D156" i="7" s="1"/>
  <c r="C172" i="7"/>
  <c r="D172" i="7" s="1"/>
  <c r="D185" i="7" s="1"/>
  <c r="D43" i="8" s="1"/>
  <c r="G43" i="8" s="1"/>
  <c r="C197" i="7"/>
  <c r="D197" i="7" s="1"/>
  <c r="C82" i="7"/>
  <c r="D82" i="7" s="1"/>
  <c r="D92" i="7"/>
  <c r="D98" i="7" s="1"/>
  <c r="D8" i="8" s="1"/>
  <c r="G8" i="8" s="1"/>
  <c r="D94" i="7"/>
  <c r="D20" i="8" l="1"/>
  <c r="G20" i="8" s="1"/>
  <c r="D16" i="8"/>
  <c r="G16" i="8" s="1"/>
  <c r="H75" i="7"/>
  <c r="D75" i="7"/>
  <c r="D79" i="7" s="1"/>
  <c r="D87" i="7" s="1"/>
  <c r="D12" i="8" s="1"/>
  <c r="G12" i="8" s="1"/>
  <c r="D159" i="7"/>
  <c r="D166" i="7" s="1"/>
  <c r="D42" i="8" s="1"/>
  <c r="G42" i="8" s="1"/>
  <c r="D109" i="7"/>
  <c r="D114" i="7" s="1"/>
  <c r="D15" i="8" s="1"/>
  <c r="G15" i="8" s="1"/>
  <c r="H78" i="7"/>
  <c r="D78" i="7"/>
  <c r="D56" i="7"/>
  <c r="D29" i="8" s="1"/>
  <c r="G29" i="8" s="1"/>
  <c r="H79" i="7" l="1"/>
  <c r="D27" i="5"/>
  <c r="D25" i="5"/>
  <c r="D24" i="5"/>
  <c r="B21" i="5"/>
  <c r="D20" i="5"/>
  <c r="C19" i="5"/>
  <c r="D19" i="5" s="1"/>
  <c r="D17" i="5"/>
  <c r="D15" i="5"/>
  <c r="D14" i="5"/>
  <c r="D13" i="5"/>
  <c r="D9" i="5"/>
  <c r="D8" i="5"/>
  <c r="D7" i="5"/>
  <c r="D6" i="5"/>
  <c r="D5" i="5"/>
  <c r="D4" i="5"/>
  <c r="D3" i="5"/>
  <c r="D2" i="5"/>
  <c r="E181" i="2" l="1"/>
  <c r="H181" i="2" s="1"/>
  <c r="E180" i="2"/>
  <c r="E179" i="2"/>
  <c r="E176" i="2"/>
  <c r="D176" i="2"/>
  <c r="C176" i="2"/>
  <c r="F163" i="2"/>
  <c r="F161" i="2"/>
  <c r="C161" i="2"/>
  <c r="E160" i="2"/>
  <c r="E159" i="2"/>
  <c r="E158" i="2"/>
  <c r="E157" i="2"/>
  <c r="E156" i="2"/>
  <c r="E155" i="2"/>
  <c r="E161" i="2" s="1"/>
  <c r="F143" i="2"/>
  <c r="F142" i="2"/>
  <c r="F141" i="2"/>
  <c r="F138" i="2"/>
  <c r="D138" i="2"/>
  <c r="C138" i="2"/>
  <c r="E137" i="2"/>
  <c r="E136" i="2"/>
  <c r="E135" i="2"/>
  <c r="E134" i="2"/>
  <c r="E133" i="2"/>
  <c r="E138" i="2" s="1"/>
  <c r="F128" i="2"/>
  <c r="E127" i="2"/>
  <c r="C125" i="2"/>
  <c r="E124" i="2"/>
  <c r="E123" i="2"/>
  <c r="E122" i="2"/>
  <c r="E125" i="2" s="1"/>
  <c r="F125" i="2" s="1"/>
  <c r="E121" i="2"/>
  <c r="E120" i="2"/>
  <c r="E119" i="2"/>
  <c r="F115" i="2"/>
  <c r="F114" i="2"/>
  <c r="F113" i="2"/>
  <c r="D110" i="2"/>
  <c r="E110" i="2" s="1"/>
  <c r="C110" i="2"/>
  <c r="F101" i="2"/>
  <c r="F103" i="2" s="1"/>
  <c r="F100" i="2"/>
  <c r="C96" i="2"/>
  <c r="E95" i="2"/>
  <c r="E94" i="2"/>
  <c r="E93" i="2"/>
  <c r="E92" i="2"/>
  <c r="E91" i="2"/>
  <c r="E90" i="2"/>
  <c r="E89" i="2"/>
  <c r="E96" i="2" s="1"/>
  <c r="F96" i="2" s="1"/>
  <c r="E83" i="2"/>
  <c r="C80" i="2"/>
  <c r="E79" i="2"/>
  <c r="E78" i="2"/>
  <c r="E77" i="2"/>
  <c r="E76" i="2"/>
  <c r="E75" i="2"/>
  <c r="E74" i="2"/>
  <c r="E73" i="2"/>
  <c r="E72" i="2"/>
  <c r="E80" i="2" s="1"/>
  <c r="H83" i="2" s="1"/>
  <c r="E66" i="2"/>
  <c r="E65" i="2"/>
  <c r="E67" i="2" s="1"/>
  <c r="C63" i="2"/>
  <c r="F62" i="2"/>
  <c r="F61" i="2"/>
  <c r="F60" i="2"/>
  <c r="F63" i="2" s="1"/>
  <c r="G63" i="2" s="1"/>
  <c r="F59" i="2"/>
  <c r="F58" i="2"/>
  <c r="E51" i="2"/>
  <c r="H51" i="2" s="1"/>
  <c r="E50" i="2"/>
  <c r="E49" i="2"/>
  <c r="E48" i="2"/>
  <c r="E46" i="2"/>
  <c r="D46" i="2"/>
  <c r="C46" i="2"/>
  <c r="E31" i="2"/>
  <c r="D28" i="2"/>
  <c r="E28" i="2" s="1"/>
  <c r="C28" i="2"/>
  <c r="H10" i="2"/>
  <c r="H11" i="2" s="1"/>
  <c r="H9" i="2"/>
  <c r="C9" i="2"/>
  <c r="F7" i="2"/>
  <c r="F6" i="2"/>
  <c r="F5" i="2"/>
  <c r="F4" i="2"/>
  <c r="F3" i="2"/>
  <c r="Q234" i="1"/>
  <c r="R234" i="1" s="1"/>
  <c r="O234" i="1"/>
  <c r="O210" i="1"/>
  <c r="Q210" i="1" s="1"/>
  <c r="R210" i="1" s="1"/>
  <c r="Q204" i="1"/>
  <c r="R204" i="1" s="1"/>
  <c r="O204" i="1"/>
  <c r="O203" i="1"/>
  <c r="Q203" i="1" s="1"/>
  <c r="Q202" i="1"/>
  <c r="R202" i="1" s="1"/>
  <c r="O202" i="1"/>
  <c r="O200" i="1"/>
  <c r="Q200" i="1" s="1"/>
  <c r="R200" i="1" s="1"/>
  <c r="Q199" i="1"/>
  <c r="R199" i="1" s="1"/>
  <c r="O199" i="1"/>
  <c r="O197" i="1"/>
  <c r="Q196" i="1"/>
  <c r="R196" i="1" s="1"/>
  <c r="O196" i="1"/>
  <c r="U195" i="1"/>
  <c r="R195" i="1"/>
  <c r="T195" i="1" s="1"/>
  <c r="Q195" i="1"/>
  <c r="O192" i="1"/>
  <c r="Q192" i="1" s="1"/>
  <c r="R192" i="1" s="1"/>
  <c r="Q191" i="1"/>
  <c r="O191" i="1"/>
  <c r="R191" i="1" s="1"/>
  <c r="O188" i="1"/>
  <c r="Q188" i="1" s="1"/>
  <c r="R188" i="1" s="1"/>
  <c r="Y186" i="1"/>
  <c r="O186" i="1"/>
  <c r="Q186" i="1" s="1"/>
  <c r="R186" i="1" s="1"/>
  <c r="O184" i="1"/>
  <c r="R184" i="1" s="1"/>
  <c r="Q183" i="1"/>
  <c r="R183" i="1" s="1"/>
  <c r="O183" i="1"/>
  <c r="R182" i="1"/>
  <c r="T182" i="1" s="1"/>
  <c r="U182" i="1" s="1"/>
  <c r="O182" i="1"/>
  <c r="Q182" i="1" s="1"/>
  <c r="O181" i="1"/>
  <c r="Q181" i="1" s="1"/>
  <c r="Q179" i="1"/>
  <c r="R179" i="1" s="1"/>
  <c r="O179" i="1"/>
  <c r="O177" i="1"/>
  <c r="R176" i="1"/>
  <c r="Q176" i="1"/>
  <c r="O176" i="1"/>
  <c r="Q175" i="1"/>
  <c r="N175" i="1"/>
  <c r="O175" i="1" s="1"/>
  <c r="Q174" i="1"/>
  <c r="R174" i="1" s="1"/>
  <c r="T174" i="1" s="1"/>
  <c r="U174" i="1" s="1"/>
  <c r="O174" i="1"/>
  <c r="O172" i="1"/>
  <c r="Q172" i="1" s="1"/>
  <c r="R172" i="1" s="1"/>
  <c r="T172" i="1" s="1"/>
  <c r="U172" i="1" s="1"/>
  <c r="R171" i="1"/>
  <c r="T171" i="1" s="1"/>
  <c r="O171" i="1"/>
  <c r="Q171" i="1" s="1"/>
  <c r="Q170" i="1"/>
  <c r="R170" i="1" s="1"/>
  <c r="O170" i="1"/>
  <c r="R168" i="1"/>
  <c r="O168" i="1"/>
  <c r="Q168" i="1" s="1"/>
  <c r="Q167" i="1"/>
  <c r="R167" i="1" s="1"/>
  <c r="O167" i="1"/>
  <c r="O161" i="1"/>
  <c r="Q161" i="1" s="1"/>
  <c r="R161" i="1" s="1"/>
  <c r="T161" i="1" s="1"/>
  <c r="U161" i="1" s="1"/>
  <c r="T160" i="1"/>
  <c r="U160" i="1" s="1"/>
  <c r="R160" i="1"/>
  <c r="Q160" i="1"/>
  <c r="O160" i="1"/>
  <c r="Q158" i="1"/>
  <c r="O158" i="1"/>
  <c r="O157" i="1"/>
  <c r="Q157" i="1" s="1"/>
  <c r="R156" i="1"/>
  <c r="T156" i="1" s="1"/>
  <c r="O156" i="1"/>
  <c r="Q156" i="1" s="1"/>
  <c r="O155" i="1"/>
  <c r="Q155" i="1" s="1"/>
  <c r="T152" i="1"/>
  <c r="U152" i="1" s="1"/>
  <c r="Q152" i="1"/>
  <c r="R152" i="1" s="1"/>
  <c r="Q151" i="1"/>
  <c r="R151" i="1" s="1"/>
  <c r="T151" i="1" s="1"/>
  <c r="U151" i="1" s="1"/>
  <c r="T150" i="1"/>
  <c r="U150" i="1" s="1"/>
  <c r="Q150" i="1"/>
  <c r="R150" i="1" s="1"/>
  <c r="Q149" i="1"/>
  <c r="R149" i="1" s="1"/>
  <c r="T149" i="1" s="1"/>
  <c r="U149" i="1" s="1"/>
  <c r="U146" i="1"/>
  <c r="R146" i="1"/>
  <c r="T146" i="1" s="1"/>
  <c r="Q146" i="1"/>
  <c r="R145" i="1"/>
  <c r="T145" i="1" s="1"/>
  <c r="U145" i="1" s="1"/>
  <c r="Q145" i="1"/>
  <c r="R144" i="1"/>
  <c r="T144" i="1" s="1"/>
  <c r="U144" i="1" s="1"/>
  <c r="Q144" i="1"/>
  <c r="O144" i="1"/>
  <c r="Q143" i="1"/>
  <c r="R143" i="1" s="1"/>
  <c r="T143" i="1" s="1"/>
  <c r="U143" i="1" s="1"/>
  <c r="Q142" i="1"/>
  <c r="R142" i="1" s="1"/>
  <c r="O142" i="1"/>
  <c r="R141" i="1"/>
  <c r="T141" i="1" s="1"/>
  <c r="U141" i="1" s="1"/>
  <c r="Q141" i="1"/>
  <c r="R140" i="1"/>
  <c r="T140" i="1" s="1"/>
  <c r="U140" i="1" s="1"/>
  <c r="Q140" i="1"/>
  <c r="U139" i="1"/>
  <c r="R139" i="1"/>
  <c r="T139" i="1" s="1"/>
  <c r="Q139" i="1"/>
  <c r="R138" i="1"/>
  <c r="T138" i="1" s="1"/>
  <c r="U138" i="1" s="1"/>
  <c r="Q138" i="1"/>
  <c r="R137" i="1"/>
  <c r="T137" i="1" s="1"/>
  <c r="U137" i="1" s="1"/>
  <c r="Q137" i="1"/>
  <c r="R136" i="1"/>
  <c r="T136" i="1" s="1"/>
  <c r="U136" i="1" s="1"/>
  <c r="Q136" i="1"/>
  <c r="U135" i="1"/>
  <c r="R135" i="1"/>
  <c r="T135" i="1" s="1"/>
  <c r="Q135" i="1"/>
  <c r="R134" i="1"/>
  <c r="T134" i="1" s="1"/>
  <c r="U134" i="1" s="1"/>
  <c r="Q134" i="1"/>
  <c r="R133" i="1"/>
  <c r="T133" i="1" s="1"/>
  <c r="U133" i="1" s="1"/>
  <c r="Q133" i="1"/>
  <c r="R132" i="1"/>
  <c r="T132" i="1" s="1"/>
  <c r="U132" i="1" s="1"/>
  <c r="Q132" i="1"/>
  <c r="U131" i="1"/>
  <c r="R131" i="1"/>
  <c r="T131" i="1" s="1"/>
  <c r="Q131" i="1"/>
  <c r="R130" i="1"/>
  <c r="T130" i="1" s="1"/>
  <c r="U130" i="1" s="1"/>
  <c r="Q130" i="1"/>
  <c r="Q129" i="1"/>
  <c r="Q128" i="1"/>
  <c r="R128" i="1" s="1"/>
  <c r="T127" i="1"/>
  <c r="U127" i="1" s="1"/>
  <c r="Q127" i="1"/>
  <c r="R127" i="1" s="1"/>
  <c r="O127" i="1"/>
  <c r="R126" i="1"/>
  <c r="T126" i="1" s="1"/>
  <c r="U126" i="1" s="1"/>
  <c r="Q126" i="1"/>
  <c r="L126" i="1"/>
  <c r="Q125" i="1"/>
  <c r="R125" i="1" s="1"/>
  <c r="T125" i="1" s="1"/>
  <c r="U125" i="1" s="1"/>
  <c r="Q124" i="1"/>
  <c r="R124" i="1" s="1"/>
  <c r="T124" i="1" s="1"/>
  <c r="U124" i="1" s="1"/>
  <c r="Q123" i="1"/>
  <c r="R123" i="1" s="1"/>
  <c r="T123" i="1" s="1"/>
  <c r="U123" i="1" s="1"/>
  <c r="Q122" i="1"/>
  <c r="R122" i="1" s="1"/>
  <c r="T122" i="1" s="1"/>
  <c r="U122" i="1" s="1"/>
  <c r="Q121" i="1"/>
  <c r="R121" i="1" s="1"/>
  <c r="T121" i="1" s="1"/>
  <c r="U121" i="1" s="1"/>
  <c r="Q120" i="1"/>
  <c r="R120" i="1" s="1"/>
  <c r="T120" i="1" s="1"/>
  <c r="U120" i="1" s="1"/>
  <c r="Q119" i="1"/>
  <c r="R119" i="1" s="1"/>
  <c r="T119" i="1" s="1"/>
  <c r="U119" i="1" s="1"/>
  <c r="O119" i="1"/>
  <c r="R118" i="1"/>
  <c r="T118" i="1" s="1"/>
  <c r="U118" i="1" s="1"/>
  <c r="Q118" i="1"/>
  <c r="R117" i="1"/>
  <c r="T117" i="1" s="1"/>
  <c r="U117" i="1" s="1"/>
  <c r="Q117" i="1"/>
  <c r="U116" i="1"/>
  <c r="R116" i="1"/>
  <c r="T116" i="1" s="1"/>
  <c r="Q116" i="1"/>
  <c r="R115" i="1"/>
  <c r="T115" i="1" s="1"/>
  <c r="U115" i="1" s="1"/>
  <c r="Q115" i="1"/>
  <c r="R114" i="1"/>
  <c r="Q114" i="1"/>
  <c r="R113" i="1"/>
  <c r="T113" i="1" s="1"/>
  <c r="U113" i="1" s="1"/>
  <c r="Q113" i="1"/>
  <c r="U112" i="1"/>
  <c r="R112" i="1"/>
  <c r="T112" i="1" s="1"/>
  <c r="Q112" i="1"/>
  <c r="R111" i="1"/>
  <c r="T111" i="1" s="1"/>
  <c r="U111" i="1" s="1"/>
  <c r="Q111" i="1"/>
  <c r="R110" i="1"/>
  <c r="T110" i="1" s="1"/>
  <c r="U110" i="1" s="1"/>
  <c r="Q110" i="1"/>
  <c r="R109" i="1"/>
  <c r="T109" i="1" s="1"/>
  <c r="U109" i="1" s="1"/>
  <c r="Q109" i="1"/>
  <c r="U108" i="1"/>
  <c r="R108" i="1"/>
  <c r="T108" i="1" s="1"/>
  <c r="Q108" i="1"/>
  <c r="R107" i="1"/>
  <c r="T107" i="1" s="1"/>
  <c r="U107" i="1" s="1"/>
  <c r="Q107" i="1"/>
  <c r="R106" i="1"/>
  <c r="T106" i="1" s="1"/>
  <c r="U106" i="1" s="1"/>
  <c r="Q106" i="1"/>
  <c r="R105" i="1"/>
  <c r="T105" i="1" s="1"/>
  <c r="U105" i="1" s="1"/>
  <c r="Q105" i="1"/>
  <c r="U104" i="1"/>
  <c r="R104" i="1"/>
  <c r="T104" i="1" s="1"/>
  <c r="Q104" i="1"/>
  <c r="R103" i="1"/>
  <c r="T103" i="1" s="1"/>
  <c r="U103" i="1" s="1"/>
  <c r="Q103" i="1"/>
  <c r="R102" i="1"/>
  <c r="T102" i="1" s="1"/>
  <c r="U102" i="1" s="1"/>
  <c r="Q102" i="1"/>
  <c r="R101" i="1"/>
  <c r="T101" i="1" s="1"/>
  <c r="U101" i="1" s="1"/>
  <c r="Q101" i="1"/>
  <c r="U100" i="1"/>
  <c r="R100" i="1"/>
  <c r="T100" i="1" s="1"/>
  <c r="Q100" i="1"/>
  <c r="R99" i="1"/>
  <c r="T99" i="1" s="1"/>
  <c r="U99" i="1" s="1"/>
  <c r="Q99" i="1"/>
  <c r="R98" i="1"/>
  <c r="T98" i="1" s="1"/>
  <c r="U98" i="1" s="1"/>
  <c r="Q98" i="1"/>
  <c r="R97" i="1"/>
  <c r="Q97" i="1"/>
  <c r="U96" i="1"/>
  <c r="R96" i="1"/>
  <c r="T96" i="1" s="1"/>
  <c r="Q96" i="1"/>
  <c r="R94" i="1"/>
  <c r="T94" i="1" s="1"/>
  <c r="U94" i="1" s="1"/>
  <c r="Q94" i="1"/>
  <c r="R93" i="1"/>
  <c r="T93" i="1" s="1"/>
  <c r="U93" i="1" s="1"/>
  <c r="Q93" i="1"/>
  <c r="R92" i="1"/>
  <c r="T92" i="1" s="1"/>
  <c r="U92" i="1" s="1"/>
  <c r="Q92" i="1"/>
  <c r="U91" i="1"/>
  <c r="R91" i="1"/>
  <c r="T91" i="1" s="1"/>
  <c r="Q91" i="1"/>
  <c r="R90" i="1"/>
  <c r="T90" i="1" s="1"/>
  <c r="U90" i="1" s="1"/>
  <c r="Q90" i="1"/>
  <c r="R89" i="1"/>
  <c r="T89" i="1" s="1"/>
  <c r="U89" i="1" s="1"/>
  <c r="Q89" i="1"/>
  <c r="R88" i="1"/>
  <c r="T88" i="1" s="1"/>
  <c r="U88" i="1" s="1"/>
  <c r="Q88" i="1"/>
  <c r="U87" i="1"/>
  <c r="R87" i="1"/>
  <c r="T87" i="1" s="1"/>
  <c r="Q87" i="1"/>
  <c r="R86" i="1"/>
  <c r="T86" i="1" s="1"/>
  <c r="U86" i="1" s="1"/>
  <c r="Q86" i="1"/>
  <c r="R85" i="1"/>
  <c r="T85" i="1" s="1"/>
  <c r="U85" i="1" s="1"/>
  <c r="Q85" i="1"/>
  <c r="R84" i="1"/>
  <c r="T84" i="1" s="1"/>
  <c r="U84" i="1" s="1"/>
  <c r="Q84" i="1"/>
  <c r="U83" i="1"/>
  <c r="T83" i="1"/>
  <c r="R82" i="1"/>
  <c r="T82" i="1" s="1"/>
  <c r="U82" i="1" s="1"/>
  <c r="Q82" i="1"/>
  <c r="R81" i="1"/>
  <c r="T81" i="1" s="1"/>
  <c r="U81" i="1" s="1"/>
  <c r="Q81" i="1"/>
  <c r="U80" i="1"/>
  <c r="R80" i="1"/>
  <c r="T80" i="1" s="1"/>
  <c r="Q80" i="1"/>
  <c r="R79" i="1"/>
  <c r="T79" i="1" s="1"/>
  <c r="U79" i="1" s="1"/>
  <c r="Q79" i="1"/>
  <c r="O78" i="1"/>
  <c r="Q78" i="1" s="1"/>
  <c r="R78" i="1" s="1"/>
  <c r="T78" i="1" s="1"/>
  <c r="U78" i="1" s="1"/>
  <c r="Q77" i="1"/>
  <c r="R77" i="1" s="1"/>
  <c r="T77" i="1" s="1"/>
  <c r="U77" i="1" s="1"/>
  <c r="Q76" i="1"/>
  <c r="R76" i="1" s="1"/>
  <c r="T76" i="1" s="1"/>
  <c r="U76" i="1" s="1"/>
  <c r="Q75" i="1"/>
  <c r="R75" i="1" s="1"/>
  <c r="T75" i="1" s="1"/>
  <c r="U75" i="1" s="1"/>
  <c r="R74" i="1"/>
  <c r="T74" i="1" s="1"/>
  <c r="U74" i="1" s="1"/>
  <c r="Q74" i="1"/>
  <c r="O74" i="1"/>
  <c r="T73" i="1"/>
  <c r="U73" i="1" s="1"/>
  <c r="R73" i="1"/>
  <c r="Q73" i="1"/>
  <c r="T72" i="1"/>
  <c r="U72" i="1" s="1"/>
  <c r="R72" i="1"/>
  <c r="Q72" i="1"/>
  <c r="T71" i="1"/>
  <c r="U71" i="1" s="1"/>
  <c r="R71" i="1"/>
  <c r="Q71" i="1"/>
  <c r="T70" i="1"/>
  <c r="U70" i="1" s="1"/>
  <c r="R70" i="1"/>
  <c r="Q70" i="1"/>
  <c r="T69" i="1"/>
  <c r="U69" i="1" s="1"/>
  <c r="R69" i="1"/>
  <c r="Q69" i="1"/>
  <c r="T68" i="1"/>
  <c r="U68" i="1" s="1"/>
  <c r="R68" i="1"/>
  <c r="Q68" i="1"/>
  <c r="Q67" i="1"/>
  <c r="R67" i="1" s="1"/>
  <c r="T67" i="1" s="1"/>
  <c r="U67" i="1" s="1"/>
  <c r="L67" i="1"/>
  <c r="U66" i="1"/>
  <c r="Q66" i="1"/>
  <c r="R66" i="1" s="1"/>
  <c r="T66" i="1" s="1"/>
  <c r="L66" i="1"/>
  <c r="Q65" i="1"/>
  <c r="R65" i="1" s="1"/>
  <c r="L65" i="1"/>
  <c r="R64" i="1"/>
  <c r="T64" i="1" s="1"/>
  <c r="U64" i="1" s="1"/>
  <c r="Q64" i="1"/>
  <c r="R63" i="1"/>
  <c r="T63" i="1" s="1"/>
  <c r="U63" i="1" s="1"/>
  <c r="Q63" i="1"/>
  <c r="R62" i="1"/>
  <c r="T62" i="1" s="1"/>
  <c r="U62" i="1" s="1"/>
  <c r="Q62" i="1"/>
  <c r="O62" i="1"/>
  <c r="T61" i="1"/>
  <c r="U61" i="1" s="1"/>
  <c r="Q61" i="1"/>
  <c r="R61" i="1" s="1"/>
  <c r="T60" i="1"/>
  <c r="U60" i="1" s="1"/>
  <c r="Q60" i="1"/>
  <c r="R60" i="1" s="1"/>
  <c r="T59" i="1"/>
  <c r="U59" i="1" s="1"/>
  <c r="Q59" i="1"/>
  <c r="R59" i="1" s="1"/>
  <c r="T58" i="1"/>
  <c r="U58" i="1" s="1"/>
  <c r="O58" i="1"/>
  <c r="Q58" i="1" s="1"/>
  <c r="R58" i="1" s="1"/>
  <c r="Q57" i="1"/>
  <c r="R57" i="1" s="1"/>
  <c r="U56" i="1"/>
  <c r="Q56" i="1"/>
  <c r="R56" i="1" s="1"/>
  <c r="T56" i="1" s="1"/>
  <c r="U55" i="1"/>
  <c r="Q55" i="1"/>
  <c r="R55" i="1" s="1"/>
  <c r="T55" i="1" s="1"/>
  <c r="U54" i="1"/>
  <c r="Q54" i="1"/>
  <c r="R54" i="1" s="1"/>
  <c r="T54" i="1" s="1"/>
  <c r="U53" i="1"/>
  <c r="Q53" i="1"/>
  <c r="R53" i="1" s="1"/>
  <c r="T53" i="1" s="1"/>
  <c r="U52" i="1"/>
  <c r="Q52" i="1"/>
  <c r="R52" i="1" s="1"/>
  <c r="T52" i="1" s="1"/>
  <c r="U51" i="1"/>
  <c r="O51" i="1"/>
  <c r="Q51" i="1" s="1"/>
  <c r="R51" i="1" s="1"/>
  <c r="T51" i="1" s="1"/>
  <c r="Q50" i="1"/>
  <c r="R50" i="1" s="1"/>
  <c r="T50" i="1" s="1"/>
  <c r="U50" i="1" s="1"/>
  <c r="Q49" i="1"/>
  <c r="R49" i="1" s="1"/>
  <c r="T49" i="1" s="1"/>
  <c r="U49" i="1" s="1"/>
  <c r="Q48" i="1"/>
  <c r="R48" i="1" s="1"/>
  <c r="T48" i="1" s="1"/>
  <c r="U48" i="1" s="1"/>
  <c r="O48" i="1"/>
  <c r="R47" i="1"/>
  <c r="T47" i="1" s="1"/>
  <c r="U47" i="1" s="1"/>
  <c r="Q47" i="1"/>
  <c r="R46" i="1"/>
  <c r="T46" i="1" s="1"/>
  <c r="U46" i="1" s="1"/>
  <c r="O46" i="1"/>
  <c r="Q46" i="1" s="1"/>
  <c r="T45" i="1"/>
  <c r="U45" i="1" s="1"/>
  <c r="O45" i="1"/>
  <c r="Q45" i="1" s="1"/>
  <c r="R45" i="1" s="1"/>
  <c r="U44" i="1"/>
  <c r="Q44" i="1"/>
  <c r="R44" i="1" s="1"/>
  <c r="T44" i="1" s="1"/>
  <c r="U43" i="1"/>
  <c r="Q43" i="1"/>
  <c r="R43" i="1" s="1"/>
  <c r="T43" i="1" s="1"/>
  <c r="U42" i="1"/>
  <c r="Q42" i="1"/>
  <c r="R42" i="1" s="1"/>
  <c r="T42" i="1" s="1"/>
  <c r="U41" i="1"/>
  <c r="O41" i="1"/>
  <c r="Q41" i="1" s="1"/>
  <c r="R41" i="1" s="1"/>
  <c r="T41" i="1" s="1"/>
  <c r="Q40" i="1"/>
  <c r="R40" i="1" s="1"/>
  <c r="Q39" i="1"/>
  <c r="R39" i="1" s="1"/>
  <c r="T39" i="1" s="1"/>
  <c r="U39" i="1" s="1"/>
  <c r="Q38" i="1"/>
  <c r="R38" i="1" s="1"/>
  <c r="T38" i="1" s="1"/>
  <c r="U38" i="1" s="1"/>
  <c r="Q37" i="1"/>
  <c r="R37" i="1" s="1"/>
  <c r="T37" i="1" s="1"/>
  <c r="U37" i="1" s="1"/>
  <c r="Q36" i="1"/>
  <c r="R36" i="1" s="1"/>
  <c r="T36" i="1" s="1"/>
  <c r="U36" i="1" s="1"/>
  <c r="Q35" i="1"/>
  <c r="R35" i="1" s="1"/>
  <c r="T35" i="1" s="1"/>
  <c r="U35" i="1" s="1"/>
  <c r="Q34" i="1"/>
  <c r="R34" i="1" s="1"/>
  <c r="T34" i="1" s="1"/>
  <c r="U34" i="1" s="1"/>
  <c r="Q33" i="1"/>
  <c r="R33" i="1" s="1"/>
  <c r="T33" i="1" s="1"/>
  <c r="U33" i="1" s="1"/>
  <c r="Q32" i="1"/>
  <c r="R32" i="1" s="1"/>
  <c r="T32" i="1" s="1"/>
  <c r="U32" i="1" s="1"/>
  <c r="O32" i="1"/>
  <c r="R31" i="1"/>
  <c r="T31" i="1" s="1"/>
  <c r="U31" i="1" s="1"/>
  <c r="Q31" i="1"/>
  <c r="R30" i="1"/>
  <c r="T30" i="1" s="1"/>
  <c r="U30" i="1" s="1"/>
  <c r="Q30" i="1"/>
  <c r="R29" i="1"/>
  <c r="T29" i="1" s="1"/>
  <c r="U29" i="1" s="1"/>
  <c r="Q29" i="1"/>
  <c r="R28" i="1"/>
  <c r="T28" i="1" s="1"/>
  <c r="U28" i="1" s="1"/>
  <c r="Q28" i="1"/>
  <c r="R27" i="1"/>
  <c r="T27" i="1" s="1"/>
  <c r="U27" i="1" s="1"/>
  <c r="Q27" i="1"/>
  <c r="R26" i="1"/>
  <c r="T26" i="1" s="1"/>
  <c r="U26" i="1" s="1"/>
  <c r="Q26" i="1"/>
  <c r="R25" i="1"/>
  <c r="T25" i="1" s="1"/>
  <c r="U25" i="1" s="1"/>
  <c r="Q25" i="1"/>
  <c r="R24" i="1"/>
  <c r="T24" i="1" s="1"/>
  <c r="U24" i="1" s="1"/>
  <c r="Q24" i="1"/>
  <c r="R23" i="1"/>
  <c r="T23" i="1" s="1"/>
  <c r="U23" i="1" s="1"/>
  <c r="Q23" i="1"/>
  <c r="R22" i="1"/>
  <c r="T22" i="1" s="1"/>
  <c r="U22" i="1" s="1"/>
  <c r="Q22" i="1"/>
  <c r="R21" i="1"/>
  <c r="T21" i="1" s="1"/>
  <c r="U21" i="1" s="1"/>
  <c r="Q21" i="1"/>
  <c r="R20" i="1"/>
  <c r="T20" i="1" s="1"/>
  <c r="U20" i="1" s="1"/>
  <c r="Q20" i="1"/>
  <c r="R19" i="1"/>
  <c r="T19" i="1" s="1"/>
  <c r="U19" i="1" s="1"/>
  <c r="Q19" i="1"/>
  <c r="R18" i="1"/>
  <c r="T18" i="1" s="1"/>
  <c r="U18" i="1" s="1"/>
  <c r="Q18" i="1"/>
  <c r="R17" i="1"/>
  <c r="T17" i="1" s="1"/>
  <c r="U17" i="1" s="1"/>
  <c r="Q17" i="1"/>
  <c r="O17" i="1"/>
  <c r="T16" i="1"/>
  <c r="U16" i="1" s="1"/>
  <c r="R16" i="1"/>
  <c r="Q16" i="1"/>
  <c r="O16" i="1"/>
  <c r="Q15" i="1"/>
  <c r="R15" i="1" s="1"/>
  <c r="T15" i="1" s="1"/>
  <c r="U15" i="1" s="1"/>
  <c r="Q14" i="1"/>
  <c r="R14" i="1" s="1"/>
  <c r="T14" i="1" s="1"/>
  <c r="U14" i="1" s="1"/>
  <c r="Q13" i="1"/>
  <c r="R13" i="1" s="1"/>
  <c r="T13" i="1" s="1"/>
  <c r="U13" i="1" s="1"/>
  <c r="Q12" i="1"/>
  <c r="R12" i="1" s="1"/>
  <c r="T12" i="1" s="1"/>
  <c r="U12" i="1" s="1"/>
  <c r="Q11" i="1"/>
  <c r="R11" i="1" s="1"/>
  <c r="T11" i="1" s="1"/>
  <c r="U11" i="1" s="1"/>
  <c r="O10" i="1"/>
  <c r="Q10" i="1" s="1"/>
  <c r="R10" i="1" s="1"/>
  <c r="T10" i="1" s="1"/>
  <c r="U10" i="1" s="1"/>
  <c r="Q9" i="1"/>
  <c r="R9" i="1" s="1"/>
  <c r="T9" i="1" s="1"/>
  <c r="U9" i="1" s="1"/>
  <c r="O9" i="1"/>
  <c r="R8" i="1"/>
  <c r="T8" i="1" s="1"/>
  <c r="U8" i="1" s="1"/>
  <c r="Q8" i="1"/>
  <c r="R7" i="1"/>
  <c r="T7" i="1" s="1"/>
  <c r="U7" i="1" s="1"/>
  <c r="Q7" i="1"/>
  <c r="O7" i="1"/>
  <c r="T6" i="1"/>
  <c r="U6" i="1" s="1"/>
  <c r="R6" i="1"/>
  <c r="Q6" i="1"/>
  <c r="T5" i="1"/>
  <c r="U5" i="1" s="1"/>
  <c r="R5" i="1"/>
  <c r="Q5" i="1"/>
  <c r="T4" i="1"/>
  <c r="U4" i="1" s="1"/>
  <c r="R4" i="1"/>
  <c r="Q4" i="1"/>
  <c r="T3" i="1"/>
  <c r="U3" i="1" s="1"/>
  <c r="R3" i="1"/>
  <c r="Q3" i="1"/>
  <c r="T2" i="1"/>
  <c r="U2" i="1" s="1"/>
  <c r="R2" i="1"/>
  <c r="Q2" i="1"/>
  <c r="G5" i="2" l="1"/>
  <c r="T57" i="1"/>
  <c r="U57" i="1" s="1"/>
  <c r="Q177" i="1"/>
  <c r="R177" i="1"/>
  <c r="T177" i="1" s="1"/>
  <c r="U177" i="1" s="1"/>
  <c r="F8" i="2"/>
  <c r="H67" i="2"/>
  <c r="G3" i="2"/>
  <c r="T40" i="1"/>
  <c r="U40" i="1" s="1"/>
  <c r="U148" i="1" s="1"/>
  <c r="G4" i="2"/>
  <c r="T65" i="1"/>
  <c r="U65" i="1" s="1"/>
  <c r="G6" i="2"/>
  <c r="T114" i="1"/>
  <c r="U114" i="1" s="1"/>
  <c r="F80" i="2"/>
  <c r="G7" i="2"/>
  <c r="T97" i="1"/>
  <c r="U97" i="1" s="1"/>
  <c r="R155" i="1"/>
  <c r="T155" i="1" s="1"/>
  <c r="R157" i="1"/>
  <c r="T157" i="1" s="1"/>
  <c r="R181" i="1"/>
  <c r="T181" i="1" s="1"/>
  <c r="H31" i="2"/>
  <c r="G103" i="2"/>
  <c r="P158" i="1"/>
  <c r="R158" i="1"/>
  <c r="T158" i="1" s="1"/>
  <c r="R203" i="1"/>
  <c r="G8" i="2" l="1"/>
  <c r="I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 Curth</author>
  </authors>
  <commentList>
    <comment ref="S144" authorId="0" shapeId="0" xr:uid="{5EDCA9F8-0E1B-014E-ABD8-EA369B696DD6}">
      <text>
        <r>
          <rPr>
            <b/>
            <sz val="10"/>
            <color rgb="FF000000"/>
            <rFont val="Tahoma"/>
            <family val="2"/>
          </rPr>
          <t>Joy Curth: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MRH is $4.75 for 4 oz which is 1.19 an ounce
</t>
        </r>
      </text>
    </comment>
  </commentList>
</comments>
</file>

<file path=xl/sharedStrings.xml><?xml version="1.0" encoding="utf-8"?>
<sst xmlns="http://schemas.openxmlformats.org/spreadsheetml/2006/main" count="2748" uniqueCount="1226">
  <si>
    <t>Location</t>
  </si>
  <si>
    <t>Jar</t>
  </si>
  <si>
    <t>Opened</t>
  </si>
  <si>
    <t>Remaining</t>
  </si>
  <si>
    <t>Label</t>
    <phoneticPr fontId="0" type="noConversion"/>
  </si>
  <si>
    <t>Organic</t>
  </si>
  <si>
    <t>Herb</t>
    <phoneticPr fontId="0" type="noConversion"/>
  </si>
  <si>
    <t>Supplier</t>
    <phoneticPr fontId="0" type="noConversion"/>
  </si>
  <si>
    <t>Lot</t>
  </si>
  <si>
    <t>Packaged Date</t>
  </si>
  <si>
    <t>Purchased Date</t>
  </si>
  <si>
    <t>Price</t>
    <phoneticPr fontId="0" type="noConversion"/>
  </si>
  <si>
    <t>Purchased</t>
  </si>
  <si>
    <t>lbs</t>
    <phoneticPr fontId="0" type="noConversion"/>
  </si>
  <si>
    <t>1 lb/5 lb</t>
  </si>
  <si>
    <t>Discount</t>
    <phoneticPr fontId="0" type="noConversion"/>
  </si>
  <si>
    <t>Discounted 25% or ?</t>
  </si>
  <si>
    <t>Cost per oz</t>
    <phoneticPr fontId="0" type="noConversion"/>
  </si>
  <si>
    <t>Retail per oz (Mt Rose)</t>
    <phoneticPr fontId="0" type="noConversion"/>
  </si>
  <si>
    <t>Profit Per Oz.</t>
    <phoneticPr fontId="0" type="noConversion"/>
  </si>
  <si>
    <t>Profit Per Qty</t>
  </si>
  <si>
    <t>Y</t>
  </si>
  <si>
    <t>Y</t>
    <phoneticPr fontId="0" type="noConversion"/>
  </si>
  <si>
    <t>Acacia Powder</t>
  </si>
  <si>
    <t>MRH</t>
  </si>
  <si>
    <t>Tea Box</t>
  </si>
  <si>
    <t>N</t>
  </si>
  <si>
    <t>n/a</t>
  </si>
  <si>
    <t>unknown</t>
  </si>
  <si>
    <t>Activated Charcoal</t>
    <phoneticPr fontId="0" type="noConversion"/>
  </si>
  <si>
    <t>Bulk/Starwest</t>
  </si>
  <si>
    <t>Basement</t>
  </si>
  <si>
    <t>Alfalfa Leaf</t>
    <phoneticPr fontId="0" type="noConversion"/>
  </si>
  <si>
    <t>MRH</t>
    <phoneticPr fontId="0" type="noConversion"/>
  </si>
  <si>
    <t>Anise Star Pods Whole</t>
    <phoneticPr fontId="0" type="noConversion"/>
  </si>
  <si>
    <t>Anise Star</t>
  </si>
  <si>
    <t>Starwest</t>
  </si>
  <si>
    <t>Arrow Root Powder</t>
    <phoneticPr fontId="0" type="noConversion"/>
  </si>
  <si>
    <t>B8856</t>
  </si>
  <si>
    <t>Astralagus Root</t>
    <phoneticPr fontId="0" type="noConversion"/>
  </si>
  <si>
    <t>Astralagus Root</t>
  </si>
  <si>
    <t>Wildharvested</t>
  </si>
  <si>
    <t>Barberry Root Bark</t>
  </si>
  <si>
    <t>23251-C</t>
  </si>
  <si>
    <t>Basil Leaf</t>
  </si>
  <si>
    <t>Bay Leaf</t>
    <phoneticPr fontId="0" type="noConversion"/>
  </si>
  <si>
    <t>Love bath</t>
    <phoneticPr fontId="0" type="noConversion"/>
  </si>
  <si>
    <t>1 oz</t>
    <phoneticPr fontId="0" type="noConversion"/>
  </si>
  <si>
    <t>Bayberry Bark</t>
    <phoneticPr fontId="0" type="noConversion"/>
  </si>
  <si>
    <t>Composition Powder</t>
    <phoneticPr fontId="0" type="noConversion"/>
  </si>
  <si>
    <t>Bee Pollen</t>
    <phoneticPr fontId="0" type="noConversion"/>
  </si>
  <si>
    <t>23062-C</t>
  </si>
  <si>
    <t>Energy Balls</t>
    <phoneticPr fontId="0" type="noConversion"/>
  </si>
  <si>
    <t>Pure</t>
  </si>
  <si>
    <t>Betonite Clay</t>
    <phoneticPr fontId="0" type="noConversion"/>
  </si>
  <si>
    <t>Bulk/Nature's Oil</t>
  </si>
  <si>
    <t>5 lbs</t>
  </si>
  <si>
    <t>Betonite Clay</t>
  </si>
  <si>
    <t>59188-CM</t>
  </si>
  <si>
    <t>No</t>
  </si>
  <si>
    <t>Blue Cohosh root</t>
    <phoneticPr fontId="0" type="noConversion"/>
  </si>
  <si>
    <t>23719-C</t>
  </si>
  <si>
    <t>Blessed Thistle</t>
    <phoneticPr fontId="0" type="noConversion"/>
  </si>
  <si>
    <t>Bulk Apothecary/starwest</t>
    <phoneticPr fontId="0" type="noConversion"/>
  </si>
  <si>
    <t>Borage</t>
    <phoneticPr fontId="0" type="noConversion"/>
  </si>
  <si>
    <t>23359-D</t>
  </si>
  <si>
    <t>Burdock Root</t>
    <phoneticPr fontId="0" type="noConversion"/>
  </si>
  <si>
    <t>Cacao Nibs</t>
  </si>
  <si>
    <t>FT23422</t>
  </si>
  <si>
    <t>Cardamon Pods Whole</t>
  </si>
  <si>
    <t>Carob Raw Powder</t>
  </si>
  <si>
    <t>23667-P</t>
  </si>
  <si>
    <t>Throat Balls</t>
    <phoneticPr fontId="0" type="noConversion"/>
  </si>
  <si>
    <t>Cascara Sagrada Bark Powder</t>
  </si>
  <si>
    <t>Catnip</t>
    <phoneticPr fontId="0" type="noConversion"/>
  </si>
  <si>
    <t>Cayenne</t>
    <phoneticPr fontId="0" type="noConversion"/>
  </si>
  <si>
    <t>FT23858</t>
  </si>
  <si>
    <t>Composition powder</t>
    <phoneticPr fontId="0" type="noConversion"/>
  </si>
  <si>
    <t>Chamomile Flower whole</t>
    <phoneticPr fontId="0" type="noConversion"/>
  </si>
  <si>
    <t>Footbath</t>
    <phoneticPr fontId="0" type="noConversion"/>
  </si>
  <si>
    <t>Chapparal Leaf</t>
    <phoneticPr fontId="0" type="noConversion"/>
  </si>
  <si>
    <t>Chapparal Leaf</t>
  </si>
  <si>
    <t>Cinnamon sticks</t>
    <phoneticPr fontId="0" type="noConversion"/>
  </si>
  <si>
    <t>FT23653-D</t>
  </si>
  <si>
    <t>Cassia Cinnamon chips</t>
  </si>
  <si>
    <t>FT23943</t>
  </si>
  <si>
    <t>Cleavers</t>
    <phoneticPr fontId="0" type="noConversion"/>
  </si>
  <si>
    <t>Stimulation Powder</t>
    <phoneticPr fontId="0" type="noConversion"/>
  </si>
  <si>
    <t>Clove</t>
    <phoneticPr fontId="0" type="noConversion"/>
  </si>
  <si>
    <t>FT23301</t>
  </si>
  <si>
    <t>Colts Foot</t>
    <phoneticPr fontId="0" type="noConversion"/>
  </si>
  <si>
    <t>herbal smoke</t>
    <phoneticPr fontId="0" type="noConversion"/>
  </si>
  <si>
    <t>Coriander Seed</t>
    <phoneticPr fontId="0" type="noConversion"/>
  </si>
  <si>
    <t>Bulk Apothecary</t>
    <phoneticPr fontId="0" type="noConversion"/>
  </si>
  <si>
    <t>Cramp Bark</t>
    <phoneticPr fontId="0" type="noConversion"/>
  </si>
  <si>
    <t>23291-D</t>
  </si>
  <si>
    <t>Damiana</t>
    <phoneticPr fontId="0" type="noConversion"/>
  </si>
  <si>
    <t>23352-TR</t>
  </si>
  <si>
    <t>Dandelion Leaf</t>
    <phoneticPr fontId="0" type="noConversion"/>
  </si>
  <si>
    <t xml:space="preserve">N </t>
  </si>
  <si>
    <t>not opened</t>
  </si>
  <si>
    <t>Dandelion Root</t>
    <phoneticPr fontId="0" type="noConversion"/>
  </si>
  <si>
    <t>Blood Purifier</t>
    <phoneticPr fontId="0" type="noConversion"/>
  </si>
  <si>
    <t>Devils Claw</t>
    <phoneticPr fontId="0" type="noConversion"/>
  </si>
  <si>
    <t>M12584</t>
  </si>
  <si>
    <t>Echinachea Purpurea Root</t>
  </si>
  <si>
    <t>Elder Berries</t>
    <phoneticPr fontId="0" type="noConversion"/>
  </si>
  <si>
    <t>Elder Flowers</t>
    <phoneticPr fontId="0" type="noConversion"/>
  </si>
  <si>
    <t>23356-D</t>
  </si>
  <si>
    <t>Elecampe Root Powder</t>
  </si>
  <si>
    <t>23269-P</t>
  </si>
  <si>
    <t>Eleuthero Root</t>
  </si>
  <si>
    <t>23029-XC2</t>
  </si>
  <si>
    <t>Fennel seed</t>
    <phoneticPr fontId="0" type="noConversion"/>
  </si>
  <si>
    <t>starwest/bulk</t>
    <phoneticPr fontId="0" type="noConversion"/>
  </si>
  <si>
    <t>Fenugreek Seed Whole</t>
  </si>
  <si>
    <t>milk tea</t>
    <phoneticPr fontId="0" type="noConversion"/>
  </si>
  <si>
    <t>Fenugreek Powder</t>
  </si>
  <si>
    <t>Feverfew</t>
    <phoneticPr fontId="0" type="noConversion"/>
  </si>
  <si>
    <t>22442-T</t>
  </si>
  <si>
    <t>Figwort</t>
    <phoneticPr fontId="0" type="noConversion"/>
  </si>
  <si>
    <t>M11463</t>
  </si>
  <si>
    <t>Fo Ti Root</t>
    <phoneticPr fontId="0" type="noConversion"/>
  </si>
  <si>
    <t>23607-C</t>
  </si>
  <si>
    <t>FoTi Root Powder</t>
    <phoneticPr fontId="0" type="noConversion"/>
  </si>
  <si>
    <t>23607-P</t>
  </si>
  <si>
    <t>Stimulation</t>
    <phoneticPr fontId="0" type="noConversion"/>
  </si>
  <si>
    <t>Ginger Root cut and sifted</t>
    <phoneticPr fontId="0" type="noConversion"/>
  </si>
  <si>
    <t>23625-C</t>
  </si>
  <si>
    <t>.5 oz missing</t>
  </si>
  <si>
    <t>Ginger Root cut and sifted</t>
  </si>
  <si>
    <t>Ginger Root Powder</t>
  </si>
  <si>
    <t>23505-PT</t>
  </si>
  <si>
    <t>Gingko Leaf</t>
    <phoneticPr fontId="0" type="noConversion"/>
  </si>
  <si>
    <t>M12493-CT</t>
  </si>
  <si>
    <t>Ginseng root whole</t>
    <phoneticPr fontId="0" type="noConversion"/>
  </si>
  <si>
    <t>Gota Kola</t>
    <phoneticPr fontId="0" type="noConversion"/>
  </si>
  <si>
    <t>bulk</t>
    <phoneticPr fontId="0" type="noConversion"/>
  </si>
  <si>
    <t>wildharvested</t>
  </si>
  <si>
    <t>Gravel Root</t>
    <phoneticPr fontId="0" type="noConversion"/>
  </si>
  <si>
    <t>23478-C</t>
  </si>
  <si>
    <t>Hawthorn Berry</t>
    <phoneticPr fontId="0" type="noConversion"/>
  </si>
  <si>
    <t>23599-D</t>
  </si>
  <si>
    <t>?</t>
  </si>
  <si>
    <t>Hibiscus</t>
    <phoneticPr fontId="0" type="noConversion"/>
  </si>
  <si>
    <t>Bulk</t>
    <phoneticPr fontId="0" type="noConversion"/>
  </si>
  <si>
    <t>Hibiscus</t>
  </si>
  <si>
    <t>Bulk</t>
  </si>
  <si>
    <t>B</t>
  </si>
  <si>
    <t>Holy Basil Leaf</t>
  </si>
  <si>
    <t>FT23693</t>
  </si>
  <si>
    <t>Hops flowers</t>
    <phoneticPr fontId="0" type="noConversion"/>
  </si>
  <si>
    <t>Horehound</t>
    <phoneticPr fontId="0" type="noConversion"/>
  </si>
  <si>
    <t>22541-DT</t>
  </si>
  <si>
    <t>Irish Moss Powder</t>
  </si>
  <si>
    <t>Unknown</t>
  </si>
  <si>
    <t>Jasmine Flowers</t>
    <phoneticPr fontId="0" type="noConversion"/>
  </si>
  <si>
    <t>Juniper Berry</t>
    <phoneticPr fontId="0" type="noConversion"/>
  </si>
  <si>
    <t>23761-D</t>
  </si>
  <si>
    <t>Kaolin White Clay</t>
    <phoneticPr fontId="0" type="noConversion"/>
  </si>
  <si>
    <t>B9178-CM</t>
  </si>
  <si>
    <t>Kava Kava Root</t>
  </si>
  <si>
    <t>M12362-CTX</t>
  </si>
  <si>
    <t>Kelp Powder</t>
  </si>
  <si>
    <t>Lavindin Flowers Whole</t>
  </si>
  <si>
    <t>Foothbath</t>
    <phoneticPr fontId="0" type="noConversion"/>
  </si>
  <si>
    <t>Lemon Verbana powder</t>
    <phoneticPr fontId="0" type="noConversion"/>
  </si>
  <si>
    <t>Lemon Verbana leaf</t>
    <phoneticPr fontId="0" type="noConversion"/>
  </si>
  <si>
    <t>23166-DX2C</t>
  </si>
  <si>
    <t>Lemongrass</t>
    <phoneticPr fontId="0" type="noConversion"/>
  </si>
  <si>
    <t>Lobelia</t>
    <phoneticPr fontId="0" type="noConversion"/>
  </si>
  <si>
    <t>9.5 oz used on cough syrup</t>
  </si>
  <si>
    <t xml:space="preserve">Lobelia </t>
    <phoneticPr fontId="0" type="noConversion"/>
  </si>
  <si>
    <t>Marshmallow Leaf</t>
    <phoneticPr fontId="0" type="noConversion"/>
  </si>
  <si>
    <t>Marshmallow Root</t>
    <phoneticPr fontId="0" type="noConversion"/>
  </si>
  <si>
    <t>Meadowsweet</t>
    <phoneticPr fontId="0" type="noConversion"/>
  </si>
  <si>
    <t>Milk Thistle Seeds</t>
  </si>
  <si>
    <t>??</t>
  </si>
  <si>
    <t>Moroccan Red Clay</t>
    <phoneticPr fontId="0" type="noConversion"/>
  </si>
  <si>
    <t>Nature's Oil</t>
  </si>
  <si>
    <t>Mugwort</t>
    <phoneticPr fontId="0" type="noConversion"/>
  </si>
  <si>
    <t>23634-D</t>
  </si>
  <si>
    <t>dream tea</t>
    <phoneticPr fontId="0" type="noConversion"/>
  </si>
  <si>
    <t>Mullein</t>
    <phoneticPr fontId="0" type="noConversion"/>
  </si>
  <si>
    <t>WIldharvested</t>
  </si>
  <si>
    <t>Myrrh Resin</t>
  </si>
  <si>
    <t>Neem</t>
    <phoneticPr fontId="0" type="noConversion"/>
  </si>
  <si>
    <t>Nettles</t>
    <phoneticPr fontId="0" type="noConversion"/>
  </si>
  <si>
    <t>Nettle</t>
    <phoneticPr fontId="0" type="noConversion"/>
  </si>
  <si>
    <t>Oat Straw</t>
  </si>
  <si>
    <t>23771-D</t>
  </si>
  <si>
    <t>Oat straw</t>
    <phoneticPr fontId="0" type="noConversion"/>
  </si>
  <si>
    <t>23642-D2</t>
  </si>
  <si>
    <t>Oats Tops</t>
    <phoneticPr fontId="0" type="noConversion"/>
  </si>
  <si>
    <t>Orange Peel</t>
    <phoneticPr fontId="0" type="noConversion"/>
  </si>
  <si>
    <t>Oregon Grape Root</t>
    <phoneticPr fontId="0" type="noConversion"/>
  </si>
  <si>
    <t>M12234-C</t>
  </si>
  <si>
    <t>Orris Root Powder</t>
  </si>
  <si>
    <t>22735-P</t>
  </si>
  <si>
    <t>Parsley Leaf</t>
  </si>
  <si>
    <t>Distemper Balls</t>
    <phoneticPr fontId="0" type="noConversion"/>
  </si>
  <si>
    <t>Passion Flower</t>
    <phoneticPr fontId="0" type="noConversion"/>
  </si>
  <si>
    <t>Pau Darco</t>
    <phoneticPr fontId="0" type="noConversion"/>
  </si>
  <si>
    <t>Pennyroyal</t>
  </si>
  <si>
    <t>23650-DT</t>
  </si>
  <si>
    <t>Cabinet</t>
  </si>
  <si>
    <t>Peppermint</t>
    <phoneticPr fontId="0" type="noConversion"/>
  </si>
  <si>
    <t>added 7 oz of peppermint; sold 4 oz peppermint</t>
  </si>
  <si>
    <t>Periwinkle</t>
    <phoneticPr fontId="0" type="noConversion"/>
  </si>
  <si>
    <t>23641-DT</t>
  </si>
  <si>
    <t>Pipssiwea</t>
    <phoneticPr fontId="0" type="noConversion"/>
  </si>
  <si>
    <t>Pipssiwea</t>
  </si>
  <si>
    <t>Red Clover</t>
    <phoneticPr fontId="0" type="noConversion"/>
  </si>
  <si>
    <t>Reishi Mushroom slices</t>
    <phoneticPr fontId="0" type="noConversion"/>
  </si>
  <si>
    <t>immunit tea</t>
    <phoneticPr fontId="0" type="noConversion"/>
  </si>
  <si>
    <t>Rose Buds</t>
    <phoneticPr fontId="0" type="noConversion"/>
  </si>
  <si>
    <t>23578-D</t>
  </si>
  <si>
    <t>Rosehips</t>
    <phoneticPr fontId="0" type="noConversion"/>
  </si>
  <si>
    <t>Rosemary Leaf</t>
  </si>
  <si>
    <t>23447-D</t>
  </si>
  <si>
    <t>Sage Leaf Whole</t>
  </si>
  <si>
    <t>some used for herbal vinegar</t>
  </si>
  <si>
    <t>Sage C/S</t>
  </si>
  <si>
    <t xml:space="preserve">starwest/bulk </t>
  </si>
  <si>
    <t>Sassafras Bark</t>
    <phoneticPr fontId="0" type="noConversion"/>
  </si>
  <si>
    <t>M12562</t>
  </si>
  <si>
    <t>Saw Palmetto Berry</t>
    <phoneticPr fontId="0" type="noConversion"/>
  </si>
  <si>
    <t>Senna Leaf</t>
    <phoneticPr fontId="0" type="noConversion"/>
  </si>
  <si>
    <t>23712-D</t>
  </si>
  <si>
    <t>Shatavari Root</t>
    <phoneticPr fontId="0" type="noConversion"/>
  </si>
  <si>
    <t>22955-CT</t>
  </si>
  <si>
    <t>Shepherds Purse</t>
    <phoneticPr fontId="0" type="noConversion"/>
  </si>
  <si>
    <t>23657-DX</t>
  </si>
  <si>
    <t>Skullcap</t>
    <phoneticPr fontId="0" type="noConversion"/>
  </si>
  <si>
    <t>Solomon's Seal root</t>
    <phoneticPr fontId="0" type="noConversion"/>
  </si>
  <si>
    <t>23249-C</t>
  </si>
  <si>
    <t>Spearmint</t>
    <phoneticPr fontId="0" type="noConversion"/>
  </si>
  <si>
    <t>Spirulina powder</t>
    <phoneticPr fontId="0" type="noConversion"/>
  </si>
  <si>
    <t>Spirulina powder</t>
  </si>
  <si>
    <t>Star Anise</t>
    <phoneticPr fontId="0" type="noConversion"/>
  </si>
  <si>
    <t>Strawberry Leaf</t>
    <phoneticPr fontId="0" type="noConversion"/>
  </si>
  <si>
    <t>23410-D</t>
  </si>
  <si>
    <t>Thyme</t>
    <phoneticPr fontId="0" type="noConversion"/>
  </si>
  <si>
    <t>Love Bath</t>
    <phoneticPr fontId="0" type="noConversion"/>
  </si>
  <si>
    <t>some for herbal vinegar</t>
  </si>
  <si>
    <t>2.2 oz in vinegar</t>
  </si>
  <si>
    <t>Tumeric</t>
    <phoneticPr fontId="0" type="noConversion"/>
  </si>
  <si>
    <t>Tumeric</t>
  </si>
  <si>
    <t>FT23689</t>
  </si>
  <si>
    <t>3 lbs</t>
  </si>
  <si>
    <t>Tumeric</t>
    <phoneticPr fontId="0" type="noConversion"/>
  </si>
  <si>
    <t>Valerian Root</t>
    <phoneticPr fontId="0" type="noConversion"/>
  </si>
  <si>
    <t>Vitex Berries (Chaste Berries)</t>
  </si>
  <si>
    <t>Wild Cherry Bark</t>
    <phoneticPr fontId="0" type="noConversion"/>
  </si>
  <si>
    <t>23485-C</t>
  </si>
  <si>
    <t>Cough Syrup</t>
    <phoneticPr fontId="0" type="noConversion"/>
  </si>
  <si>
    <t>Wild Yam Root</t>
  </si>
  <si>
    <t>23252-C</t>
  </si>
  <si>
    <t>Wood Betony</t>
    <phoneticPr fontId="0" type="noConversion"/>
  </si>
  <si>
    <t>23638-D</t>
  </si>
  <si>
    <t>Wormwood</t>
    <phoneticPr fontId="0" type="noConversion"/>
  </si>
  <si>
    <t>Yellow Dock Root</t>
    <phoneticPr fontId="0" type="noConversion"/>
  </si>
  <si>
    <t>23639-D</t>
  </si>
  <si>
    <t>y</t>
  </si>
  <si>
    <t>Yerba Mate</t>
    <phoneticPr fontId="0" type="noConversion"/>
  </si>
  <si>
    <t>4 oz for 4.75</t>
  </si>
  <si>
    <t>Turkish Rhubarb</t>
  </si>
  <si>
    <t>M12394-C</t>
  </si>
  <si>
    <t>essiac</t>
    <phoneticPr fontId="0" type="noConversion"/>
  </si>
  <si>
    <t>Sheep Sorrel</t>
  </si>
  <si>
    <t>23297-C</t>
  </si>
  <si>
    <t>Teas</t>
  </si>
  <si>
    <t>2 lb</t>
  </si>
  <si>
    <t>Matcha Tea Powder</t>
    <phoneticPr fontId="0" type="noConversion"/>
  </si>
  <si>
    <t>Butteryfly Pea</t>
    <phoneticPr fontId="0" type="noConversion"/>
  </si>
  <si>
    <t>Amazon</t>
    <phoneticPr fontId="0" type="noConversion"/>
  </si>
  <si>
    <t>Baobab Powder</t>
  </si>
  <si>
    <t>Superfoods by MRM</t>
  </si>
  <si>
    <t>Moringa Powder</t>
  </si>
  <si>
    <t>Red Beet Root Powder</t>
  </si>
  <si>
    <t>16 oz</t>
  </si>
  <si>
    <t>Black Pearls</t>
  </si>
  <si>
    <t>Teaspot</t>
  </si>
  <si>
    <t>Jasmine Pearls</t>
  </si>
  <si>
    <t>Rooibos</t>
  </si>
  <si>
    <t>Coconut Crush Chai</t>
  </si>
  <si>
    <t>Beet Root Powder Organic</t>
  </si>
  <si>
    <t>Jar/Cabinet</t>
  </si>
  <si>
    <t>Blueberry Leaves</t>
  </si>
  <si>
    <t>Highland</t>
  </si>
  <si>
    <t>Chaga</t>
  </si>
  <si>
    <t>Herb</t>
    <phoneticPr fontId="0" type="noConversion"/>
  </si>
  <si>
    <t>Supplier</t>
  </si>
  <si>
    <t>Date Purchased</t>
  </si>
  <si>
    <t>Price</t>
  </si>
  <si>
    <t>Amount</t>
    <phoneticPr fontId="0" type="noConversion"/>
  </si>
  <si>
    <t>Retail</t>
  </si>
  <si>
    <t>Latin</t>
    <phoneticPr fontId="0" type="noConversion"/>
  </si>
  <si>
    <t>Origin</t>
    <phoneticPr fontId="0" type="noConversion"/>
  </si>
  <si>
    <t>Category</t>
    <phoneticPr fontId="0" type="noConversion"/>
  </si>
  <si>
    <t>Amount Start</t>
  </si>
  <si>
    <t>Ashwagandha</t>
    <phoneticPr fontId="0" type="noConversion"/>
  </si>
  <si>
    <t>Starwest</t>
    <phoneticPr fontId="0" type="noConversion"/>
  </si>
  <si>
    <t>Withania Somnifera</t>
    <phoneticPr fontId="0" type="noConversion"/>
  </si>
  <si>
    <t>India</t>
    <phoneticPr fontId="0" type="noConversion"/>
  </si>
  <si>
    <t>Cut &amp; Sifted</t>
    <phoneticPr fontId="0" type="noConversion"/>
  </si>
  <si>
    <t>Astragalus Root</t>
    <phoneticPr fontId="0" type="noConversion"/>
  </si>
  <si>
    <t xml:space="preserve">Starwest </t>
    <phoneticPr fontId="0" type="noConversion"/>
  </si>
  <si>
    <t>Astragalus membranaceus</t>
    <phoneticPr fontId="0" type="noConversion"/>
  </si>
  <si>
    <t>China</t>
    <phoneticPr fontId="0" type="noConversion"/>
  </si>
  <si>
    <t>Brand New</t>
    <phoneticPr fontId="0" type="noConversion"/>
  </si>
  <si>
    <t>Mt Rose Herns</t>
    <phoneticPr fontId="0" type="noConversion"/>
  </si>
  <si>
    <t>23028-DC</t>
  </si>
  <si>
    <t>unknown</t>
    <phoneticPr fontId="0" type="noConversion"/>
  </si>
  <si>
    <t>Bladderwrack</t>
    <phoneticPr fontId="0" type="noConversion"/>
  </si>
  <si>
    <t>Fucus Vesiculosus</t>
    <phoneticPr fontId="0" type="noConversion"/>
  </si>
  <si>
    <t>Canada</t>
    <phoneticPr fontId="0" type="noConversion"/>
  </si>
  <si>
    <t>Powder</t>
    <phoneticPr fontId="0" type="noConversion"/>
  </si>
  <si>
    <t>Calendula</t>
    <phoneticPr fontId="0" type="noConversion"/>
  </si>
  <si>
    <t>Calendula Officianalis</t>
    <phoneticPr fontId="0" type="noConversion"/>
  </si>
  <si>
    <t>Egypt</t>
    <phoneticPr fontId="0" type="noConversion"/>
  </si>
  <si>
    <t>Flowers</t>
    <phoneticPr fontId="0" type="noConversion"/>
  </si>
  <si>
    <t>most of it</t>
    <phoneticPr fontId="0" type="noConversion"/>
  </si>
  <si>
    <t>Uknown</t>
  </si>
  <si>
    <t>Chapparal Leaf</t>
    <phoneticPr fontId="0" type="noConversion"/>
  </si>
  <si>
    <t>Larrea Tridentata</t>
    <phoneticPr fontId="0" type="noConversion"/>
  </si>
  <si>
    <t>Mexico</t>
    <phoneticPr fontId="0" type="noConversion"/>
  </si>
  <si>
    <t>Chaste Tree Berries</t>
    <phoneticPr fontId="0" type="noConversion"/>
  </si>
  <si>
    <t>Vitex Agnus Castus</t>
    <phoneticPr fontId="0" type="noConversion"/>
  </si>
  <si>
    <t>Morocco</t>
    <phoneticPr fontId="0" type="noConversion"/>
  </si>
  <si>
    <t>Berries</t>
    <phoneticPr fontId="0" type="noConversion"/>
  </si>
  <si>
    <t xml:space="preserve">Chickweed </t>
    <phoneticPr fontId="0" type="noConversion"/>
  </si>
  <si>
    <t>Frontier CoOp</t>
    <phoneticPr fontId="0" type="noConversion"/>
  </si>
  <si>
    <t>Stellaria Media</t>
    <phoneticPr fontId="0" type="noConversion"/>
  </si>
  <si>
    <t>Cinnamon Bark</t>
  </si>
  <si>
    <t>Pride of India</t>
  </si>
  <si>
    <t>Comfrey Root</t>
  </si>
  <si>
    <t>Cut &amp; Sifted</t>
  </si>
  <si>
    <t>new</t>
  </si>
  <si>
    <t>Comfrey Leaf</t>
  </si>
  <si>
    <t>Starwest</t>
    <phoneticPr fontId="0" type="noConversion"/>
  </si>
  <si>
    <t>Don Quai</t>
    <phoneticPr fontId="0" type="noConversion"/>
  </si>
  <si>
    <t>Root</t>
    <phoneticPr fontId="0" type="noConversion"/>
  </si>
  <si>
    <t>Elderberries</t>
    <phoneticPr fontId="0" type="noConversion"/>
  </si>
  <si>
    <t>Frontier</t>
    <phoneticPr fontId="0" type="noConversion"/>
  </si>
  <si>
    <t>?</t>
    <phoneticPr fontId="0" type="noConversion"/>
  </si>
  <si>
    <t>Eyebright</t>
    <phoneticPr fontId="0" type="noConversion"/>
  </si>
  <si>
    <t>False Unicorn Root</t>
    <phoneticPr fontId="0" type="noConversion"/>
  </si>
  <si>
    <t>Chamelirium luteum</t>
    <phoneticPr fontId="0" type="noConversion"/>
  </si>
  <si>
    <t>United States</t>
    <phoneticPr fontId="0" type="noConversion"/>
  </si>
  <si>
    <t>Brand New</t>
    <phoneticPr fontId="0" type="noConversion"/>
  </si>
  <si>
    <t>Fo-Ti Root Powder</t>
    <phoneticPr fontId="0" type="noConversion"/>
  </si>
  <si>
    <t>Mt Rose Herbs</t>
    <phoneticPr fontId="0" type="noConversion"/>
  </si>
  <si>
    <t>Polygonum multiflorum</t>
    <phoneticPr fontId="0" type="noConversion"/>
  </si>
  <si>
    <t>uknown</t>
    <phoneticPr fontId="0" type="noConversion"/>
  </si>
  <si>
    <t>Powder</t>
    <phoneticPr fontId="0" type="noConversion"/>
  </si>
  <si>
    <t>some of it</t>
    <phoneticPr fontId="0" type="noConversion"/>
  </si>
  <si>
    <t>Ginger Root</t>
  </si>
  <si>
    <t>Brand new</t>
    <phoneticPr fontId="0" type="noConversion"/>
  </si>
  <si>
    <t>uknown</t>
  </si>
  <si>
    <t>Goldenseal Powder</t>
  </si>
  <si>
    <t>Frontier</t>
  </si>
  <si>
    <t>Kombu (Seaweed)</t>
  </si>
  <si>
    <t>Eden</t>
    <phoneticPr fontId="0" type="noConversion"/>
  </si>
  <si>
    <t>2.1 oz</t>
    <phoneticPr fontId="0" type="noConversion"/>
  </si>
  <si>
    <t>Strips</t>
    <phoneticPr fontId="0" type="noConversion"/>
  </si>
  <si>
    <t>Lemon Balm</t>
    <phoneticPr fontId="0" type="noConversion"/>
  </si>
  <si>
    <t>Frontier</t>
    <phoneticPr fontId="0" type="noConversion"/>
  </si>
  <si>
    <t>Melissa</t>
  </si>
  <si>
    <t>Licorice Root</t>
    <phoneticPr fontId="0" type="noConversion"/>
  </si>
  <si>
    <t>Glycyrrhiza glabra</t>
    <phoneticPr fontId="0" type="noConversion"/>
  </si>
  <si>
    <t>10 oz</t>
  </si>
  <si>
    <t>Maitake Mushroom</t>
    <phoneticPr fontId="0" type="noConversion"/>
  </si>
  <si>
    <t>Truthful Concepts</t>
    <phoneticPr fontId="0" type="noConversion"/>
  </si>
  <si>
    <t>4 oz</t>
    <phoneticPr fontId="0" type="noConversion"/>
  </si>
  <si>
    <t>Mushroom</t>
    <phoneticPr fontId="0" type="noConversion"/>
  </si>
  <si>
    <t>Marshmallow Root</t>
    <phoneticPr fontId="0" type="noConversion"/>
  </si>
  <si>
    <t>Cut &amp; Sifted</t>
    <phoneticPr fontId="0" type="noConversion"/>
  </si>
  <si>
    <t>VerbascumThapsus</t>
  </si>
  <si>
    <t>Bulgaria</t>
  </si>
  <si>
    <t>a lot</t>
  </si>
  <si>
    <t>Nettle Leaf</t>
    <phoneticPr fontId="0" type="noConversion"/>
  </si>
  <si>
    <t>Uritca Dioica</t>
    <phoneticPr fontId="0" type="noConversion"/>
  </si>
  <si>
    <t>Nettle Root</t>
    <phoneticPr fontId="0" type="noConversion"/>
  </si>
  <si>
    <t>Mt Rose Herb</t>
    <phoneticPr fontId="0" type="noConversion"/>
  </si>
  <si>
    <t>16 oz</t>
    <phoneticPr fontId="0" type="noConversion"/>
  </si>
  <si>
    <t>unkown</t>
  </si>
  <si>
    <t xml:space="preserve">Orange Peel </t>
    <phoneticPr fontId="0" type="noConversion"/>
  </si>
  <si>
    <t>Citrus Sinesis</t>
    <phoneticPr fontId="0" type="noConversion"/>
  </si>
  <si>
    <t>Spain</t>
    <phoneticPr fontId="0" type="noConversion"/>
  </si>
  <si>
    <t>Plaintain</t>
    <phoneticPr fontId="0" type="noConversion"/>
  </si>
  <si>
    <t>Plantago Major</t>
  </si>
  <si>
    <t>8 oz</t>
  </si>
  <si>
    <t>Raspberry Leaf</t>
    <phoneticPr fontId="0" type="noConversion"/>
  </si>
  <si>
    <t>Rubus Idaeus</t>
    <phoneticPr fontId="0" type="noConversion"/>
  </si>
  <si>
    <t>Croatia</t>
    <phoneticPr fontId="0" type="noConversion"/>
  </si>
  <si>
    <t>Red Clover Herb</t>
    <phoneticPr fontId="0" type="noConversion"/>
  </si>
  <si>
    <t>Trifolium pratense</t>
    <phoneticPr fontId="0" type="noConversion"/>
  </si>
  <si>
    <t>Rehmanniae Root Raw Sliced Organic</t>
    <phoneticPr fontId="0" type="noConversion"/>
  </si>
  <si>
    <t>Mushroom</t>
    <phoneticPr fontId="0" type="noConversion"/>
  </si>
  <si>
    <t>Reishi Mushroom</t>
  </si>
  <si>
    <t>GreenHilltea</t>
  </si>
  <si>
    <t>Red Reish Mushroom Slice</t>
  </si>
  <si>
    <t>Japan</t>
  </si>
  <si>
    <t>Mushroom</t>
  </si>
  <si>
    <t>Rose Hips</t>
    <phoneticPr fontId="0" type="noConversion"/>
  </si>
  <si>
    <t>Harvest</t>
    <phoneticPr fontId="0" type="noConversion"/>
  </si>
  <si>
    <t>Sassafras Bark</t>
    <phoneticPr fontId="0" type="noConversion"/>
  </si>
  <si>
    <t>M12358-C</t>
  </si>
  <si>
    <t>Sassafras Albidum</t>
    <phoneticPr fontId="0" type="noConversion"/>
  </si>
  <si>
    <t>Shitake Mushroom</t>
    <phoneticPr fontId="0" type="noConversion"/>
  </si>
  <si>
    <t>Slippery Elm Bark</t>
    <phoneticPr fontId="0" type="noConversion"/>
  </si>
  <si>
    <t>Ulmus Rubra</t>
    <phoneticPr fontId="0" type="noConversion"/>
  </si>
  <si>
    <t>Slippery Elm Powder</t>
    <phoneticPr fontId="0" type="noConversion"/>
  </si>
  <si>
    <t>Stevia Leaf</t>
    <phoneticPr fontId="0" type="noConversion"/>
  </si>
  <si>
    <t>Mt Rose</t>
    <phoneticPr fontId="0" type="noConversion"/>
  </si>
  <si>
    <t>Stevai rebaudiana</t>
    <phoneticPr fontId="0" type="noConversion"/>
  </si>
  <si>
    <t>Wild Yam Root</t>
    <phoneticPr fontId="0" type="noConversion"/>
  </si>
  <si>
    <t>Dioscorea Villosa</t>
    <phoneticPr fontId="0" type="noConversion"/>
  </si>
  <si>
    <t>Yarrow</t>
  </si>
  <si>
    <t>Yellow Dock Root</t>
    <phoneticPr fontId="0" type="noConversion"/>
  </si>
  <si>
    <t>Rumex Crispis</t>
    <phoneticPr fontId="0" type="noConversion"/>
  </si>
  <si>
    <t>New</t>
  </si>
  <si>
    <t>Astragalus Root</t>
    <phoneticPr fontId="0" type="noConversion"/>
  </si>
  <si>
    <t>In Harmony</t>
    <phoneticPr fontId="0" type="noConversion"/>
  </si>
  <si>
    <t>Black Pepper</t>
    <phoneticPr fontId="0" type="noConversion"/>
  </si>
  <si>
    <t>Pepper</t>
    <phoneticPr fontId="0" type="noConversion"/>
  </si>
  <si>
    <t>Most of it</t>
    <phoneticPr fontId="0" type="noConversion"/>
  </si>
  <si>
    <t>Cardamon Powder</t>
    <phoneticPr fontId="0" type="noConversion"/>
  </si>
  <si>
    <t>Coltsfoot</t>
    <phoneticPr fontId="0" type="noConversion"/>
  </si>
  <si>
    <t>Lavender</t>
    <phoneticPr fontId="0" type="noConversion"/>
  </si>
  <si>
    <t>35 grams</t>
    <phoneticPr fontId="0" type="noConversion"/>
  </si>
  <si>
    <t>Echinacea Angustifolia</t>
    <phoneticPr fontId="0" type="noConversion"/>
  </si>
  <si>
    <t>Elder Berries</t>
  </si>
  <si>
    <t>Inharmony</t>
  </si>
  <si>
    <t>1 oz</t>
  </si>
  <si>
    <t>Lemon Balm</t>
    <phoneticPr fontId="0" type="noConversion"/>
  </si>
  <si>
    <t>Lemon Peel</t>
    <phoneticPr fontId="0" type="noConversion"/>
  </si>
  <si>
    <t>In Harmony</t>
    <phoneticPr fontId="0" type="noConversion"/>
  </si>
  <si>
    <t>1 oz</t>
    <phoneticPr fontId="0" type="noConversion"/>
  </si>
  <si>
    <t>Most of it</t>
    <phoneticPr fontId="0" type="noConversion"/>
  </si>
  <si>
    <t>Licorice Root Powder</t>
    <phoneticPr fontId="0" type="noConversion"/>
  </si>
  <si>
    <t>Mullein Flowers</t>
    <phoneticPr fontId="0" type="noConversion"/>
  </si>
  <si>
    <t>Flower</t>
    <phoneticPr fontId="0" type="noConversion"/>
  </si>
  <si>
    <t>Pinon Needles</t>
  </si>
  <si>
    <t>In Harmony</t>
  </si>
  <si>
    <t>Plantain</t>
    <phoneticPr fontId="0" type="noConversion"/>
  </si>
  <si>
    <t>Raspberry Leaf</t>
    <phoneticPr fontId="0" type="noConversion"/>
  </si>
  <si>
    <t>Rose Buds</t>
    <phoneticPr fontId="0" type="noConversion"/>
  </si>
  <si>
    <t>Shepherds Purse</t>
    <phoneticPr fontId="0" type="noConversion"/>
  </si>
  <si>
    <t xml:space="preserve">1 oz </t>
    <phoneticPr fontId="0" type="noConversion"/>
  </si>
  <si>
    <t>Star Anise</t>
  </si>
  <si>
    <t>Uva Ursi</t>
    <phoneticPr fontId="0" type="noConversion"/>
  </si>
  <si>
    <t xml:space="preserve">Yarrow </t>
    <phoneticPr fontId="0" type="noConversion"/>
  </si>
  <si>
    <t>Done</t>
  </si>
  <si>
    <t>Elecampe</t>
  </si>
  <si>
    <t>cough tincture</t>
  </si>
  <si>
    <t>Love Potion</t>
  </si>
  <si>
    <t>oz</t>
  </si>
  <si>
    <t>Profit</t>
  </si>
  <si>
    <t>Damiana</t>
  </si>
  <si>
    <t>Love Potion Tea</t>
  </si>
  <si>
    <t>Rosehips</t>
  </si>
  <si>
    <t>Oatstraw</t>
  </si>
  <si>
    <t>output</t>
  </si>
  <si>
    <t>Label</t>
  </si>
  <si>
    <t>Bag</t>
  </si>
  <si>
    <t>Throat Soother</t>
  </si>
  <si>
    <t>Amount</t>
  </si>
  <si>
    <t>Mark up</t>
  </si>
  <si>
    <t>Fennel</t>
  </si>
  <si>
    <t>Ginger</t>
  </si>
  <si>
    <t>Elder</t>
  </si>
  <si>
    <t>Slippery Elm</t>
  </si>
  <si>
    <t>Marshmallow</t>
  </si>
  <si>
    <t>Output</t>
  </si>
  <si>
    <t>2 oz</t>
  </si>
  <si>
    <t>Snooze Tea</t>
  </si>
  <si>
    <t>Lavender</t>
  </si>
  <si>
    <t>Chamomile</t>
  </si>
  <si>
    <t>Hops</t>
  </si>
  <si>
    <t>Catnip</t>
  </si>
  <si>
    <t>Skullcap</t>
  </si>
  <si>
    <t>Passion Flower</t>
  </si>
  <si>
    <t>Lemon Balm</t>
  </si>
  <si>
    <t>Lemongrass</t>
  </si>
  <si>
    <t>3 7x11</t>
  </si>
  <si>
    <t>1 4x6</t>
  </si>
  <si>
    <t>samplers</t>
  </si>
  <si>
    <t>Serendiptea</t>
  </si>
  <si>
    <t>Cost</t>
  </si>
  <si>
    <t>Spearmint</t>
  </si>
  <si>
    <t>Peppermint</t>
  </si>
  <si>
    <t>Rose</t>
  </si>
  <si>
    <t>Cornflowers</t>
  </si>
  <si>
    <t>qty oz/#</t>
  </si>
  <si>
    <t>retail</t>
  </si>
  <si>
    <t>Total</t>
  </si>
  <si>
    <t>2 6x9 2 oz</t>
  </si>
  <si>
    <t>Bliss Tea</t>
  </si>
  <si>
    <t>Total Cost</t>
  </si>
  <si>
    <t>Cacao Ni s</t>
  </si>
  <si>
    <t>Rose Hips</t>
  </si>
  <si>
    <t>Clove</t>
  </si>
  <si>
    <t>Licorice Root</t>
  </si>
  <si>
    <t>Cinnamon</t>
  </si>
  <si>
    <t>6x9</t>
  </si>
  <si>
    <t>2 cups</t>
  </si>
  <si>
    <t>2 tsp</t>
  </si>
  <si>
    <t>Love Tea</t>
  </si>
  <si>
    <t>Total Retail</t>
  </si>
  <si>
    <t>.5 part rose petals</t>
  </si>
  <si>
    <t>1 part chamomile</t>
  </si>
  <si>
    <t>½ hibiscus</t>
  </si>
  <si>
    <t>½ rose hips</t>
  </si>
  <si>
    <t>1 part damiana</t>
  </si>
  <si>
    <t>Kava Kava</t>
  </si>
  <si>
    <t>Cacao</t>
  </si>
  <si>
    <t>1 tsp</t>
  </si>
  <si>
    <t>ounces</t>
  </si>
  <si>
    <t>$</t>
  </si>
  <si>
    <t>Qty</t>
  </si>
  <si>
    <t>6x9 pouch</t>
  </si>
  <si>
    <t>sampler</t>
  </si>
  <si>
    <t>try it</t>
  </si>
  <si>
    <t>Melon Tamer</t>
  </si>
  <si>
    <t>head ache</t>
  </si>
  <si>
    <t>2 parts lemon balm</t>
  </si>
  <si>
    <t>1 part feverfew</t>
  </si>
  <si>
    <t>1 part lavender</t>
  </si>
  <si>
    <t>4x6</t>
  </si>
  <si>
    <t>Melon Tamer Extra Strength</t>
  </si>
  <si>
    <t>Migraine</t>
  </si>
  <si>
    <t>1 part skullcap</t>
  </si>
  <si>
    <t>1 part passion flower</t>
  </si>
  <si>
    <t>Oz</t>
  </si>
  <si>
    <t>Day Dream</t>
  </si>
  <si>
    <t>Nervines to the rescue in this stress- soothing brew. </t>
  </si>
  <si>
    <t>1 parts lemon balm</t>
  </si>
  <si>
    <t>2 parts damiana</t>
  </si>
  <si>
    <t>2 parts passion flower </t>
  </si>
  <si>
    <t>5 part rose petals </t>
  </si>
  <si>
    <t>1 part lemon balm</t>
  </si>
  <si>
    <t>1 part oatstraw</t>
  </si>
  <si>
    <t>Dried lemon peel to taste </t>
  </si>
  <si>
    <t>Menopause Tea - Cool Goddess</t>
  </si>
  <si>
    <t>Gota Kola</t>
  </si>
  <si>
    <t>Orange Peel</t>
  </si>
  <si>
    <t>Red Raspberry</t>
  </si>
  <si>
    <t>Cinnamon Chips</t>
  </si>
  <si>
    <t>Gingko Leaf</t>
  </si>
  <si>
    <t>qt</t>
  </si>
  <si>
    <t>kk 1         1 lb Kava Kava Root                         1    $41.00    $41.00</t>
  </si>
  <si>
    <t>a pod 1      1 lb Anise Star Pods                        1    $15.00    $15.00</t>
  </si>
  <si>
    <t>bor 1        1 lb Borage                                 1    $20.00    $20.00</t>
  </si>
  <si>
    <t>cac 1        1 lb Cacao Nibs Roasted                     3    $14.00    $42.00</t>
  </si>
  <si>
    <t>cin 1        1 lb Cinnamon (Cassia) Chips                2     $9.00    $18.00</t>
  </si>
  <si>
    <t>clo 1        1 lb Cloves Whole                           2    $23.00    $46.00</t>
  </si>
  <si>
    <t>col 1        1 lb Coltsfoot                              2    $11.50    $23.00</t>
  </si>
  <si>
    <t>fg s1        1 lb Fenugreek Seed                         2     $6.50    $13.00</t>
  </si>
  <si>
    <t>fg p1        1 lb Fenugreek Seed Powder                  1     $7.50     $7.50</t>
  </si>
  <si>
    <t>gin 1        1 lb Ginger Root                            3    $12.00    $36.00</t>
  </si>
  <si>
    <t>cl w5        5 lb White Cosmetic Clay                    1    $24.00    $24.00</t>
  </si>
  <si>
    <t>l v1         1 lb Lemon Verbena                          1    $18.00    $18.00</t>
  </si>
  <si>
    <t>oat 1        1 lb Oatstraw                               2    $13.00    $26.00</t>
  </si>
  <si>
    <t>chap 1       1 lb Chaparral Leaf                         1     $9.50     $9.50</t>
  </si>
  <si>
    <t>cat 1        1 lb Catnip                                 2    $18.00    $36.00</t>
  </si>
  <si>
    <t>o p1         1 lb Orange Peel                            1    $14.00    $14.00</t>
  </si>
  <si>
    <t>pep 1        1 lb Peppermint Leaf                        5    $13.00    $65.00</t>
  </si>
  <si>
    <t>per 1        1 lb Periwinkle Herb                        2    $10.00    $20.00</t>
  </si>
  <si>
    <t>w b1         1 lb Wood Betony                            2    $13.00    $26.00</t>
  </si>
  <si>
    <t>pau 1        1 lb Pau d' Arco Bark                       2     $9.00    $18.00</t>
  </si>
  <si>
    <t>spe 1        1 lb Spearmint Leaf                         3    $14.00    $42.00</t>
  </si>
  <si>
    <t>tur 1        1 lb Turmeric Root Powder                   3    $10.00    $30.00</t>
  </si>
  <si>
    <t>w y1         1 lb Wild Yam Root                          2    $23.00    $46.00</t>
  </si>
  <si>
    <t>amb4 24      4 oz case of 24 Amber Glass Bottle...       2    $26.50    $53.00</t>
  </si>
  <si>
    <t>pas 1        1 lb Passionflower                          2    $17.00    $34.00</t>
  </si>
  <si>
    <t>a gp1oz      1 oz Acacia (Gum Arabic) Powder             1     $2.00     $2.00</t>
  </si>
  <si>
    <t>                                                         Subtotal:    $725.00</t>
  </si>
  <si>
    <t>                                                         S&amp;H:          $48.19</t>
  </si>
  <si>
    <t>                                                         Discounts:  -$161.49</t>
  </si>
  <si>
    <t>                                                         Total:       $611.70</t>
  </si>
  <si>
    <t> 2017-11-24</t>
  </si>
  <si>
    <t>SKU          Description                               Qty     Price     Total</t>
  </si>
  <si>
    <t>myr 1        1 lb Myrrh Gum Resin                        1    $28.00    $28.00</t>
  </si>
  <si>
    <t>nee 1        1 lb Neem Leaf                              1     $8.00     $8.00</t>
  </si>
  <si>
    <t>oat t1       1 lb Oat Tops Whole                         1    $24.50    $24.50</t>
  </si>
  <si>
    <t>o g1         1 lb Oregon Grape Root                      1    $19.00    $19.00</t>
  </si>
  <si>
    <t>orr p1       1 lb Orris Root Powder                      1    $22.50    $22.50</t>
  </si>
  <si>
    <t>pars 1       1 lb Parsley Leaf                           1    $13.50    $13.50</t>
  </si>
  <si>
    <t>pen 1        1 lb Pennyroyal                             1    $10.00    $10.00</t>
  </si>
  <si>
    <t>sas 1        1 lb Sassafras Bark                         1    $29.00    $29.00</t>
  </si>
  <si>
    <t>sen 1        1 lb Senna Leaf Whole                       1     $7.00     $7.00</t>
  </si>
  <si>
    <t>sha 1        1 lb Shatavari Root                         1    $10.00    $10.00</t>
  </si>
  <si>
    <t>sol 1        1 lb Solomon's Seal Root                    1    $55.00    $55.00</t>
  </si>
  <si>
    <t>spir 1       1 lb Spirulina Powder                       1    $26.00    $26.00</t>
  </si>
  <si>
    <t>thy 1        1 lb Thyme Leaf                             1    $13.00    $13.00</t>
  </si>
  <si>
    <t>vit 1        1 lb Vitex (Chaste Tree) Berries            1     $9.00     $9.00</t>
  </si>
  <si>
    <t>w y1         1 lb Wild Yam Root                          1    $23.00    $23.00</t>
  </si>
  <si>
    <t>y d1         1 lb Yellow Dock Root                       1    $13.50    $13.50</t>
  </si>
  <si>
    <t>h bv1        1 lb Holy Basil, Vana                       1    $10.00    $10.00</t>
  </si>
  <si>
    <t>gra 1        1 lb Gravel Root                            1    $22.50    $22.50</t>
  </si>
  <si>
    <t>val 1        1 lb Valerian Root                          1    $27.00    $27.00</t>
  </si>
  <si>
    <t>a gp1        1 lb Acacia (Gum Arabic) Powder             1    $12.50    $12.50</t>
  </si>
  <si>
    <t>bay 1        1 lb Bay Leaf Whole                         1    $24.00    $24.00</t>
  </si>
  <si>
    <t>mea 1        1 lb Meadowsweet Herb                       1    $16.50    $16.50</t>
  </si>
  <si>
    <t>charc        Charcoal Rounds                             2     $3.95     $7.90</t>
  </si>
  <si>
    <t>s s1         1 lb Sheep Sorrel                           1    $18.00    $18.00</t>
  </si>
  <si>
    <t>t r1         1 lb Turkey Rhubarb Root                    1    $19.00    $19.00</t>
  </si>
  <si>
    <t>                                                         Subtotal:    $491.90</t>
  </si>
  <si>
    <t>                                                         S&amp;H:          $28.29</t>
  </si>
  <si>
    <t>                                                         Discounts:  -$120.96</t>
  </si>
  <si>
    <t>                                                         Total:       $399.23</t>
  </si>
  <si>
    <t>bag w100     case of 100 Tea Bag White Poly Lined        1    $24.75    $24.75</t>
  </si>
  <si>
    <t>cel100       case of 100 Cello Bags                      1    $16.25    $16.25</t>
  </si>
  <si>
    <t>cot s100     small case of 100 Cotton Muslin Bags        1    $29.00    $29.00</t>
  </si>
  <si>
    <t>alf 1        1 lb Alfalfa Leaf                           2    $11.00    $22.00</t>
  </si>
  <si>
    <t>arr 5        5 lb Arrowroot Powder                       1    $40.00    $40.00</t>
  </si>
  <si>
    <t>bayb 1       1 lb Bayberry Root Bark                     2    $21.50    $43.00</t>
  </si>
  <si>
    <t>b p1         1 lb Bee Pollen                             1    $34.00    $34.00</t>
  </si>
  <si>
    <t>b co1        1 lb Blue Cohosh Root                       1    $16.50    $16.50</t>
  </si>
  <si>
    <t>bur 1        1 lb Burdock Root                           1    $15.00    $15.00</t>
  </si>
  <si>
    <t>car pod1     1 lb Cardamom Pods                          1    $23.00    $23.00</t>
  </si>
  <si>
    <t>caro p1      1 lb Carob Powder Raw                       1     $9.00     $9.00</t>
  </si>
  <si>
    <t>cas p1       1 lb Cascara Sagrada Bark Powder            1    $14.00    $14.00</t>
  </si>
  <si>
    <t>cat 1        1 lb Catnip                                 1    $18.00    $18.00</t>
  </si>
  <si>
    <t>cay 1        1 lb Cayenne Powder                         1     $9.50     $9.50</t>
  </si>
  <si>
    <t>cha 1        1 lb Chamomile Flowers                      2    $23.00    $46.00</t>
  </si>
  <si>
    <t>s cins1      1 lb Cinnamon (Sweet) Sticks                1    $24.50    $24.50</t>
  </si>
  <si>
    <t>cl b5        5 lb Bentonite Clay                         1    $28.00    $28.00</t>
  </si>
  <si>
    <t>cle 1        1 lb Cleavers                               1    $10.50    $10.50</t>
  </si>
  <si>
    <t>r c1         1 lb Red Clover Herb                        2    $14.00    $28.00</t>
  </si>
  <si>
    <t>col 1        1 lb Coltsfoot                              1    $11.50    $11.50</t>
  </si>
  <si>
    <t>c b1         1 lb Cramp Bark                             2    $30.00    $60.00</t>
  </si>
  <si>
    <t>dam 1        1 lb Damiana Leaf                           2    $14.00    $28.00</t>
  </si>
  <si>
    <t>dan r1       1 lb Dandelion Root                         1    $20.50    $20.50</t>
  </si>
  <si>
    <t>d claw1      1 lb Devil's Claw Root                      1    $12.00    $12.00</t>
  </si>
  <si>
    <t>ech p1       1 lb Echinacea purpurea Root                2    $25.00    $50.00</t>
  </si>
  <si>
    <t>eld b1       1 lb Elder Berries                          2    $14.50    $29.00</t>
  </si>
  <si>
    <t>eld f1       1 lb Elder Flowers                          2    $18.50    $37.00</t>
  </si>
  <si>
    <t>ele p1       1 lb Elecampane Root Powder                 2    $14.50    $29.00</t>
  </si>
  <si>
    <t>eleu 1       1 lb Eleuthero Root                         2     $8.50    $17.00</t>
  </si>
  <si>
    <t>fev 1        1 lb Feverfew                               1    $19.50    $19.50</t>
  </si>
  <si>
    <t>fig 1        1 lb Figwort Herb                           1    $12.00    $12.00</t>
  </si>
  <si>
    <t>f t1         1 lb Fo-Ti Root                             1    $13.00    $13.00</t>
  </si>
  <si>
    <t>f tp1        1 lb Fo-Ti Root Powder                      1    $14.00    $14.00</t>
  </si>
  <si>
    <t>gin 1        1 lb Ginger Root                            1    $12.00    $12.00</t>
  </si>
  <si>
    <t>gin p1       1 lb Ginger Root Powder                     1    $13.00    $13.00</t>
  </si>
  <si>
    <t>cl mar1      Marshmallow Leaf 1 lb Clearance             2    $10.00    $20.00</t>
  </si>
  <si>
    <t>tur 1        1 lb Turmeric Root Powder                   2    $10.00    $20.00</t>
  </si>
  <si>
    <t>gink 1       1 lb Ginkgo Leaf                            2    $12.50    $25.00</t>
  </si>
  <si>
    <t>haw b1       1 lb Hawthorn Berries                       2    $10.50    $21.00</t>
  </si>
  <si>
    <t>hop 1        1 lb Hops Flowers                           1    $40.00    $40.00</t>
  </si>
  <si>
    <t>i mp1        1 lb Irish Moss Powder                      2    $22.50    $45.00</t>
  </si>
  <si>
    <t>j b1         1 lb Juniper Berries                        1    $10.00    $10.00</t>
  </si>
  <si>
    <t>cl lem vp1   Lemon Verbena Powder 1 lb Clearance         1    $12.00    $12.00</t>
  </si>
  <si>
    <t>kel p1       1 lb Kelp Powder                            1     $7.00     $7.00</t>
  </si>
  <si>
    <t>lav 1        1 lb Lavandin (Lavender) Flowers            4    $22.00    $88.00</t>
  </si>
  <si>
    <t>lem 1        1 lb Lemongrass                             2    $10.50    $21.00</t>
  </si>
  <si>
    <t>mar r1       1 lb Marshmallow Root                       2    $18.00    $36.00</t>
  </si>
  <si>
    <t>str 1        1 lb Strawberry Leaf                        2    $11.00    $22.00</t>
  </si>
  <si>
    <t>bas 1        1 lb Basil Leaf                             1    $14.00    $14.00</t>
  </si>
  <si>
    <t>ro b1        1 lb Roses, Whole Buds                      1    $40.00    $40.00</t>
  </si>
  <si>
    <t>sku 1        1 lb Skullcap                               1    $27.00    $27.00</t>
  </si>
  <si>
    <t>w c1         1 lb Wild Cherry Bark                       2    $10.00    $20.00</t>
  </si>
  <si>
    <t>hor 1        1 lb Horehound                              1    $12.00    $12.00</t>
  </si>
  <si>
    <t>r h1         1 lb Rosehips                               2    $10.50    $21.00</t>
  </si>
  <si>
    <t>ros 1        1 lb Rosemary Leaf Whole                    3    $10.00    $30.00</t>
  </si>
  <si>
    <t>oat 1        1 lb Oatstraw                               1    $13.00    $13.00</t>
  </si>
  <si>
    <t>rei s1       1 lb Reishi Mushroom Slices                 1    $22.00    $22.00</t>
  </si>
  <si>
    <t>she 1        1 lb Shepherd's Purse                       1     $9.00     $9.00</t>
  </si>
  <si>
    <t>m t1         1 lb Milk Thistle Seed                      2    $12.50    $25.00</t>
  </si>
  <si>
    <t>mug 1        1 lb Mugwort                                2    $13.50    $27.00</t>
  </si>
  <si>
    <t>                                                         Subtotal:  $1,534.50</t>
  </si>
  <si>
    <t>                                                         S&amp;H:          $74.01</t>
  </si>
  <si>
    <t>                                                         Discounts:  -$341.09</t>
  </si>
  <si>
    <t>                                                         Total:     $1,267.42</t>
  </si>
  <si>
    <t>o rh og16    16 oz Rosehip Seed Oil                      1    $55.00    $55.00</t>
  </si>
  <si>
    <t>o su16       16 oz Sunflower Oil                         1     $7.50     $7.50</t>
  </si>
  <si>
    <t>lic 1        1 lb Licorice Root                          1    $14.00    $14.00</t>
  </si>
  <si>
    <t>o se16       16 oz Sesame Oil                            1    $10.00    $10.00</t>
  </si>
  <si>
    <t>amb1/2 d24   1/2 oz case of 24 Amber Glass Bott...       1    $26.50    $26.50</t>
  </si>
  <si>
    <t>cast 16      16 oz Castille Soap, Liquid                 1     $7.00     $7.00</t>
  </si>
  <si>
    <t>ho ar4       4 oz Arnica Herbal Oil                      1    $34.75    $34.75</t>
  </si>
  <si>
    <t>bee p5       5 lb Beeswax Pastilles                      1    $68.00    $68.00</t>
  </si>
  <si>
    <t>o ta16       16 oz Tamanu Oil                            1    $42.00    $42.00</t>
  </si>
  <si>
    <t>d q1         1 lb Dong Quai Root                         1    $21.00    $21.00</t>
  </si>
  <si>
    <t>ast 1        1 lb Astragalus Root                        1    $15.00    $15.00</t>
  </si>
  <si>
    <t>r c1         1 lb Red Clover Herb                        1    $14.00    $14.00</t>
  </si>
  <si>
    <t>net r1       1 lb Nettle Root                            1    $22.00    $22.00</t>
  </si>
  <si>
    <t>c gi         Ginseng Root Capsules                       1    $20.00    $20.00</t>
  </si>
  <si>
    <t>s e1         1 lb Slippery Elm Bark                      1    $20.00    $20.00</t>
  </si>
  <si>
    <t>eo ci8       8 oz Citronella Essential Oil               1    $50.50    $50.50</t>
  </si>
  <si>
    <t>ste 1        1 lb Stevia Leaf                            1    $14.00    $14.00</t>
  </si>
  <si>
    <t>                                                         Subtotal:    $506.75</t>
  </si>
  <si>
    <t>                                                         S&amp;H:          $17.07</t>
  </si>
  <si>
    <t>                                                         Discounts:   -$27.82</t>
  </si>
  <si>
    <t>                                                         Total:       $496.00</t>
  </si>
  <si>
    <r>
      <t>Activated Charcoal Powder</t>
    </r>
    <r>
      <rPr>
        <sz val="12"/>
        <color rgb="FF222222"/>
        <rFont val="Arial"/>
        <family val="2"/>
      </rPr>
      <t> </t>
    </r>
  </si>
  <si>
    <t>F-004-bna-165</t>
  </si>
  <si>
    <t>$30.40 USD</t>
  </si>
  <si>
    <r>
      <t>(Size: 16 oz - $30.40)</t>
    </r>
    <r>
      <rPr>
        <sz val="12"/>
        <color rgb="FF222222"/>
        <rFont val="Arial"/>
        <family val="2"/>
      </rPr>
      <t> </t>
    </r>
  </si>
  <si>
    <r>
      <t>Astragalus Root</t>
    </r>
    <r>
      <rPr>
        <sz val="12"/>
        <color rgb="FF222222"/>
        <rFont val="Arial"/>
        <family val="2"/>
      </rPr>
      <t> </t>
    </r>
  </si>
  <si>
    <t>209140-31sw-0038</t>
  </si>
  <si>
    <t>$17.74 USD</t>
  </si>
  <si>
    <t>$35.48 USD</t>
  </si>
  <si>
    <r>
      <t>(Size: 1lb - Organic Astragalus Root (Cut and Sifted) - $17.74)</t>
    </r>
    <r>
      <rPr>
        <sz val="12"/>
        <color rgb="FF222222"/>
        <rFont val="Arial"/>
        <family val="2"/>
      </rPr>
      <t> </t>
    </r>
  </si>
  <si>
    <r>
      <t>Beet Root Powder</t>
    </r>
    <r>
      <rPr>
        <sz val="12"/>
        <color rgb="FF222222"/>
        <rFont val="Arial"/>
        <family val="2"/>
      </rPr>
      <t> </t>
    </r>
  </si>
  <si>
    <t>209145-51sw-0062</t>
  </si>
  <si>
    <t>$20.98 USD</t>
  </si>
  <si>
    <r>
      <t>(Size: 1lb - Organic Beet Root Powder - $20.98)</t>
    </r>
    <r>
      <rPr>
        <sz val="12"/>
        <color rgb="FF222222"/>
        <rFont val="Arial"/>
        <family val="2"/>
      </rPr>
      <t> </t>
    </r>
  </si>
  <si>
    <r>
      <t>Bentonite Clay</t>
    </r>
    <r>
      <rPr>
        <sz val="12"/>
        <color rgb="FF222222"/>
        <rFont val="Arial"/>
        <family val="2"/>
      </rPr>
      <t> </t>
    </r>
  </si>
  <si>
    <t>I-009-clay-3</t>
  </si>
  <si>
    <t>$8.46 USD</t>
  </si>
  <si>
    <r>
      <t>(Size: 5 lb ($1.69 / lb) - $8.46)</t>
    </r>
    <r>
      <rPr>
        <sz val="12"/>
        <color rgb="FF222222"/>
        <rFont val="Arial"/>
        <family val="2"/>
      </rPr>
      <t> </t>
    </r>
  </si>
  <si>
    <r>
      <t>Castor Oil</t>
    </r>
    <r>
      <rPr>
        <sz val="12"/>
        <color rgb="FF222222"/>
        <rFont val="Arial"/>
        <family val="2"/>
      </rPr>
      <t> </t>
    </r>
  </si>
  <si>
    <t>J-006-bna-28</t>
  </si>
  <si>
    <t>$16.67 USD</t>
  </si>
  <si>
    <r>
      <t>(Size: 8 lb ($2.08 / lb) - $16.67)</t>
    </r>
    <r>
      <rPr>
        <sz val="12"/>
        <color rgb="FF222222"/>
        <rFont val="Arial"/>
        <family val="2"/>
      </rPr>
      <t> </t>
    </r>
  </si>
  <si>
    <r>
      <t>Comfrey Leaves</t>
    </r>
    <r>
      <rPr>
        <sz val="12"/>
        <color rgb="FF222222"/>
        <rFont val="Arial"/>
        <family val="2"/>
      </rPr>
      <t> </t>
    </r>
  </si>
  <si>
    <t>20-0484-002</t>
  </si>
  <si>
    <t>$14.56 USD</t>
  </si>
  <si>
    <r>
      <t>(Size: 1 lb - $14.56)</t>
    </r>
    <r>
      <rPr>
        <sz val="12"/>
        <color rgb="FF222222"/>
        <rFont val="Arial"/>
        <family val="2"/>
      </rPr>
      <t> </t>
    </r>
  </si>
  <si>
    <r>
      <t>Dandelion Leaf</t>
    </r>
    <r>
      <rPr>
        <sz val="12"/>
        <color rgb="FF222222"/>
        <rFont val="Arial"/>
        <family val="2"/>
      </rPr>
      <t> </t>
    </r>
  </si>
  <si>
    <t>209245-31sw-0295</t>
  </si>
  <si>
    <t>$25.65 USD</t>
  </si>
  <si>
    <r>
      <t>(Size: 1lb - Organic Dandelion Leaf (Cut and Sifted) - $25.65)</t>
    </r>
    <r>
      <rPr>
        <sz val="12"/>
        <color rgb="FF222222"/>
        <rFont val="Arial"/>
        <family val="2"/>
      </rPr>
      <t> </t>
    </r>
  </si>
  <si>
    <r>
      <t>Glycerin</t>
    </r>
    <r>
      <rPr>
        <sz val="12"/>
        <color rgb="FF222222"/>
        <rFont val="Arial"/>
        <family val="2"/>
      </rPr>
      <t> </t>
    </r>
  </si>
  <si>
    <t>J-002-chem-31</t>
  </si>
  <si>
    <t>$13.40 USD</t>
  </si>
  <si>
    <r>
      <t>(Size: 10 lb ($1.34 / lb) - $13.40)</t>
    </r>
    <r>
      <rPr>
        <sz val="12"/>
        <color rgb="FF222222"/>
        <rFont val="Arial"/>
        <family val="2"/>
      </rPr>
      <t> </t>
    </r>
  </si>
  <si>
    <r>
      <t>Gotu Kola Herb</t>
    </r>
    <r>
      <rPr>
        <sz val="12"/>
        <color rgb="FF222222"/>
        <rFont val="Arial"/>
        <family val="2"/>
      </rPr>
      <t> </t>
    </r>
  </si>
  <si>
    <t>209345-34sw-0447</t>
  </si>
  <si>
    <t>$8.79 USD</t>
  </si>
  <si>
    <r>
      <t>(Size: 4 oz - Organic Gotu Kola Herb (Cut and Sifted) -$8.79)</t>
    </r>
    <r>
      <rPr>
        <sz val="12"/>
        <color rgb="FF222222"/>
        <rFont val="Arial"/>
        <family val="2"/>
      </rPr>
      <t> </t>
    </r>
  </si>
  <si>
    <r>
      <t>Hibiscus Flowers - Burgundy</t>
    </r>
    <r>
      <rPr>
        <sz val="12"/>
        <color rgb="FF222222"/>
        <rFont val="Arial"/>
        <family val="2"/>
      </rPr>
      <t> </t>
    </r>
  </si>
  <si>
    <t>20-0482-002</t>
  </si>
  <si>
    <t>$13.28 USD</t>
  </si>
  <si>
    <t>$39.84 USD</t>
  </si>
  <si>
    <r>
      <t>(Size: 1 lb - $13.28)</t>
    </r>
    <r>
      <rPr>
        <sz val="12"/>
        <color rgb="FF222222"/>
        <rFont val="Arial"/>
        <family val="2"/>
      </rPr>
      <t> </t>
    </r>
  </si>
  <si>
    <r>
      <t>Jasmine Flowers</t>
    </r>
    <r>
      <rPr>
        <sz val="12"/>
        <color rgb="FF222222"/>
        <rFont val="Arial"/>
        <family val="2"/>
      </rPr>
      <t> </t>
    </r>
  </si>
  <si>
    <t>201663-01sw-0546</t>
  </si>
  <si>
    <t>$36.34 USD</t>
  </si>
  <si>
    <r>
      <t>(Size: 1lb - Jasmine Flowers Whole - $36.34)</t>
    </r>
    <r>
      <rPr>
        <sz val="12"/>
        <color rgb="FF222222"/>
        <rFont val="Arial"/>
        <family val="2"/>
      </rPr>
      <t> </t>
    </r>
  </si>
  <si>
    <r>
      <t>Moroccan Clay</t>
    </r>
    <r>
      <rPr>
        <sz val="12"/>
        <color rgb="FF222222"/>
        <rFont val="Arial"/>
        <family val="2"/>
      </rPr>
      <t> </t>
    </r>
  </si>
  <si>
    <t>clay-22</t>
  </si>
  <si>
    <t>$15.51 USD</t>
  </si>
  <si>
    <r>
      <t>(Size: 1 lb - $15.51)</t>
    </r>
    <r>
      <rPr>
        <sz val="12"/>
        <color rgb="FF222222"/>
        <rFont val="Arial"/>
        <family val="2"/>
      </rPr>
      <t> </t>
    </r>
  </si>
  <si>
    <r>
      <t>Pipsissewa Herb</t>
    </r>
    <r>
      <rPr>
        <sz val="12"/>
        <color rgb="FF222222"/>
        <rFont val="Arial"/>
        <family val="2"/>
      </rPr>
      <t> </t>
    </r>
  </si>
  <si>
    <t>201952-31sw-0790</t>
  </si>
  <si>
    <t>$21.21 USD</t>
  </si>
  <si>
    <t>$42.42 USD</t>
  </si>
  <si>
    <r>
      <t>(Size: 1lb - Pipsissewa Herb (Cut and Sifted) Wildcrafted - - $21.21)</t>
    </r>
    <r>
      <rPr>
        <sz val="12"/>
        <color rgb="FF222222"/>
        <rFont val="Arial"/>
        <family val="2"/>
      </rPr>
      <t> </t>
    </r>
  </si>
  <si>
    <r>
      <t>Sage Leaf</t>
    </r>
    <r>
      <rPr>
        <sz val="12"/>
        <color rgb="FF222222"/>
        <rFont val="Arial"/>
        <family val="2"/>
      </rPr>
      <t> </t>
    </r>
  </si>
  <si>
    <t>209950-31sw-1531</t>
  </si>
  <si>
    <t>$17.97 USD</t>
  </si>
  <si>
    <r>
      <t>(Size: 1lb - Organic Sage Dalmation Leaf (Cut and Sifted) - $17.97)</t>
    </r>
    <r>
      <rPr>
        <sz val="12"/>
        <color rgb="FF222222"/>
        <rFont val="Arial"/>
        <family val="2"/>
      </rPr>
      <t> </t>
    </r>
  </si>
  <si>
    <r>
      <t>Stand Up Pouches</t>
    </r>
    <r>
      <rPr>
        <sz val="12"/>
        <color rgb="FF222222"/>
        <rFont val="Arial"/>
        <family val="2"/>
      </rPr>
      <t> </t>
    </r>
  </si>
  <si>
    <t>sup-3</t>
  </si>
  <si>
    <t>$15.00 USD</t>
  </si>
  <si>
    <t>$150.00 USD</t>
  </si>
  <si>
    <r>
      <t>(Size: 4" X 6.5" X 2.5" - $.30/each for pack of 50)</t>
    </r>
    <r>
      <rPr>
        <sz val="12"/>
        <color rgb="FF222222"/>
        <rFont val="Arial"/>
        <family val="2"/>
      </rPr>
      <t> </t>
    </r>
  </si>
  <si>
    <r>
      <t>Witch Hazel</t>
    </r>
    <r>
      <rPr>
        <sz val="12"/>
        <color rgb="FF222222"/>
        <rFont val="Arial"/>
        <family val="2"/>
      </rPr>
      <t> </t>
    </r>
  </si>
  <si>
    <t>chem-14</t>
  </si>
  <si>
    <t>$16.14 USD</t>
  </si>
  <si>
    <r>
      <t>(Size: 8 lb ($2.02 / lb) - $16.14)</t>
    </r>
    <r>
      <rPr>
        <sz val="12"/>
        <color rgb="FF222222"/>
        <rFont val="Arial"/>
        <family val="2"/>
      </rPr>
      <t> </t>
    </r>
  </si>
  <si>
    <t>Box of tea filters</t>
  </si>
  <si>
    <t>Roobios</t>
  </si>
  <si>
    <t>Tea Spot</t>
  </si>
  <si>
    <t>3 pearls each</t>
  </si>
  <si>
    <t>packaging</t>
  </si>
  <si>
    <t>Chai</t>
  </si>
  <si>
    <t>Jasmine</t>
  </si>
  <si>
    <t>Tumeric Lattes</t>
  </si>
  <si>
    <t>Custom Tea</t>
  </si>
  <si>
    <t>box of tea filters</t>
  </si>
  <si>
    <t>tea spot</t>
  </si>
  <si>
    <t>Coconut Chia</t>
  </si>
  <si>
    <t>Peppermint Tea</t>
  </si>
  <si>
    <t>Tumeric Latte</t>
  </si>
  <si>
    <t>Blueberry Black Tea</t>
  </si>
  <si>
    <t>Custom Cough Tea</t>
  </si>
  <si>
    <t>Coconut Oil/Black Pepper</t>
  </si>
  <si>
    <t>Coconut Oil</t>
  </si>
  <si>
    <t>orange/hibisucus tea</t>
  </si>
  <si>
    <t>blueberry, ginger root, cacao, clove</t>
  </si>
  <si>
    <t>chai</t>
  </si>
  <si>
    <t>blueberry tea</t>
  </si>
  <si>
    <t>jasmine</t>
  </si>
  <si>
    <t>black Pearls</t>
  </si>
  <si>
    <t>butterfly pea tea</t>
  </si>
  <si>
    <t>hibiscus and red raspberry leaf</t>
  </si>
  <si>
    <t>mango tea</t>
  </si>
  <si>
    <t>Total Tea Spot Teas</t>
  </si>
  <si>
    <t>Total Tea Pots</t>
  </si>
  <si>
    <t>Glass Jars</t>
  </si>
  <si>
    <t>lrg</t>
  </si>
  <si>
    <t>glass Jars</t>
  </si>
  <si>
    <t>med</t>
  </si>
  <si>
    <t>Cost Per Oz</t>
    <phoneticPr fontId="0" type="noConversion"/>
  </si>
  <si>
    <t>Elecampe Powder</t>
    <phoneticPr fontId="0" type="noConversion"/>
  </si>
  <si>
    <t>Starwest</t>
    <phoneticPr fontId="0" type="noConversion"/>
  </si>
  <si>
    <t>Amazon</t>
    <phoneticPr fontId="0" type="noConversion"/>
  </si>
  <si>
    <t>Lobelia</t>
    <phoneticPr fontId="0" type="noConversion"/>
  </si>
  <si>
    <t>Comfrey Root</t>
    <phoneticPr fontId="0" type="noConversion"/>
  </si>
  <si>
    <t>Olive Oil</t>
    <phoneticPr fontId="0" type="noConversion"/>
  </si>
  <si>
    <t>Daily Chef</t>
    <phoneticPr fontId="0" type="noConversion"/>
  </si>
  <si>
    <t>Goldenseal</t>
    <phoneticPr fontId="0" type="noConversion"/>
  </si>
  <si>
    <t>Plaintain</t>
    <phoneticPr fontId="0" type="noConversion"/>
  </si>
  <si>
    <t>Apple Cider Vinegar</t>
    <phoneticPr fontId="0" type="noConversion"/>
  </si>
  <si>
    <t>White House Organic</t>
    <phoneticPr fontId="0" type="noConversion"/>
  </si>
  <si>
    <t>Eyebright</t>
    <phoneticPr fontId="0" type="noConversion"/>
  </si>
  <si>
    <t>4x6 clear bags</t>
    <phoneticPr fontId="0" type="noConversion"/>
  </si>
  <si>
    <t>4 oz</t>
    <phoneticPr fontId="0" type="noConversion"/>
  </si>
  <si>
    <t>8 tbs</t>
    <phoneticPr fontId="0" type="noConversion"/>
  </si>
  <si>
    <t>3x5.5 clear bags</t>
    <phoneticPr fontId="0" type="noConversion"/>
  </si>
  <si>
    <t>2 oz</t>
    <phoneticPr fontId="0" type="noConversion"/>
  </si>
  <si>
    <t>4 tbs</t>
    <phoneticPr fontId="0" type="noConversion"/>
  </si>
  <si>
    <t>2x3 clear bags</t>
    <phoneticPr fontId="0" type="noConversion"/>
  </si>
  <si>
    <t>1/2 oz</t>
    <phoneticPr fontId="0" type="noConversion"/>
  </si>
  <si>
    <t>1 tbs</t>
    <phoneticPr fontId="0" type="noConversion"/>
  </si>
  <si>
    <t>lip tins</t>
    <phoneticPr fontId="0" type="noConversion"/>
  </si>
  <si>
    <t>Bulk Apothecary</t>
    <phoneticPr fontId="0" type="noConversion"/>
  </si>
  <si>
    <t xml:space="preserve">silver pouch  6" X 9.5" X 3.25" - $.35/each for pack of 50
</t>
    <phoneticPr fontId="0" type="noConversion"/>
  </si>
  <si>
    <t>silver pouch 7" X 11" X 3.5" - $.55/each for pack of 50</t>
    <phoneticPr fontId="0" type="noConversion"/>
  </si>
  <si>
    <t>glass 4 oz jars</t>
    <phoneticPr fontId="0" type="noConversion"/>
  </si>
  <si>
    <t>etsy</t>
    <phoneticPr fontId="0" type="noConversion"/>
  </si>
  <si>
    <t>lip balm jars</t>
    <phoneticPr fontId="0" type="noConversion"/>
  </si>
  <si>
    <t>amazon</t>
    <phoneticPr fontId="0" type="noConversion"/>
  </si>
  <si>
    <t>1 ml drams</t>
    <phoneticPr fontId="0" type="noConversion"/>
  </si>
  <si>
    <t>ebay</t>
    <phoneticPr fontId="0" type="noConversion"/>
  </si>
  <si>
    <t>mt rose herbs</t>
    <phoneticPr fontId="0" type="noConversion"/>
  </si>
  <si>
    <t>plants medicinales</t>
    <phoneticPr fontId="0" type="noConversion"/>
  </si>
  <si>
    <t>domain</t>
    <phoneticPr fontId="0" type="noConversion"/>
  </si>
  <si>
    <t>go daddy</t>
    <phoneticPr fontId="0" type="noConversion"/>
  </si>
  <si>
    <t>books</t>
    <phoneticPr fontId="0" type="noConversion"/>
  </si>
  <si>
    <t>sow and reap</t>
    <phoneticPr fontId="0" type="noConversion"/>
  </si>
  <si>
    <t>1.5 labels</t>
  </si>
  <si>
    <t>Date Purchased</t>
    <phoneticPr fontId="3" type="noConversion"/>
  </si>
  <si>
    <t>Eden's Garden Bulk Order</t>
    <phoneticPr fontId="3" type="noConversion"/>
  </si>
  <si>
    <t xml:space="preserve">Total </t>
    <phoneticPr fontId="3" type="noConversion"/>
  </si>
  <si>
    <t>15% off; + Taxes and shipping</t>
    <phoneticPr fontId="3" type="noConversion"/>
  </si>
  <si>
    <t>Eden's Garden</t>
    <phoneticPr fontId="3" type="noConversion"/>
  </si>
  <si>
    <t>1 gal</t>
    <phoneticPr fontId="3" type="noConversion"/>
  </si>
  <si>
    <t>5 Gal</t>
    <phoneticPr fontId="3" type="noConversion"/>
  </si>
  <si>
    <t>Cost/Drop</t>
    <phoneticPr fontId="3" type="noConversion"/>
  </si>
  <si>
    <t>My Retail Price</t>
    <phoneticPr fontId="3" type="noConversion"/>
  </si>
  <si>
    <t>5 ml</t>
    <phoneticPr fontId="3" type="noConversion"/>
  </si>
  <si>
    <t>10 ml</t>
    <phoneticPr fontId="3" type="noConversion"/>
  </si>
  <si>
    <t xml:space="preserve">drop </t>
    <phoneticPr fontId="3" type="noConversion"/>
  </si>
  <si>
    <t>5 ml</t>
    <phoneticPr fontId="3" type="noConversion"/>
  </si>
  <si>
    <t>10 ml</t>
    <phoneticPr fontId="3" type="noConversion"/>
  </si>
  <si>
    <t>Sale 5 ml</t>
    <phoneticPr fontId="3" type="noConversion"/>
  </si>
  <si>
    <t>Sale 10 ml</t>
    <phoneticPr fontId="3" type="noConversion"/>
  </si>
  <si>
    <t>Cost</t>
    <phoneticPr fontId="3" type="noConversion"/>
  </si>
  <si>
    <t>Bottle</t>
    <phoneticPr fontId="3" type="noConversion"/>
  </si>
  <si>
    <t>Label</t>
    <phoneticPr fontId="3" type="noConversion"/>
  </si>
  <si>
    <t>Profit</t>
    <phoneticPr fontId="3" type="noConversion"/>
  </si>
  <si>
    <t>Lavender</t>
    <phoneticPr fontId="3" type="noConversion"/>
  </si>
  <si>
    <t>Spike Lavender</t>
    <phoneticPr fontId="3" type="noConversion"/>
  </si>
  <si>
    <t>Myrrh</t>
    <phoneticPr fontId="3" type="noConversion"/>
  </si>
  <si>
    <t>Ro Cham</t>
    <phoneticPr fontId="3" type="noConversion"/>
  </si>
  <si>
    <t>Rose</t>
    <phoneticPr fontId="3" type="noConversion"/>
  </si>
  <si>
    <t>Ginger</t>
    <phoneticPr fontId="3" type="noConversion"/>
  </si>
  <si>
    <t>Lemon</t>
    <phoneticPr fontId="3" type="noConversion"/>
  </si>
  <si>
    <t>Peppermint</t>
    <phoneticPr fontId="3" type="noConversion"/>
  </si>
  <si>
    <t>Rosemary Spanish</t>
    <phoneticPr fontId="3" type="noConversion"/>
  </si>
  <si>
    <t>Geranium</t>
    <phoneticPr fontId="3" type="noConversion"/>
  </si>
  <si>
    <t>Sweet Orange</t>
    <phoneticPr fontId="3" type="noConversion"/>
  </si>
  <si>
    <t>Australian Sandalwood</t>
    <phoneticPr fontId="3" type="noConversion"/>
  </si>
  <si>
    <t>Tea Tree</t>
    <phoneticPr fontId="3" type="noConversion"/>
  </si>
  <si>
    <t>Clove Bud</t>
    <phoneticPr fontId="3" type="noConversion"/>
  </si>
  <si>
    <t>Sweet Marjoram</t>
    <phoneticPr fontId="3" type="noConversion"/>
  </si>
  <si>
    <t>Lemon Eucalyptus</t>
    <phoneticPr fontId="3" type="noConversion"/>
  </si>
  <si>
    <t>Birch</t>
    <phoneticPr fontId="3" type="noConversion"/>
  </si>
  <si>
    <t>Frankincense Frereana</t>
    <phoneticPr fontId="3" type="noConversion"/>
  </si>
  <si>
    <t>Fennel</t>
    <phoneticPr fontId="3" type="noConversion"/>
  </si>
  <si>
    <t>German Chamomile</t>
    <phoneticPr fontId="3" type="noConversion"/>
  </si>
  <si>
    <t>Coconut</t>
    <phoneticPr fontId="3" type="noConversion"/>
  </si>
  <si>
    <t>n/a</t>
    <phoneticPr fontId="3" type="noConversion"/>
  </si>
  <si>
    <t>Lemon Basil</t>
    <phoneticPr fontId="3" type="noConversion"/>
  </si>
  <si>
    <t>Juniper Berry</t>
    <phoneticPr fontId="3" type="noConversion"/>
  </si>
  <si>
    <t>Clary Sage</t>
    <phoneticPr fontId="3" type="noConversion"/>
  </si>
  <si>
    <t>ylang ylang</t>
    <phoneticPr fontId="3" type="noConversion"/>
  </si>
  <si>
    <t>LindenBlossom</t>
    <phoneticPr fontId="3" type="noConversion"/>
  </si>
  <si>
    <t>Pink Lotus</t>
    <phoneticPr fontId="3" type="noConversion"/>
  </si>
  <si>
    <t>Menthol</t>
    <phoneticPr fontId="3" type="noConversion"/>
  </si>
  <si>
    <t>Mt Rose Herb</t>
    <phoneticPr fontId="3" type="noConversion"/>
  </si>
  <si>
    <t>Size</t>
    <phoneticPr fontId="3" type="noConversion"/>
  </si>
  <si>
    <t>Total Drops</t>
    <phoneticPr fontId="3" type="noConversion"/>
  </si>
  <si>
    <t>Cost</t>
    <phoneticPr fontId="3" type="noConversion"/>
  </si>
  <si>
    <t>Tamanu</t>
    <phoneticPr fontId="3" type="noConversion"/>
  </si>
  <si>
    <t>16 oz</t>
    <phoneticPr fontId="3" type="noConversion"/>
  </si>
  <si>
    <t>Rosehip</t>
    <phoneticPr fontId="3" type="noConversion"/>
  </si>
  <si>
    <t>Sunflower</t>
    <phoneticPr fontId="3" type="noConversion"/>
  </si>
  <si>
    <t>Sesame</t>
    <phoneticPr fontId="3" type="noConversion"/>
  </si>
  <si>
    <t>Arnica Oil</t>
    <phoneticPr fontId="3" type="noConversion"/>
  </si>
  <si>
    <t>4 oz</t>
    <phoneticPr fontId="3" type="noConversion"/>
  </si>
  <si>
    <t>Citronella</t>
    <phoneticPr fontId="3" type="noConversion"/>
  </si>
  <si>
    <t>Amazon</t>
    <phoneticPr fontId="3" type="noConversion"/>
  </si>
  <si>
    <t>1 lb = 464</t>
    <phoneticPr fontId="3" type="noConversion"/>
  </si>
  <si>
    <t>per ml ~(400)</t>
    <phoneticPr fontId="3" type="noConversion"/>
  </si>
  <si>
    <t>Arnica Flowers</t>
    <phoneticPr fontId="3" type="noConversion"/>
  </si>
  <si>
    <t>1/2 oz</t>
    <phoneticPr fontId="3" type="noConversion"/>
  </si>
  <si>
    <t>1.25 cups oil</t>
    <phoneticPr fontId="3" type="noConversion"/>
  </si>
  <si>
    <t>236 ml</t>
    <phoneticPr fontId="3" type="noConversion"/>
  </si>
  <si>
    <t>Arnica oil cost</t>
    <phoneticPr fontId="3" type="noConversion"/>
  </si>
  <si>
    <t>cost per half oz</t>
    <phoneticPr fontId="3" type="noConversion"/>
  </si>
  <si>
    <t>Totall cost for 1.25 cups</t>
    <phoneticPr fontId="3" type="noConversion"/>
  </si>
  <si>
    <t>yield cost per ml 177 ml</t>
    <phoneticPr fontId="3" type="noConversion"/>
  </si>
  <si>
    <t>per drop</t>
    <phoneticPr fontId="3" type="noConversion"/>
  </si>
  <si>
    <t>ml</t>
    <phoneticPr fontId="3" type="noConversion"/>
  </si>
  <si>
    <t>CBD Oil</t>
    <phoneticPr fontId="3" type="noConversion"/>
  </si>
  <si>
    <t>gel caps</t>
    <phoneticPr fontId="3" type="noConversion"/>
  </si>
  <si>
    <t>10 Ml orifice</t>
    <phoneticPr fontId="3" type="noConversion"/>
  </si>
  <si>
    <t>5 ml roll on gold bottles</t>
    <phoneticPr fontId="3" type="noConversion"/>
  </si>
  <si>
    <t>sitz bath jars</t>
    <phoneticPr fontId="3" type="noConversion"/>
  </si>
  <si>
    <t>10 ml roll on gold bottles</t>
    <phoneticPr fontId="3" type="noConversion"/>
  </si>
  <si>
    <t>5 ml orifice</t>
    <phoneticPr fontId="3" type="noConversion"/>
  </si>
  <si>
    <t>10 ml orifice</t>
    <phoneticPr fontId="3" type="noConversion"/>
  </si>
  <si>
    <t>gold tins</t>
    <phoneticPr fontId="3" type="noConversion"/>
  </si>
  <si>
    <t>1 in sticker</t>
    <phoneticPr fontId="3" type="noConversion"/>
  </si>
  <si>
    <t>Oil</t>
    <phoneticPr fontId="3" type="noConversion"/>
  </si>
  <si>
    <t>cost</t>
    <phoneticPr fontId="3" type="noConversion"/>
  </si>
  <si>
    <t>drops</t>
    <phoneticPr fontId="3" type="noConversion"/>
  </si>
  <si>
    <t>cost/drop</t>
    <phoneticPr fontId="3" type="noConversion"/>
  </si>
  <si>
    <t>43112/3 Angelica - 10% in coconut (eco)</t>
  </si>
  <si>
    <t>Bliss Body</t>
    <phoneticPr fontId="3" type="noConversion"/>
  </si>
  <si>
    <t>41542/3 Bay Leaf - 100%</t>
  </si>
  <si>
    <t>40762/3 Pepper, Black - 100%</t>
  </si>
  <si>
    <t>40432/3 Cardamom - 100% (C02 Select)</t>
  </si>
  <si>
    <t>40292/3 Carrot Seed - 100%</t>
  </si>
  <si>
    <t>40492/3 Champaca - 100%</t>
  </si>
  <si>
    <t>40512/3 Cinnamon Bark - 100% (organic)</t>
  </si>
  <si>
    <t>40522/3 Citronella - 100% (organic)</t>
  </si>
  <si>
    <t>40532/3 Clove Bud - 100% (organic)</t>
  </si>
  <si>
    <t>40572/3 Fir, Silver - 100% (organic)</t>
  </si>
  <si>
    <t>41562/3 Ginger Root - 100% (C02 total organic)</t>
  </si>
  <si>
    <t>40592/3 Grapefruit, Pink - 100% (organic)</t>
  </si>
  <si>
    <t>43612/3 Helichrysum - 10% in coconut (organic)</t>
  </si>
  <si>
    <t>40622/3 Hyssop - 100% (eco)</t>
  </si>
  <si>
    <t>43132/3 Jasmine Sambac - 10% in coconut (absolute)</t>
  </si>
  <si>
    <t>40872/3 Lavender , Maillette - 100% (organic)</t>
  </si>
  <si>
    <t>40352/3 Lavandin (Abrialis) - 100% (organic)</t>
  </si>
  <si>
    <t>40392/3 Myrtle, Lemon - 100%</t>
  </si>
  <si>
    <t>40932/3 Lemongrass - 100% (organic)</t>
  </si>
  <si>
    <t>41162/3 Lime - 100% (organic)</t>
  </si>
  <si>
    <t>40192/3 Mandarin, Red - 100% (organic)</t>
  </si>
  <si>
    <t>43142/3 Myrrh - 10% in coconut (C02 select)</t>
  </si>
  <si>
    <t>40702/3 Nutmeg - 100% (C02 select)</t>
  </si>
  <si>
    <t>40672/3 Oregano - 100% (organic)</t>
  </si>
  <si>
    <t>42202/3 Petitgrain - 100%</t>
  </si>
  <si>
    <t>44482/3 Pine, Dwarf - 100%</t>
  </si>
  <si>
    <t>40722/3 Sage - 100% (organic)</t>
  </si>
  <si>
    <t>40462/3 Spearmint - 100% (organic)</t>
  </si>
  <si>
    <t>40032/3 Spruce, Hemlock - 100%</t>
  </si>
  <si>
    <t>40792/3 Birch, Sweet - 100% (wild)</t>
  </si>
  <si>
    <t>41012/3 Star Anise - 100%</t>
  </si>
  <si>
    <t>40262/3 Vetiver - 100% (organic)</t>
  </si>
  <si>
    <t>41362/3 Amyris - 100% (wild)</t>
  </si>
  <si>
    <t>Meditation</t>
    <phoneticPr fontId="3" type="noConversion"/>
  </si>
  <si>
    <t>Vanilla Bourbon</t>
    <phoneticPr fontId="3" type="noConversion"/>
  </si>
  <si>
    <t>Aphrodisiac</t>
    <phoneticPr fontId="3" type="noConversion"/>
  </si>
  <si>
    <t>44432/3 Sage, White - 10% in coconut (organic)</t>
  </si>
  <si>
    <t>Ceremonial/Meditation</t>
    <phoneticPr fontId="3" type="noConversion"/>
  </si>
  <si>
    <t>48087 Evening Primrose Oil</t>
  </si>
  <si>
    <t>48258 Fractionated Coconut Oil</t>
  </si>
  <si>
    <t>Black Spruce</t>
    <phoneticPr fontId="3" type="noConversion"/>
  </si>
  <si>
    <t>Vetiver</t>
    <phoneticPr fontId="3" type="noConversion"/>
  </si>
  <si>
    <t>Elemi</t>
    <phoneticPr fontId="3" type="noConversion"/>
  </si>
  <si>
    <t>Valerian</t>
    <phoneticPr fontId="3" type="noConversion"/>
  </si>
  <si>
    <t>Copaiba</t>
    <phoneticPr fontId="3" type="noConversion"/>
  </si>
  <si>
    <t>Clementine</t>
    <phoneticPr fontId="3" type="noConversion"/>
  </si>
  <si>
    <t>Sweet Orange</t>
    <phoneticPr fontId="3" type="noConversion"/>
  </si>
  <si>
    <t>Melissa in coconut oil</t>
    <phoneticPr fontId="3" type="noConversion"/>
  </si>
  <si>
    <t>Peru Balsam</t>
    <phoneticPr fontId="3" type="noConversion"/>
  </si>
  <si>
    <t>Yarrow</t>
    <phoneticPr fontId="3" type="noConversion"/>
  </si>
  <si>
    <t>Arbortivae</t>
    <phoneticPr fontId="3" type="noConversion"/>
  </si>
  <si>
    <t>May Chang</t>
    <phoneticPr fontId="3" type="noConversion"/>
  </si>
  <si>
    <t>Spikenard</t>
    <phoneticPr fontId="3" type="noConversion"/>
  </si>
  <si>
    <t>Copiaba</t>
    <phoneticPr fontId="3" type="noConversion"/>
  </si>
  <si>
    <t>Ravensara</t>
    <phoneticPr fontId="3" type="noConversion"/>
  </si>
  <si>
    <t>Niaoli</t>
    <phoneticPr fontId="3" type="noConversion"/>
  </si>
  <si>
    <t>Rock Rose Cistis</t>
    <phoneticPr fontId="3" type="noConversion"/>
  </si>
  <si>
    <t>Thyme</t>
    <phoneticPr fontId="3" type="noConversion"/>
  </si>
  <si>
    <t>1 gallon unscented body wash</t>
    <phoneticPr fontId="3" type="noConversion"/>
  </si>
  <si>
    <t>peppermint</t>
    <phoneticPr fontId="3" type="noConversion"/>
  </si>
  <si>
    <t>doterra</t>
    <phoneticPr fontId="3" type="noConversion"/>
  </si>
  <si>
    <t>lemon</t>
    <phoneticPr fontId="3" type="noConversion"/>
  </si>
  <si>
    <t>lavender</t>
    <phoneticPr fontId="3" type="noConversion"/>
  </si>
  <si>
    <t>Hawaiian Sandalwood</t>
    <phoneticPr fontId="3" type="noConversion"/>
  </si>
  <si>
    <t>do terra</t>
    <phoneticPr fontId="3" type="noConversion"/>
  </si>
  <si>
    <t>4 oz mister</t>
    <phoneticPr fontId="3" type="noConversion"/>
  </si>
  <si>
    <t>amazon</t>
    <phoneticPr fontId="3" type="noConversion"/>
  </si>
  <si>
    <t>8 oz mister</t>
    <phoneticPr fontId="3" type="noConversion"/>
  </si>
  <si>
    <t>viditi M743 Corrugated Mailer, 7" Length x 4" Width x 3" Height, Oyster Whit</t>
    <phoneticPr fontId="3" type="noConversion"/>
  </si>
  <si>
    <t xml:space="preserve">Aviditi M1182 Corrugated Literature Mailer, 11-1/8" Length x 8-3/4" Width x 2" Height, Oyster White </t>
  </si>
  <si>
    <t>Gold tissue paper</t>
    <phoneticPr fontId="3" type="noConversion"/>
  </si>
  <si>
    <t>Back Bliss</t>
    <phoneticPr fontId="3" type="noConversion"/>
  </si>
  <si>
    <t>10 ml/drops</t>
    <phoneticPr fontId="3" type="noConversion"/>
  </si>
  <si>
    <t>Cost per drop</t>
    <phoneticPr fontId="3" type="noConversion"/>
  </si>
  <si>
    <t>Costs Oils Total</t>
    <phoneticPr fontId="3" type="noConversion"/>
  </si>
  <si>
    <t>Cost in Bulk</t>
    <phoneticPr fontId="3" type="noConversion"/>
  </si>
  <si>
    <t>Volume</t>
    <phoneticPr fontId="3" type="noConversion"/>
  </si>
  <si>
    <t>Description</t>
    <phoneticPr fontId="3" type="noConversion"/>
  </si>
  <si>
    <t>Oils</t>
    <phoneticPr fontId="3" type="noConversion"/>
  </si>
  <si>
    <t>Black Pepper</t>
    <phoneticPr fontId="3" type="noConversion"/>
  </si>
  <si>
    <t>Camphor/Calming</t>
    <phoneticPr fontId="3" type="noConversion"/>
  </si>
  <si>
    <t>Sweet Birch</t>
    <phoneticPr fontId="3" type="noConversion"/>
  </si>
  <si>
    <t>Menthol</t>
    <phoneticPr fontId="3" type="noConversion"/>
  </si>
  <si>
    <t>Carrier</t>
    <phoneticPr fontId="3" type="noConversion"/>
  </si>
  <si>
    <t>Arnica Oil 9.5 ml</t>
    <phoneticPr fontId="3" type="noConversion"/>
  </si>
  <si>
    <t>Oil??</t>
    <phoneticPr fontId="3" type="noConversion"/>
  </si>
  <si>
    <t>Roll On</t>
    <phoneticPr fontId="3" type="noConversion"/>
  </si>
  <si>
    <t>Roll-On Gold 10 ml</t>
    <phoneticPr fontId="3" type="noConversion"/>
  </si>
  <si>
    <t>Sticker</t>
    <phoneticPr fontId="3" type="noConversion"/>
  </si>
  <si>
    <t>Name Label</t>
    <phoneticPr fontId="3" type="noConversion"/>
  </si>
  <si>
    <t>Total Cost</t>
    <phoneticPr fontId="3" type="noConversion"/>
  </si>
  <si>
    <t>Shoulder Bliss</t>
    <phoneticPr fontId="3" type="noConversion"/>
  </si>
  <si>
    <t>Costs Per Drop</t>
    <phoneticPr fontId="3" type="noConversion"/>
  </si>
  <si>
    <t>German Cham</t>
    <phoneticPr fontId="3" type="noConversion"/>
  </si>
  <si>
    <t>Spike Lavinder</t>
    <phoneticPr fontId="3" type="noConversion"/>
  </si>
  <si>
    <t>Juniper Berry</t>
    <phoneticPr fontId="3" type="noConversion"/>
  </si>
  <si>
    <t>Sunflower Oil</t>
    <phoneticPr fontId="3" type="noConversion"/>
  </si>
  <si>
    <t>Face Blend</t>
    <phoneticPr fontId="3" type="noConversion"/>
  </si>
  <si>
    <t>30 ml (600 drops)</t>
    <phoneticPr fontId="3" type="noConversion"/>
  </si>
  <si>
    <t>Frankincense</t>
    <phoneticPr fontId="3" type="noConversion"/>
  </si>
  <si>
    <t>Geranium</t>
    <phoneticPr fontId="3" type="noConversion"/>
  </si>
  <si>
    <t>Hawaiian Sandalwood</t>
    <phoneticPr fontId="3" type="noConversion"/>
  </si>
  <si>
    <t>Myrrh in 10% jojoba</t>
    <phoneticPr fontId="3" type="noConversion"/>
  </si>
  <si>
    <t>Rose</t>
    <phoneticPr fontId="3" type="noConversion"/>
  </si>
  <si>
    <t>Helichyrsum</t>
    <phoneticPr fontId="3" type="noConversion"/>
  </si>
  <si>
    <t>Ylang Ylang</t>
    <phoneticPr fontId="3" type="noConversion"/>
  </si>
  <si>
    <t>Total EO Drops</t>
    <phoneticPr fontId="3" type="noConversion"/>
  </si>
  <si>
    <t xml:space="preserve">Rosehip </t>
    <phoneticPr fontId="3" type="noConversion"/>
  </si>
  <si>
    <t>Packaging</t>
    <phoneticPr fontId="3" type="noConversion"/>
  </si>
  <si>
    <t>Dropper</t>
    <phoneticPr fontId="3" type="noConversion"/>
  </si>
  <si>
    <t>sticker</t>
    <phoneticPr fontId="3" type="noConversion"/>
  </si>
  <si>
    <t>Total</t>
    <phoneticPr fontId="3" type="noConversion"/>
  </si>
  <si>
    <t>Bath Salts</t>
    <phoneticPr fontId="3" type="noConversion"/>
  </si>
  <si>
    <t>Epsom Salts</t>
    <phoneticPr fontId="3" type="noConversion"/>
  </si>
  <si>
    <t>Glycerin</t>
    <phoneticPr fontId="3" type="noConversion"/>
  </si>
  <si>
    <t>Cocout Oil</t>
    <phoneticPr fontId="3" type="noConversion"/>
  </si>
  <si>
    <t>Jar</t>
    <phoneticPr fontId="3" type="noConversion"/>
  </si>
  <si>
    <t>Sticker</t>
    <phoneticPr fontId="3" type="noConversion"/>
  </si>
  <si>
    <t>Memory Bliss</t>
    <phoneticPr fontId="3" type="noConversion"/>
  </si>
  <si>
    <t>Orifice</t>
    <phoneticPr fontId="3" type="noConversion"/>
  </si>
  <si>
    <t>Rosemary</t>
    <phoneticPr fontId="3" type="noConversion"/>
  </si>
  <si>
    <t>Lemon Basil</t>
    <phoneticPr fontId="3" type="noConversion"/>
  </si>
  <si>
    <t>Coconut Oil how much?</t>
    <phoneticPr fontId="3" type="noConversion"/>
  </si>
  <si>
    <t>Allergy Pills x30</t>
    <phoneticPr fontId="3" type="noConversion"/>
  </si>
  <si>
    <t>Gel Capsules x30</t>
    <phoneticPr fontId="3" type="noConversion"/>
  </si>
  <si>
    <t>Lavender</t>
    <phoneticPr fontId="3" type="noConversion"/>
  </si>
  <si>
    <t>Lemon</t>
    <phoneticPr fontId="3" type="noConversion"/>
  </si>
  <si>
    <t>Peppermint</t>
    <phoneticPr fontId="3" type="noConversion"/>
  </si>
  <si>
    <t>Jar</t>
    <phoneticPr fontId="3" type="noConversion"/>
  </si>
  <si>
    <t>Total Cost</t>
    <phoneticPr fontId="3" type="noConversion"/>
  </si>
  <si>
    <t>Sleep Bliss</t>
    <phoneticPr fontId="3" type="noConversion"/>
  </si>
  <si>
    <t>200 drops</t>
    <phoneticPr fontId="3" type="noConversion"/>
  </si>
  <si>
    <t>Clary Sage</t>
    <phoneticPr fontId="3" type="noConversion"/>
  </si>
  <si>
    <t>Frank</t>
    <phoneticPr fontId="3" type="noConversion"/>
  </si>
  <si>
    <t>Roman Cham</t>
    <phoneticPr fontId="3" type="noConversion"/>
  </si>
  <si>
    <t>Orifice</t>
    <phoneticPr fontId="3" type="noConversion"/>
  </si>
  <si>
    <t>Headache Bliss</t>
    <phoneticPr fontId="3" type="noConversion"/>
  </si>
  <si>
    <t>Sweet Marjoram</t>
    <phoneticPr fontId="3" type="noConversion"/>
  </si>
  <si>
    <t>Frank</t>
    <phoneticPr fontId="3" type="noConversion"/>
  </si>
  <si>
    <t>Bliss Digest</t>
    <phoneticPr fontId="3" type="noConversion"/>
  </si>
  <si>
    <t>Suchi</t>
    <phoneticPr fontId="3" type="noConversion"/>
  </si>
  <si>
    <t>Fennel</t>
    <phoneticPr fontId="3" type="noConversion"/>
  </si>
  <si>
    <t>Roman Chamomile</t>
    <phoneticPr fontId="3" type="noConversion"/>
  </si>
  <si>
    <t>Anise</t>
    <phoneticPr fontId="3" type="noConversion"/>
  </si>
  <si>
    <t>Cardamon</t>
    <phoneticPr fontId="3" type="noConversion"/>
  </si>
  <si>
    <t>Oregano</t>
    <phoneticPr fontId="3" type="noConversion"/>
  </si>
  <si>
    <t>Basil</t>
    <phoneticPr fontId="3" type="noConversion"/>
  </si>
  <si>
    <t>Bug Spray</t>
    <phoneticPr fontId="3" type="noConversion"/>
  </si>
  <si>
    <t>4 oz (2400 drops)</t>
    <phoneticPr fontId="3" type="noConversion"/>
  </si>
  <si>
    <t>(120 ml/120 drops oils)</t>
    <phoneticPr fontId="3" type="noConversion"/>
  </si>
  <si>
    <t>Rose Geranium</t>
    <phoneticPr fontId="3" type="noConversion"/>
  </si>
  <si>
    <t>Citronella</t>
    <phoneticPr fontId="3" type="noConversion"/>
  </si>
  <si>
    <t>Eucalyptus Lemon</t>
    <phoneticPr fontId="3" type="noConversion"/>
  </si>
  <si>
    <t>Lemon Grass</t>
    <phoneticPr fontId="3" type="noConversion"/>
  </si>
  <si>
    <t>Nerolina</t>
    <phoneticPr fontId="3" type="noConversion"/>
  </si>
  <si>
    <t>Water</t>
    <phoneticPr fontId="3" type="noConversion"/>
  </si>
  <si>
    <t>Witch Hazel</t>
    <phoneticPr fontId="3" type="noConversion"/>
  </si>
  <si>
    <t>Spray Bottle</t>
    <phoneticPr fontId="3" type="noConversion"/>
  </si>
  <si>
    <t>Name Labels</t>
    <phoneticPr fontId="3" type="noConversion"/>
  </si>
  <si>
    <t>8 oz (4800 drops)</t>
    <phoneticPr fontId="3" type="noConversion"/>
  </si>
  <si>
    <t>(240 ml/180 drops oils)</t>
    <phoneticPr fontId="3" type="noConversion"/>
  </si>
  <si>
    <t>Purify Bliss</t>
    <phoneticPr fontId="3" type="noConversion"/>
  </si>
  <si>
    <t>Cypress</t>
    <phoneticPr fontId="3" type="noConversion"/>
  </si>
  <si>
    <t>Ravintsara</t>
    <phoneticPr fontId="3" type="noConversion"/>
  </si>
  <si>
    <t>Grapefruit</t>
    <phoneticPr fontId="3" type="noConversion"/>
  </si>
  <si>
    <t>Coconut</t>
    <phoneticPr fontId="3" type="noConversion"/>
  </si>
  <si>
    <t>Tea Tree Spray</t>
    <phoneticPr fontId="3" type="noConversion"/>
  </si>
  <si>
    <t>10 ml spray</t>
    <phoneticPr fontId="3" type="noConversion"/>
  </si>
  <si>
    <t>Tea Tree</t>
    <phoneticPr fontId="3" type="noConversion"/>
  </si>
  <si>
    <t>Water</t>
    <phoneticPr fontId="3" type="noConversion"/>
  </si>
  <si>
    <t>Melissa Salve</t>
    <phoneticPr fontId="3" type="noConversion"/>
  </si>
  <si>
    <t>2 oz</t>
    <phoneticPr fontId="3" type="noConversion"/>
  </si>
  <si>
    <t>Calendula</t>
    <phoneticPr fontId="3" type="noConversion"/>
  </si>
  <si>
    <t>Chamomile</t>
    <phoneticPr fontId="3" type="noConversion"/>
  </si>
  <si>
    <t>Melissa</t>
    <phoneticPr fontId="3" type="noConversion"/>
  </si>
  <si>
    <t>Olive Oil</t>
    <phoneticPr fontId="3" type="noConversion"/>
  </si>
  <si>
    <t>Label</t>
    <phoneticPr fontId="3" type="noConversion"/>
  </si>
  <si>
    <t>Bliss Lavel</t>
    <phoneticPr fontId="3" type="noConversion"/>
  </si>
  <si>
    <t>Sku</t>
    <phoneticPr fontId="3" type="noConversion"/>
  </si>
  <si>
    <t>Products</t>
    <phoneticPr fontId="3" type="noConversion"/>
  </si>
  <si>
    <t>Type</t>
    <phoneticPr fontId="3" type="noConversion"/>
  </si>
  <si>
    <t>Cost Basis</t>
    <phoneticPr fontId="3" type="noConversion"/>
  </si>
  <si>
    <t>Retail</t>
    <phoneticPr fontId="3" type="noConversion"/>
  </si>
  <si>
    <t>Shipping</t>
    <phoneticPr fontId="3" type="noConversion"/>
  </si>
  <si>
    <t>Volume a week</t>
    <phoneticPr fontId="3" type="noConversion"/>
  </si>
  <si>
    <t>Volume a Month</t>
    <phoneticPr fontId="3" type="noConversion"/>
  </si>
  <si>
    <t>Profit Per Week</t>
    <phoneticPr fontId="3" type="noConversion"/>
  </si>
  <si>
    <t>Profit Per Month</t>
    <phoneticPr fontId="3" type="noConversion"/>
  </si>
  <si>
    <t>Yearly</t>
    <phoneticPr fontId="3" type="noConversion"/>
  </si>
  <si>
    <t>R1</t>
    <phoneticPr fontId="3" type="noConversion"/>
  </si>
  <si>
    <t xml:space="preserve">Back Bliss </t>
    <phoneticPr fontId="3" type="noConversion"/>
  </si>
  <si>
    <t>Roll On</t>
    <phoneticPr fontId="3" type="noConversion"/>
  </si>
  <si>
    <t>R9</t>
    <phoneticPr fontId="3" type="noConversion"/>
  </si>
  <si>
    <t>Back Bliss with CBD</t>
    <phoneticPr fontId="3" type="noConversion"/>
  </si>
  <si>
    <t>R2</t>
    <phoneticPr fontId="3" type="noConversion"/>
  </si>
  <si>
    <t>R3</t>
    <phoneticPr fontId="3" type="noConversion"/>
  </si>
  <si>
    <t>Muscle Bliss</t>
    <phoneticPr fontId="3" type="noConversion"/>
  </si>
  <si>
    <t>S1</t>
    <phoneticPr fontId="3" type="noConversion"/>
  </si>
  <si>
    <t>Bliss Bath Salts</t>
    <phoneticPr fontId="3" type="noConversion"/>
  </si>
  <si>
    <t>Salts</t>
    <phoneticPr fontId="3" type="noConversion"/>
  </si>
  <si>
    <t>P1</t>
    <phoneticPr fontId="3" type="noConversion"/>
  </si>
  <si>
    <t>Allergy Pills 30 count</t>
    <phoneticPr fontId="3" type="noConversion"/>
  </si>
  <si>
    <t>Pills</t>
    <phoneticPr fontId="3" type="noConversion"/>
  </si>
  <si>
    <t>R4</t>
    <phoneticPr fontId="3" type="noConversion"/>
  </si>
  <si>
    <t>Bliss Travel - Sleep</t>
    <phoneticPr fontId="3" type="noConversion"/>
  </si>
  <si>
    <t>R5</t>
    <phoneticPr fontId="3" type="noConversion"/>
  </si>
  <si>
    <t>Bliss Travel - Awake</t>
    <phoneticPr fontId="3" type="noConversion"/>
  </si>
  <si>
    <t>R6</t>
    <phoneticPr fontId="3" type="noConversion"/>
  </si>
  <si>
    <t xml:space="preserve">Yoga Bliss </t>
    <phoneticPr fontId="3" type="noConversion"/>
  </si>
  <si>
    <t>R7</t>
    <phoneticPr fontId="3" type="noConversion"/>
  </si>
  <si>
    <t>Memory Bliss</t>
    <phoneticPr fontId="3" type="noConversion"/>
  </si>
  <si>
    <t>O1</t>
    <phoneticPr fontId="3" type="noConversion"/>
  </si>
  <si>
    <t>Bliss Doggy</t>
    <phoneticPr fontId="3" type="noConversion"/>
  </si>
  <si>
    <t>10 ml Orifice</t>
    <phoneticPr fontId="3" type="noConversion"/>
  </si>
  <si>
    <t>O2</t>
    <phoneticPr fontId="3" type="noConversion"/>
  </si>
  <si>
    <t>Breathe Bliss</t>
    <phoneticPr fontId="3" type="noConversion"/>
  </si>
  <si>
    <t>O3</t>
    <phoneticPr fontId="3" type="noConversion"/>
  </si>
  <si>
    <t>Bliss Sleep</t>
    <phoneticPr fontId="3" type="noConversion"/>
  </si>
  <si>
    <t>Bliss Digest</t>
    <phoneticPr fontId="3" type="noConversion"/>
  </si>
  <si>
    <t>Hangover Bliss</t>
    <phoneticPr fontId="3" type="noConversion"/>
  </si>
  <si>
    <t>Romantic Bliss</t>
    <phoneticPr fontId="3" type="noConversion"/>
  </si>
  <si>
    <t>Bliss Surfie</t>
    <phoneticPr fontId="3" type="noConversion"/>
  </si>
  <si>
    <t>R8</t>
    <phoneticPr fontId="3" type="noConversion"/>
  </si>
  <si>
    <t>Headache Bliss</t>
    <phoneticPr fontId="3" type="noConversion"/>
  </si>
  <si>
    <t>Bliss Hip</t>
    <phoneticPr fontId="3" type="noConversion"/>
  </si>
  <si>
    <t>Thyroid Bliss</t>
    <phoneticPr fontId="3" type="noConversion"/>
  </si>
  <si>
    <t>Heart Chakra Bliss</t>
    <phoneticPr fontId="3" type="noConversion"/>
  </si>
  <si>
    <t>Arthritis Bliss</t>
    <phoneticPr fontId="3" type="noConversion"/>
  </si>
  <si>
    <t>Sport Bliss</t>
    <phoneticPr fontId="3" type="noConversion"/>
  </si>
  <si>
    <t>Cancer Relief Bliss</t>
    <phoneticPr fontId="3" type="noConversion"/>
  </si>
  <si>
    <t>Bliss Energy</t>
    <phoneticPr fontId="3" type="noConversion"/>
  </si>
  <si>
    <t>Bliss Skin</t>
    <phoneticPr fontId="3" type="noConversion"/>
  </si>
  <si>
    <t>Dropper</t>
    <phoneticPr fontId="3" type="noConversion"/>
  </si>
  <si>
    <t>Bliss Uplift</t>
    <phoneticPr fontId="3" type="noConversion"/>
  </si>
  <si>
    <t>Bliss Happy</t>
    <phoneticPr fontId="3" type="noConversion"/>
  </si>
  <si>
    <t>After Sun Bliss</t>
    <phoneticPr fontId="3" type="noConversion"/>
  </si>
  <si>
    <t>Summer Skin Bliss</t>
    <phoneticPr fontId="3" type="noConversion"/>
  </si>
  <si>
    <t>Scar Heal Bliss</t>
    <phoneticPr fontId="3" type="noConversion"/>
  </si>
  <si>
    <t>Wedding Bliss</t>
    <phoneticPr fontId="3" type="noConversion"/>
  </si>
  <si>
    <t>Vata Bliss</t>
    <phoneticPr fontId="3" type="noConversion"/>
  </si>
  <si>
    <t>Pitta Bliss</t>
    <phoneticPr fontId="3" type="noConversion"/>
  </si>
  <si>
    <t>Kapha Bliss</t>
    <phoneticPr fontId="3" type="noConversion"/>
  </si>
  <si>
    <t>Pregnancy Bliss</t>
    <phoneticPr fontId="3" type="noConversion"/>
  </si>
  <si>
    <t>Bliss Stress</t>
    <phoneticPr fontId="3" type="noConversion"/>
  </si>
  <si>
    <t>Bliss Detox</t>
    <phoneticPr fontId="3" type="noConversion"/>
  </si>
  <si>
    <t>Bliss Bug Spray</t>
    <phoneticPr fontId="3" type="noConversion"/>
  </si>
  <si>
    <t>4 oz spray</t>
    <phoneticPr fontId="3" type="noConversion"/>
  </si>
  <si>
    <t>8 oz spray</t>
    <phoneticPr fontId="3" type="noConversion"/>
  </si>
  <si>
    <t>Subscription</t>
    <phoneticPr fontId="3" type="noConversion"/>
  </si>
  <si>
    <t>Bliss Purify</t>
    <phoneticPr fontId="3" type="noConversion"/>
  </si>
  <si>
    <t>Bliss Tea Tree Spray</t>
    <phoneticPr fontId="3" type="noConversion"/>
  </si>
  <si>
    <t>Spray</t>
    <phoneticPr fontId="3" type="noConversion"/>
  </si>
  <si>
    <t>Variable Costs</t>
    <phoneticPr fontId="3" type="noConversion"/>
  </si>
  <si>
    <t>Labels</t>
    <phoneticPr fontId="3" type="noConversion"/>
  </si>
  <si>
    <t>Fixed Costs</t>
    <phoneticPr fontId="3" type="noConversion"/>
  </si>
  <si>
    <t>month</t>
    <phoneticPr fontId="3" type="noConversion"/>
  </si>
  <si>
    <t>year</t>
    <phoneticPr fontId="3" type="noConversion"/>
  </si>
  <si>
    <t>Marketing</t>
    <phoneticPr fontId="3" type="noConversion"/>
  </si>
  <si>
    <t>Amazon Biz Account</t>
    <phoneticPr fontId="3" type="noConversion"/>
  </si>
  <si>
    <t>Bliss Website</t>
    <phoneticPr fontId="3" type="noConversion"/>
  </si>
  <si>
    <t>Joy Curth Website</t>
    <phoneticPr fontId="3" type="noConversion"/>
  </si>
  <si>
    <t>Gmail</t>
    <phoneticPr fontId="3" type="noConversion"/>
  </si>
  <si>
    <t>mailchimp</t>
    <phoneticPr fontId="3" type="noConversion"/>
  </si>
  <si>
    <t>Black Sheep Yoga</t>
    <phoneticPr fontId="3" type="noConversion"/>
  </si>
  <si>
    <t>COGS</t>
    <phoneticPr fontId="3" type="noConversion"/>
  </si>
  <si>
    <t>Profit</t>
    <phoneticPr fontId="3" type="noConversion"/>
  </si>
  <si>
    <t>Profit Split</t>
    <phoneticPr fontId="3" type="noConversion"/>
  </si>
  <si>
    <t>Stock</t>
    <phoneticPr fontId="3" type="noConversion"/>
  </si>
  <si>
    <t>Sold</t>
    <phoneticPr fontId="3" type="noConversion"/>
  </si>
  <si>
    <t xml:space="preserve">Back Bliss </t>
    <phoneticPr fontId="3" type="noConversion"/>
  </si>
  <si>
    <t>Shoulder</t>
    <phoneticPr fontId="3" type="noConversion"/>
  </si>
  <si>
    <t>Surf Bliss</t>
    <phoneticPr fontId="3" type="noConversion"/>
  </si>
  <si>
    <t>Muscle Bliss</t>
    <phoneticPr fontId="3" type="noConversion"/>
  </si>
  <si>
    <t>1 chakra</t>
    <phoneticPr fontId="3" type="noConversion"/>
  </si>
  <si>
    <t>2 chakra</t>
    <phoneticPr fontId="3" type="noConversion"/>
  </si>
  <si>
    <t>3 chakra</t>
    <phoneticPr fontId="3" type="noConversion"/>
  </si>
  <si>
    <t>4 chakra</t>
    <phoneticPr fontId="3" type="noConversion"/>
  </si>
  <si>
    <t>5 chakra</t>
    <phoneticPr fontId="3" type="noConversion"/>
  </si>
  <si>
    <t>6 chakra</t>
    <phoneticPr fontId="3" type="noConversion"/>
  </si>
  <si>
    <t>7 chakra</t>
    <phoneticPr fontId="3" type="noConversion"/>
  </si>
  <si>
    <t>Black Sheep Bliss</t>
    <phoneticPr fontId="3" type="noConversion"/>
  </si>
  <si>
    <t>Sandalwood, Rose, Vanilla</t>
    <phoneticPr fontId="3" type="noConversion"/>
  </si>
  <si>
    <t>Meditation (Reiki)</t>
    <phoneticPr fontId="3" type="noConversion"/>
  </si>
  <si>
    <t>Frank, Myrrh, Sandalwood, Rose</t>
    <phoneticPr fontId="3" type="noConversion"/>
  </si>
  <si>
    <t>Detox</t>
    <phoneticPr fontId="3" type="noConversion"/>
  </si>
  <si>
    <t>Juniper, Grapefruit,lemon</t>
    <phoneticPr fontId="3" type="noConversion"/>
  </si>
  <si>
    <t>cleansing</t>
    <phoneticPr fontId="3" type="noConversion"/>
  </si>
  <si>
    <t xml:space="preserve">Full Moon </t>
    <phoneticPr fontId="3" type="noConversion"/>
  </si>
  <si>
    <t>Frank, Angelica, Helichrysum</t>
    <phoneticPr fontId="3" type="noConversion"/>
  </si>
  <si>
    <t>Detoxifying</t>
    <phoneticPr fontId="3" type="noConversion"/>
  </si>
  <si>
    <t>Restore</t>
    <phoneticPr fontId="3" type="noConversion"/>
  </si>
  <si>
    <t>Energize</t>
    <phoneticPr fontId="3" type="noConversion"/>
  </si>
  <si>
    <t>Manifest</t>
    <phoneticPr fontId="3" type="noConversion"/>
  </si>
  <si>
    <t>Orange</t>
    <phoneticPr fontId="3" type="noConversion"/>
  </si>
  <si>
    <t>Frankincense</t>
    <phoneticPr fontId="3" type="noConversion"/>
  </si>
  <si>
    <t>Yoga Mat Spray</t>
    <phoneticPr fontId="3" type="noConversion"/>
  </si>
  <si>
    <t>Clove, Orange, Lemon</t>
    <phoneticPr fontId="3" type="noConversion"/>
  </si>
  <si>
    <t>Bath Salts</t>
    <phoneticPr fontId="3" type="noConversion"/>
  </si>
  <si>
    <t>Salves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</si>
</sst>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0.000"/>
    <numFmt numFmtId="166" formatCode="0.00000"/>
  </numFmts>
  <fonts count="24"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0"/>
      <name val="Avenir Book"/>
      <family val="2"/>
    </font>
    <font>
      <sz val="10"/>
      <name val="Avenir Book"/>
      <family val="2"/>
    </font>
    <font>
      <sz val="11"/>
      <name val="Avenir Book"/>
      <family val="2"/>
    </font>
    <font>
      <u/>
      <sz val="10"/>
      <name val="Avenir Book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theme="1"/>
      <name val="Avenir Book"/>
      <family val="2"/>
    </font>
    <font>
      <sz val="12"/>
      <color rgb="FFB12704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1"/>
      <name val="Avenir Book"/>
      <family val="2"/>
    </font>
    <font>
      <sz val="10"/>
      <color rgb="FF000000"/>
      <name val="Avenir Book"/>
      <family val="2"/>
    </font>
    <font>
      <b/>
      <sz val="10"/>
      <color rgb="FF000000"/>
      <name val="Avenir Book"/>
      <family val="2"/>
    </font>
    <font>
      <sz val="12"/>
      <color rgb="FF454545"/>
      <name val="Helvetica Neue"/>
      <family val="2"/>
    </font>
    <font>
      <b/>
      <sz val="12"/>
      <color rgb="FF454545"/>
      <name val="Helvetica Neue"/>
      <family val="2"/>
    </font>
    <font>
      <sz val="13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7.5"/>
      <color rgb="FF222222"/>
      <name val="Arial"/>
      <family val="2"/>
    </font>
    <font>
      <u/>
      <sz val="10"/>
      <color indexed="12"/>
      <name val="Verdana"/>
      <family val="2"/>
    </font>
    <font>
      <i/>
      <sz val="10"/>
      <name val="Avenir Book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5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16" fontId="4" fillId="2" borderId="0" xfId="0" applyNumberFormat="1" applyFont="1" applyFill="1"/>
    <xf numFmtId="164" fontId="4" fillId="2" borderId="0" xfId="0" applyNumberFormat="1" applyFont="1" applyFill="1"/>
    <xf numFmtId="0" fontId="4" fillId="0" borderId="0" xfId="0" applyFont="1"/>
    <xf numFmtId="0" fontId="4" fillId="3" borderId="0" xfId="0" applyFont="1" applyFill="1"/>
    <xf numFmtId="16" fontId="4" fillId="3" borderId="0" xfId="0" applyNumberFormat="1" applyFont="1" applyFill="1"/>
    <xf numFmtId="164" fontId="4" fillId="3" borderId="0" xfId="0" applyNumberFormat="1" applyFont="1" applyFill="1"/>
    <xf numFmtId="0" fontId="4" fillId="0" borderId="0" xfId="0" applyFont="1" applyFill="1"/>
    <xf numFmtId="0" fontId="5" fillId="2" borderId="0" xfId="0" applyFont="1" applyFill="1"/>
    <xf numFmtId="0" fontId="4" fillId="3" borderId="0" xfId="0" applyFont="1" applyFill="1" applyAlignment="1">
      <alignment horizontal="left"/>
    </xf>
    <xf numFmtId="2" fontId="4" fillId="2" borderId="0" xfId="0" applyNumberFormat="1" applyFont="1" applyFill="1"/>
    <xf numFmtId="0" fontId="4" fillId="4" borderId="0" xfId="0" applyFont="1" applyFill="1"/>
    <xf numFmtId="164" fontId="4" fillId="4" borderId="0" xfId="0" applyNumberFormat="1" applyFont="1" applyFill="1"/>
    <xf numFmtId="164" fontId="4" fillId="0" borderId="0" xfId="0" applyNumberFormat="1" applyFont="1" applyFill="1"/>
    <xf numFmtId="164" fontId="4" fillId="0" borderId="0" xfId="0" applyNumberFormat="1" applyFont="1"/>
    <xf numFmtId="17" fontId="4" fillId="2" borderId="0" xfId="0" applyNumberFormat="1" applyFont="1" applyFill="1"/>
    <xf numFmtId="0" fontId="6" fillId="3" borderId="0" xfId="0" applyFont="1" applyFill="1"/>
    <xf numFmtId="0" fontId="4" fillId="5" borderId="0" xfId="0" applyFont="1" applyFill="1"/>
    <xf numFmtId="164" fontId="4" fillId="5" borderId="0" xfId="0" applyNumberFormat="1" applyFont="1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3" fillId="6" borderId="0" xfId="0" applyFont="1" applyFill="1"/>
    <xf numFmtId="0" fontId="4" fillId="6" borderId="0" xfId="0" applyFont="1" applyFill="1"/>
    <xf numFmtId="0" fontId="4" fillId="6" borderId="0" xfId="0" applyFont="1" applyFill="1" applyAlignment="1">
      <alignment horizontal="left"/>
    </xf>
    <xf numFmtId="164" fontId="4" fillId="6" borderId="0" xfId="0" applyNumberFormat="1" applyFont="1" applyFill="1"/>
    <xf numFmtId="16" fontId="4" fillId="0" borderId="0" xfId="0" applyNumberFormat="1" applyFont="1"/>
    <xf numFmtId="0" fontId="7" fillId="0" borderId="0" xfId="0" applyFont="1"/>
    <xf numFmtId="0" fontId="0" fillId="2" borderId="0" xfId="0" applyFill="1"/>
    <xf numFmtId="14" fontId="0" fillId="2" borderId="0" xfId="0" applyNumberFormat="1" applyFill="1"/>
    <xf numFmtId="0" fontId="7" fillId="7" borderId="0" xfId="0" applyFont="1" applyFill="1"/>
    <xf numFmtId="0" fontId="0" fillId="7" borderId="0" xfId="0" applyFill="1"/>
    <xf numFmtId="0" fontId="0" fillId="0" borderId="0" xfId="0" applyFill="1"/>
    <xf numFmtId="16" fontId="0" fillId="2" borderId="0" xfId="0" applyNumberFormat="1" applyFill="1"/>
    <xf numFmtId="0" fontId="2" fillId="2" borderId="0" xfId="0" applyFont="1" applyFill="1"/>
    <xf numFmtId="0" fontId="0" fillId="3" borderId="0" xfId="0" applyFill="1"/>
    <xf numFmtId="0" fontId="0" fillId="8" borderId="0" xfId="0" applyFill="1"/>
    <xf numFmtId="0" fontId="4" fillId="8" borderId="0" xfId="0" applyFont="1" applyFill="1"/>
    <xf numFmtId="0" fontId="2" fillId="3" borderId="0" xfId="0" applyFont="1" applyFill="1"/>
    <xf numFmtId="14" fontId="8" fillId="2" borderId="0" xfId="0" applyNumberFormat="1" applyFont="1" applyFill="1"/>
    <xf numFmtId="0" fontId="9" fillId="2" borderId="0" xfId="0" applyFont="1" applyFill="1"/>
    <xf numFmtId="0" fontId="0" fillId="2" borderId="0" xfId="0" applyFont="1" applyFill="1"/>
    <xf numFmtId="0" fontId="3" fillId="2" borderId="0" xfId="0" applyFont="1" applyFill="1"/>
    <xf numFmtId="14" fontId="0" fillId="7" borderId="0" xfId="0" applyNumberFormat="1" applyFill="1"/>
    <xf numFmtId="0" fontId="4" fillId="7" borderId="0" xfId="0" applyFont="1" applyFill="1"/>
    <xf numFmtId="17" fontId="0" fillId="2" borderId="0" xfId="0" applyNumberFormat="1" applyFill="1"/>
    <xf numFmtId="14" fontId="2" fillId="2" borderId="0" xfId="0" applyNumberFormat="1" applyFont="1" applyFill="1"/>
    <xf numFmtId="16" fontId="0" fillId="7" borderId="0" xfId="0" applyNumberFormat="1" applyFill="1"/>
    <xf numFmtId="0" fontId="4" fillId="9" borderId="0" xfId="0" applyFont="1" applyFill="1"/>
    <xf numFmtId="0" fontId="4" fillId="9" borderId="0" xfId="0" applyFont="1" applyFill="1" applyAlignment="1">
      <alignment horizontal="left"/>
    </xf>
    <xf numFmtId="14" fontId="4" fillId="2" borderId="0" xfId="0" applyNumberFormat="1" applyFont="1" applyFill="1"/>
    <xf numFmtId="0" fontId="10" fillId="2" borderId="0" xfId="0" applyFont="1" applyFill="1"/>
    <xf numFmtId="16" fontId="0" fillId="0" borderId="0" xfId="0" applyNumberFormat="1"/>
    <xf numFmtId="0" fontId="2" fillId="0" borderId="0" xfId="0" applyFont="1"/>
    <xf numFmtId="164" fontId="0" fillId="0" borderId="0" xfId="0" applyNumberFormat="1"/>
    <xf numFmtId="0" fontId="7" fillId="0" borderId="0" xfId="0" applyFont="1" applyFill="1"/>
    <xf numFmtId="16" fontId="2" fillId="0" borderId="0" xfId="0" applyNumberFormat="1" applyFont="1" applyFill="1"/>
    <xf numFmtId="0" fontId="2" fillId="0" borderId="0" xfId="0" applyFont="1" applyFill="1"/>
    <xf numFmtId="0" fontId="13" fillId="0" borderId="0" xfId="0" applyFont="1" applyAlignment="1">
      <alignment horizontal="left" vertical="center"/>
    </xf>
    <xf numFmtId="16" fontId="1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4"/>
    </xf>
    <xf numFmtId="16" fontId="7" fillId="0" borderId="0" xfId="0" applyNumberFormat="1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6" fontId="1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" fontId="13" fillId="0" borderId="0" xfId="0" applyNumberFormat="1" applyFont="1" applyAlignment="1">
      <alignment vertical="center"/>
    </xf>
    <xf numFmtId="0" fontId="16" fillId="0" borderId="0" xfId="0" applyFont="1"/>
    <xf numFmtId="0" fontId="17" fillId="0" borderId="0" xfId="0" applyFont="1"/>
    <xf numFmtId="14" fontId="18" fillId="0" borderId="0" xfId="0" applyNumberFormat="1" applyFont="1"/>
    <xf numFmtId="0" fontId="18" fillId="0" borderId="0" xfId="0" applyFont="1"/>
    <xf numFmtId="0" fontId="18" fillId="2" borderId="0" xfId="0" applyFont="1" applyFill="1"/>
    <xf numFmtId="0" fontId="19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16" fontId="1" fillId="0" borderId="0" xfId="1" applyNumberFormat="1"/>
    <xf numFmtId="0" fontId="1" fillId="0" borderId="0" xfId="1" applyNumberFormat="1"/>
    <xf numFmtId="0" fontId="1" fillId="0" borderId="0" xfId="1"/>
    <xf numFmtId="0" fontId="1" fillId="2" borderId="0" xfId="1" applyFill="1"/>
    <xf numFmtId="0" fontId="1" fillId="2" borderId="0" xfId="1" applyNumberFormat="1" applyFill="1"/>
    <xf numFmtId="0" fontId="22" fillId="0" borderId="0" xfId="2" applyAlignment="1" applyProtection="1"/>
    <xf numFmtId="0" fontId="0" fillId="0" borderId="0" xfId="0" applyAlignment="1">
      <alignment wrapText="1"/>
    </xf>
    <xf numFmtId="14" fontId="0" fillId="0" borderId="0" xfId="0" applyNumberFormat="1"/>
    <xf numFmtId="0" fontId="0" fillId="10" borderId="0" xfId="0" applyFill="1"/>
    <xf numFmtId="164" fontId="0" fillId="10" borderId="0" xfId="0" applyNumberFormat="1" applyFill="1"/>
    <xf numFmtId="0" fontId="7" fillId="11" borderId="0" xfId="0" applyFont="1" applyFill="1" applyAlignment="1">
      <alignment horizontal="center"/>
    </xf>
    <xf numFmtId="0" fontId="7" fillId="11" borderId="0" xfId="0" applyFont="1" applyFill="1"/>
    <xf numFmtId="0" fontId="7" fillId="11" borderId="0" xfId="0" applyFont="1" applyFill="1" applyAlignment="1">
      <alignment horizontal="right"/>
    </xf>
    <xf numFmtId="0" fontId="7" fillId="12" borderId="0" xfId="0" applyFont="1" applyFill="1"/>
    <xf numFmtId="164" fontId="7" fillId="11" borderId="0" xfId="0" applyNumberFormat="1" applyFont="1" applyFill="1"/>
    <xf numFmtId="0" fontId="7" fillId="0" borderId="0" xfId="0" applyFont="1" applyAlignment="1">
      <alignment horizontal="right"/>
    </xf>
    <xf numFmtId="164" fontId="0" fillId="11" borderId="0" xfId="0" applyNumberFormat="1" applyFill="1"/>
    <xf numFmtId="165" fontId="0" fillId="12" borderId="0" xfId="0" applyNumberFormat="1" applyFill="1"/>
    <xf numFmtId="4" fontId="0" fillId="0" borderId="0" xfId="0" applyNumberFormat="1"/>
    <xf numFmtId="165" fontId="2" fillId="12" borderId="0" xfId="0" applyNumberFormat="1" applyFont="1" applyFill="1"/>
    <xf numFmtId="16" fontId="0" fillId="11" borderId="0" xfId="0" applyNumberFormat="1" applyFill="1"/>
    <xf numFmtId="0" fontId="0" fillId="11" borderId="0" xfId="0" applyFill="1"/>
    <xf numFmtId="164" fontId="2" fillId="11" borderId="0" xfId="0" applyNumberFormat="1" applyFont="1" applyFill="1"/>
    <xf numFmtId="0" fontId="2" fillId="11" borderId="0" xfId="0" applyFont="1" applyFill="1"/>
    <xf numFmtId="165" fontId="0" fillId="11" borderId="0" xfId="0" applyNumberFormat="1" applyFill="1"/>
    <xf numFmtId="4" fontId="0" fillId="11" borderId="0" xfId="0" applyNumberFormat="1" applyFill="1"/>
    <xf numFmtId="164" fontId="7" fillId="0" borderId="0" xfId="0" applyNumberFormat="1" applyFont="1"/>
    <xf numFmtId="0" fontId="0" fillId="5" borderId="0" xfId="0" applyFill="1"/>
    <xf numFmtId="9" fontId="0" fillId="0" borderId="0" xfId="0" applyNumberFormat="1"/>
    <xf numFmtId="0" fontId="0" fillId="4" borderId="0" xfId="0" applyFill="1"/>
    <xf numFmtId="164" fontId="0" fillId="4" borderId="0" xfId="0" applyNumberFormat="1" applyFill="1"/>
    <xf numFmtId="8" fontId="0" fillId="0" borderId="0" xfId="0" applyNumberFormat="1"/>
    <xf numFmtId="164" fontId="0" fillId="0" borderId="0" xfId="0" applyNumberFormat="1" applyAlignment="1">
      <alignment horizontal="right"/>
    </xf>
    <xf numFmtId="0" fontId="3" fillId="11" borderId="0" xfId="0" applyFont="1" applyFill="1"/>
    <xf numFmtId="0" fontId="3" fillId="11" borderId="0" xfId="0" applyFont="1" applyFill="1" applyAlignment="1">
      <alignment horizontal="left" indent="1"/>
    </xf>
    <xf numFmtId="0" fontId="4" fillId="11" borderId="0" xfId="0" applyFont="1" applyFill="1"/>
    <xf numFmtId="0" fontId="4" fillId="11" borderId="0" xfId="0" applyFont="1" applyFill="1" applyAlignment="1">
      <alignment horizontal="left" wrapText="1" indent="1"/>
    </xf>
    <xf numFmtId="4" fontId="4" fillId="11" borderId="0" xfId="0" applyNumberFormat="1" applyFont="1" applyFill="1"/>
    <xf numFmtId="0" fontId="4" fillId="11" borderId="0" xfId="0" applyFont="1" applyFill="1" applyAlignment="1">
      <alignment horizontal="left" indent="1"/>
    </xf>
    <xf numFmtId="4" fontId="4" fillId="10" borderId="0" xfId="0" applyNumberFormat="1" applyFont="1" applyFill="1"/>
    <xf numFmtId="0" fontId="23" fillId="11" borderId="0" xfId="0" applyFont="1" applyFill="1" applyAlignment="1">
      <alignment horizontal="left" indent="1"/>
    </xf>
    <xf numFmtId="0" fontId="4" fillId="11" borderId="0" xfId="0" applyFont="1" applyFill="1" applyAlignment="1">
      <alignment horizontal="left" indent="2"/>
    </xf>
    <xf numFmtId="164" fontId="4" fillId="11" borderId="0" xfId="0" applyNumberFormat="1" applyFont="1" applyFill="1"/>
    <xf numFmtId="4" fontId="4" fillId="0" borderId="0" xfId="0" applyNumberFormat="1" applyFont="1"/>
    <xf numFmtId="4" fontId="3" fillId="0" borderId="0" xfId="0" applyNumberFormat="1" applyFont="1"/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165" fontId="4" fillId="0" borderId="0" xfId="0" applyNumberFormat="1" applyFont="1"/>
    <xf numFmtId="0" fontId="4" fillId="0" borderId="0" xfId="0" applyFont="1" applyFill="1" applyAlignment="1">
      <alignment horizontal="left" indent="1"/>
    </xf>
    <xf numFmtId="4" fontId="4" fillId="13" borderId="0" xfId="0" applyNumberFormat="1" applyFont="1" applyFill="1"/>
    <xf numFmtId="0" fontId="4" fillId="0" borderId="0" xfId="0" applyFont="1" applyAlignment="1">
      <alignment horizontal="left" indent="1"/>
    </xf>
    <xf numFmtId="0" fontId="4" fillId="10" borderId="0" xfId="0" applyFont="1" applyFill="1" applyAlignment="1">
      <alignment horizontal="left" indent="1"/>
    </xf>
    <xf numFmtId="0" fontId="23" fillId="0" borderId="0" xfId="0" applyFont="1" applyAlignment="1">
      <alignment horizontal="left" indent="1"/>
    </xf>
    <xf numFmtId="0" fontId="4" fillId="0" borderId="0" xfId="0" applyFont="1" applyAlignment="1">
      <alignment horizontal="left" indent="2"/>
    </xf>
    <xf numFmtId="4" fontId="3" fillId="11" borderId="0" xfId="0" applyNumberFormat="1" applyFont="1" applyFill="1"/>
    <xf numFmtId="8" fontId="4" fillId="11" borderId="0" xfId="0" applyNumberFormat="1" applyFont="1" applyFill="1"/>
    <xf numFmtId="4" fontId="4" fillId="0" borderId="0" xfId="0" applyNumberFormat="1" applyFont="1" applyFill="1"/>
    <xf numFmtId="0" fontId="4" fillId="10" borderId="0" xfId="0" applyFont="1" applyFill="1"/>
    <xf numFmtId="164" fontId="4" fillId="10" borderId="0" xfId="0" applyNumberFormat="1" applyFont="1" applyFill="1"/>
    <xf numFmtId="0" fontId="4" fillId="11" borderId="0" xfId="0" applyFont="1" applyFill="1" applyAlignment="1">
      <alignment wrapText="1"/>
    </xf>
    <xf numFmtId="165" fontId="4" fillId="11" borderId="0" xfId="0" applyNumberFormat="1" applyFont="1" applyFill="1"/>
    <xf numFmtId="166" fontId="4" fillId="11" borderId="0" xfId="0" applyNumberFormat="1" applyFont="1" applyFill="1"/>
    <xf numFmtId="0" fontId="23" fillId="11" borderId="0" xfId="0" applyFont="1" applyFill="1"/>
    <xf numFmtId="8" fontId="4" fillId="0" borderId="0" xfId="0" applyNumberFormat="1" applyFont="1"/>
    <xf numFmtId="4" fontId="7" fillId="0" borderId="0" xfId="0" applyNumberFormat="1" applyFont="1"/>
    <xf numFmtId="6" fontId="0" fillId="0" borderId="0" xfId="0" applyNumberFormat="1"/>
    <xf numFmtId="1" fontId="0" fillId="0" borderId="0" xfId="0" applyNumberFormat="1"/>
    <xf numFmtId="4" fontId="0" fillId="10" borderId="0" xfId="0" applyNumberFormat="1" applyFill="1"/>
    <xf numFmtId="6" fontId="0" fillId="10" borderId="0" xfId="0" applyNumberFormat="1" applyFill="1"/>
    <xf numFmtId="0" fontId="0" fillId="12" borderId="0" xfId="0" applyFill="1"/>
    <xf numFmtId="6" fontId="0" fillId="0" borderId="0" xfId="0" applyNumberFormat="1" applyAlignment="1">
      <alignment horizontal="right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E7FABDB3-1DB4-2F46-8193-6E02EEB3C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issCompany/2.%20Bliss%20Sense/%17BlissSenseForecas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ogainventory"/>
      <sheetName val="COGS"/>
      <sheetName val="Product Cost Basis"/>
      <sheetName val="Profit Forecast"/>
      <sheetName val="BlackSheepYoga"/>
      <sheetName val="Sales"/>
      <sheetName val="SuchiJuly2017"/>
      <sheetName val="Channels"/>
      <sheetName val="Wellness Consultation"/>
      <sheetName val="Workshops"/>
      <sheetName val="Project Plan"/>
      <sheetName val="Goals"/>
      <sheetName val="Rose Comparison"/>
      <sheetName val="Drops Chart"/>
      <sheetName val="Oils 20152016"/>
      <sheetName val="AmazonEb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53">
          <cell r="F53">
            <v>3.3500000000000002E-2</v>
          </cell>
        </row>
        <row r="80">
          <cell r="F80">
            <v>1.7249999999999998E-2</v>
          </cell>
        </row>
        <row r="89">
          <cell r="F89">
            <v>9.9966666666666662E-2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27359-D875-4A49-866C-98B40AE7ADDF}">
  <sheetPr published="0"/>
  <dimension ref="A1:R146"/>
  <sheetViews>
    <sheetView view="pageLayout" topLeftCell="A2" workbookViewId="0">
      <selection activeCell="J28" sqref="J28"/>
    </sheetView>
  </sheetViews>
  <sheetFormatPr baseColWidth="10" defaultRowHeight="13"/>
  <cols>
    <col min="1" max="1" width="12.5" bestFit="1" customWidth="1"/>
    <col min="2" max="2" width="30.5" customWidth="1"/>
    <col min="5" max="5" width="8.5" bestFit="1" customWidth="1"/>
    <col min="8" max="8" width="8.5" hidden="1" customWidth="1"/>
    <col min="9" max="9" width="8.1640625" hidden="1" customWidth="1"/>
    <col min="11" max="11" width="13.1640625" bestFit="1" customWidth="1"/>
  </cols>
  <sheetData>
    <row r="1" spans="1:18">
      <c r="A1" t="s">
        <v>838</v>
      </c>
      <c r="B1" s="30" t="s">
        <v>839</v>
      </c>
      <c r="C1" s="88"/>
      <c r="D1" t="s">
        <v>840</v>
      </c>
      <c r="E1">
        <v>3434.05</v>
      </c>
      <c r="F1" t="s">
        <v>841</v>
      </c>
    </row>
    <row r="2" spans="1:18" s="30" customFormat="1">
      <c r="C2" s="91" t="s">
        <v>842</v>
      </c>
      <c r="D2" s="91"/>
      <c r="E2" s="91"/>
      <c r="F2" s="91"/>
      <c r="G2" s="91"/>
      <c r="H2" s="92" t="s">
        <v>843</v>
      </c>
      <c r="I2" s="93" t="s">
        <v>844</v>
      </c>
      <c r="J2" s="94" t="s">
        <v>845</v>
      </c>
      <c r="K2" s="30" t="s">
        <v>846</v>
      </c>
    </row>
    <row r="3" spans="1:18" s="30" customFormat="1">
      <c r="C3" s="30" t="s">
        <v>847</v>
      </c>
      <c r="D3" s="30" t="s">
        <v>848</v>
      </c>
      <c r="E3" s="30">
        <v>30</v>
      </c>
      <c r="F3" s="95">
        <v>100</v>
      </c>
      <c r="G3" s="30">
        <v>250</v>
      </c>
      <c r="H3" s="30">
        <v>3785.41</v>
      </c>
      <c r="I3" s="96">
        <v>18927.099999999999</v>
      </c>
      <c r="J3" s="94" t="s">
        <v>849</v>
      </c>
      <c r="K3" s="30" t="s">
        <v>850</v>
      </c>
      <c r="L3" s="30" t="s">
        <v>851</v>
      </c>
      <c r="M3" s="30" t="s">
        <v>852</v>
      </c>
      <c r="N3" s="30" t="s">
        <v>853</v>
      </c>
      <c r="O3" s="30" t="s">
        <v>854</v>
      </c>
      <c r="P3" s="30" t="s">
        <v>855</v>
      </c>
      <c r="Q3" s="30" t="s">
        <v>856</v>
      </c>
      <c r="R3" s="30" t="s">
        <v>857</v>
      </c>
    </row>
    <row r="4" spans="1:18">
      <c r="A4" s="55">
        <v>41354</v>
      </c>
      <c r="B4" t="s">
        <v>858</v>
      </c>
      <c r="C4">
        <v>6.95</v>
      </c>
      <c r="D4">
        <v>8.9499999999999993</v>
      </c>
      <c r="F4" s="97">
        <v>56.95</v>
      </c>
      <c r="G4" s="30">
        <v>123.95</v>
      </c>
      <c r="J4" s="98">
        <f>G4/5000</f>
        <v>2.479E-2</v>
      </c>
      <c r="K4" s="99">
        <v>8</v>
      </c>
      <c r="L4" s="99">
        <v>10</v>
      </c>
      <c r="N4">
        <v>8.9499999999999993</v>
      </c>
      <c r="O4">
        <f>J4*200</f>
        <v>4.9580000000000002</v>
      </c>
      <c r="P4">
        <v>0.15</v>
      </c>
      <c r="Q4">
        <v>0.25</v>
      </c>
      <c r="R4" s="57">
        <f>N4-O4-Q4-P4</f>
        <v>3.5919999999999992</v>
      </c>
    </row>
    <row r="5" spans="1:18">
      <c r="A5" s="55">
        <v>41354</v>
      </c>
      <c r="B5" t="s">
        <v>859</v>
      </c>
      <c r="C5">
        <v>4.95</v>
      </c>
      <c r="D5">
        <v>6.95</v>
      </c>
      <c r="F5" s="97"/>
      <c r="G5" s="30">
        <v>97.95</v>
      </c>
      <c r="J5" s="98">
        <f t="shared" ref="J5:J20" si="0">G5/5000</f>
        <v>1.959E-2</v>
      </c>
      <c r="K5" s="99">
        <v>6</v>
      </c>
      <c r="L5" s="99">
        <v>8</v>
      </c>
      <c r="N5">
        <v>6.95</v>
      </c>
      <c r="O5">
        <f>J5*200</f>
        <v>3.9180000000000001</v>
      </c>
      <c r="P5">
        <v>0.15</v>
      </c>
      <c r="Q5">
        <v>0.25</v>
      </c>
      <c r="R5" s="57">
        <f>N5-O5-Q5-P5</f>
        <v>2.6320000000000001</v>
      </c>
    </row>
    <row r="6" spans="1:18">
      <c r="A6" s="55">
        <v>41354</v>
      </c>
      <c r="B6" t="s">
        <v>860</v>
      </c>
      <c r="C6">
        <v>11.95</v>
      </c>
      <c r="D6">
        <v>16.95</v>
      </c>
      <c r="F6" s="95">
        <v>107.95</v>
      </c>
      <c r="G6" s="56">
        <v>233.95</v>
      </c>
      <c r="J6" s="98">
        <f>F6/2000</f>
        <v>5.3975000000000002E-2</v>
      </c>
      <c r="K6" s="99">
        <v>13</v>
      </c>
      <c r="L6" s="99">
        <v>18</v>
      </c>
      <c r="N6">
        <v>16.95</v>
      </c>
      <c r="P6">
        <v>0.15</v>
      </c>
      <c r="Q6">
        <v>0.25</v>
      </c>
      <c r="R6" s="57">
        <f>N6-O6-Q6-P6</f>
        <v>16.55</v>
      </c>
    </row>
    <row r="7" spans="1:18">
      <c r="A7" s="55">
        <v>41354</v>
      </c>
      <c r="B7" t="s">
        <v>861</v>
      </c>
      <c r="C7">
        <v>23.95</v>
      </c>
      <c r="D7">
        <v>33.950000000000003</v>
      </c>
      <c r="F7" s="97"/>
      <c r="G7" s="30">
        <v>467.95</v>
      </c>
      <c r="J7" s="98">
        <f t="shared" si="0"/>
        <v>9.3589999999999993E-2</v>
      </c>
      <c r="K7" s="99">
        <v>25</v>
      </c>
      <c r="L7" s="99">
        <v>35</v>
      </c>
      <c r="N7">
        <v>33.950000000000003</v>
      </c>
      <c r="P7">
        <v>0.15</v>
      </c>
      <c r="Q7">
        <v>0.25</v>
      </c>
      <c r="R7" s="57">
        <f>N7-O7-Q7-P7</f>
        <v>33.550000000000004</v>
      </c>
    </row>
    <row r="8" spans="1:18">
      <c r="A8" s="55">
        <v>41354</v>
      </c>
      <c r="B8" t="s">
        <v>862</v>
      </c>
      <c r="C8">
        <v>55.95</v>
      </c>
      <c r="D8">
        <v>79.95</v>
      </c>
      <c r="F8" s="97"/>
      <c r="G8" s="30">
        <v>1091.95</v>
      </c>
      <c r="J8" s="98">
        <f t="shared" si="0"/>
        <v>0.21839</v>
      </c>
      <c r="K8" s="99">
        <v>60</v>
      </c>
      <c r="L8" s="99">
        <v>120</v>
      </c>
      <c r="M8">
        <v>50</v>
      </c>
      <c r="O8">
        <f>J8*100</f>
        <v>21.838999999999999</v>
      </c>
      <c r="P8">
        <v>0.15</v>
      </c>
      <c r="Q8">
        <v>0.25</v>
      </c>
      <c r="R8" s="57">
        <f>M8-O8</f>
        <v>28.161000000000001</v>
      </c>
    </row>
    <row r="9" spans="1:18">
      <c r="A9" s="55">
        <v>41354</v>
      </c>
      <c r="B9" t="s">
        <v>863</v>
      </c>
      <c r="C9">
        <v>8.9499999999999993</v>
      </c>
      <c r="D9">
        <v>12.95</v>
      </c>
      <c r="F9" s="97"/>
      <c r="G9" s="30">
        <v>181.95</v>
      </c>
      <c r="J9" s="98">
        <f t="shared" si="0"/>
        <v>3.6389999999999999E-2</v>
      </c>
      <c r="K9" s="99">
        <v>10</v>
      </c>
      <c r="L9" s="99">
        <v>14</v>
      </c>
      <c r="N9">
        <v>12.95</v>
      </c>
      <c r="P9">
        <v>0.15</v>
      </c>
      <c r="Q9">
        <v>0.25</v>
      </c>
      <c r="R9" s="57">
        <f>N9-P9-Q9</f>
        <v>12.549999999999999</v>
      </c>
    </row>
    <row r="10" spans="1:18">
      <c r="A10" s="55">
        <v>41354</v>
      </c>
      <c r="B10" t="s">
        <v>864</v>
      </c>
      <c r="C10">
        <v>4.95</v>
      </c>
      <c r="D10">
        <v>6.95</v>
      </c>
      <c r="F10" s="97"/>
      <c r="G10" s="30">
        <v>97.95</v>
      </c>
      <c r="J10" s="98">
        <f t="shared" si="0"/>
        <v>1.959E-2</v>
      </c>
      <c r="K10" s="99">
        <v>6</v>
      </c>
      <c r="L10" s="99">
        <v>8</v>
      </c>
      <c r="N10">
        <v>6.95</v>
      </c>
      <c r="P10">
        <v>0.15</v>
      </c>
      <c r="Q10">
        <v>0.25</v>
      </c>
      <c r="R10" s="57">
        <f>N10-P10-Q10</f>
        <v>6.55</v>
      </c>
    </row>
    <row r="11" spans="1:18">
      <c r="A11" s="55">
        <v>41354</v>
      </c>
      <c r="B11" t="s">
        <v>865</v>
      </c>
      <c r="C11">
        <v>4.95</v>
      </c>
      <c r="D11">
        <v>6.95</v>
      </c>
      <c r="F11" s="97"/>
      <c r="G11" s="30">
        <v>97.95</v>
      </c>
      <c r="J11" s="98">
        <f t="shared" si="0"/>
        <v>1.959E-2</v>
      </c>
      <c r="K11" s="99">
        <v>6</v>
      </c>
      <c r="L11" s="99">
        <v>8</v>
      </c>
      <c r="N11">
        <v>6.95</v>
      </c>
      <c r="P11">
        <v>0.15</v>
      </c>
      <c r="Q11">
        <v>0.25</v>
      </c>
      <c r="R11" s="57">
        <f>N11-P11-Q11</f>
        <v>6.55</v>
      </c>
    </row>
    <row r="12" spans="1:18">
      <c r="A12" s="55">
        <v>41354</v>
      </c>
      <c r="B12" t="s">
        <v>866</v>
      </c>
      <c r="C12">
        <v>4.95</v>
      </c>
      <c r="D12">
        <v>6.95</v>
      </c>
      <c r="F12" s="97"/>
      <c r="G12" s="30">
        <v>97.95</v>
      </c>
      <c r="J12" s="98">
        <f t="shared" si="0"/>
        <v>1.959E-2</v>
      </c>
      <c r="K12" s="99">
        <v>6</v>
      </c>
      <c r="L12" s="99">
        <v>8</v>
      </c>
      <c r="N12">
        <v>6.95</v>
      </c>
      <c r="P12">
        <v>0.15</v>
      </c>
      <c r="Q12">
        <v>0.25</v>
      </c>
      <c r="R12" s="57">
        <f>N12-P12-Q12</f>
        <v>6.55</v>
      </c>
    </row>
    <row r="13" spans="1:18">
      <c r="A13" s="55">
        <v>41354</v>
      </c>
      <c r="B13" t="s">
        <v>867</v>
      </c>
      <c r="C13">
        <v>6.95</v>
      </c>
      <c r="D13">
        <v>9.9499999999999993</v>
      </c>
      <c r="F13" s="95">
        <v>62.95</v>
      </c>
      <c r="G13" s="56">
        <v>136.94999999999999</v>
      </c>
      <c r="J13" s="100">
        <f>F13/2000</f>
        <v>3.1475000000000003E-2</v>
      </c>
      <c r="K13" s="99">
        <v>8</v>
      </c>
      <c r="L13" s="99">
        <v>11</v>
      </c>
      <c r="R13" s="57"/>
    </row>
    <row r="14" spans="1:18">
      <c r="A14" s="55">
        <v>41354</v>
      </c>
      <c r="B14" t="s">
        <v>868</v>
      </c>
      <c r="C14">
        <v>4.95</v>
      </c>
      <c r="D14">
        <v>6.95</v>
      </c>
      <c r="F14" s="97"/>
      <c r="G14" s="30">
        <v>97.95</v>
      </c>
      <c r="J14" s="98">
        <f t="shared" si="0"/>
        <v>1.959E-2</v>
      </c>
      <c r="K14" s="99">
        <v>6</v>
      </c>
      <c r="L14" s="99">
        <v>8</v>
      </c>
      <c r="R14" s="57"/>
    </row>
    <row r="15" spans="1:18" s="102" customFormat="1">
      <c r="A15" s="101">
        <v>41354</v>
      </c>
      <c r="B15" s="102" t="s">
        <v>869</v>
      </c>
      <c r="C15" s="102">
        <v>34.950000000000003</v>
      </c>
      <c r="D15" s="102">
        <v>49.95</v>
      </c>
      <c r="E15" s="92">
        <v>104.95</v>
      </c>
      <c r="F15" s="103">
        <v>314.95</v>
      </c>
      <c r="G15" s="104">
        <v>682.95</v>
      </c>
      <c r="J15" s="105">
        <f>G15/600</f>
        <v>1.13825</v>
      </c>
      <c r="K15" s="106">
        <v>36</v>
      </c>
      <c r="L15" s="106">
        <v>51</v>
      </c>
      <c r="R15" s="97"/>
    </row>
    <row r="16" spans="1:18">
      <c r="A16" s="55">
        <v>41354</v>
      </c>
      <c r="B16" t="s">
        <v>870</v>
      </c>
      <c r="C16">
        <v>4.95</v>
      </c>
      <c r="D16">
        <v>6.95</v>
      </c>
      <c r="F16" s="97">
        <v>44.95</v>
      </c>
      <c r="G16" s="30">
        <v>97.95</v>
      </c>
      <c r="J16" s="98">
        <f t="shared" si="0"/>
        <v>1.959E-2</v>
      </c>
      <c r="K16" s="99">
        <v>6</v>
      </c>
      <c r="L16" s="99">
        <v>8</v>
      </c>
      <c r="R16" s="57"/>
    </row>
    <row r="17" spans="1:18">
      <c r="A17" s="55">
        <v>41354</v>
      </c>
      <c r="B17" t="s">
        <v>871</v>
      </c>
      <c r="C17">
        <v>4.95</v>
      </c>
      <c r="D17">
        <v>6.95</v>
      </c>
      <c r="F17" s="97"/>
      <c r="G17" s="30">
        <v>97.95</v>
      </c>
      <c r="J17" s="98">
        <f t="shared" si="0"/>
        <v>1.959E-2</v>
      </c>
      <c r="K17" s="99">
        <v>6</v>
      </c>
      <c r="L17" s="99">
        <v>8</v>
      </c>
      <c r="R17" s="57"/>
    </row>
    <row r="18" spans="1:18">
      <c r="A18" s="55">
        <v>41354</v>
      </c>
      <c r="B18" t="s">
        <v>872</v>
      </c>
      <c r="C18">
        <v>6.95</v>
      </c>
      <c r="D18">
        <v>8.9499999999999993</v>
      </c>
      <c r="F18" s="97"/>
      <c r="G18" s="30">
        <v>56.95</v>
      </c>
      <c r="J18" s="98">
        <f t="shared" si="0"/>
        <v>1.1390000000000001E-2</v>
      </c>
      <c r="K18" s="99">
        <v>8</v>
      </c>
      <c r="L18" s="99">
        <v>10</v>
      </c>
      <c r="R18" s="57"/>
    </row>
    <row r="19" spans="1:18">
      <c r="A19" s="55">
        <v>41354</v>
      </c>
      <c r="B19" t="s">
        <v>873</v>
      </c>
      <c r="C19">
        <v>4.95</v>
      </c>
      <c r="D19">
        <v>6.95</v>
      </c>
      <c r="F19" s="97"/>
      <c r="G19" s="30">
        <v>97.95</v>
      </c>
      <c r="J19" s="98">
        <f t="shared" si="0"/>
        <v>1.959E-2</v>
      </c>
      <c r="K19" s="99">
        <v>6</v>
      </c>
      <c r="L19" s="99">
        <v>8</v>
      </c>
      <c r="R19" s="57"/>
    </row>
    <row r="20" spans="1:18">
      <c r="A20" s="55">
        <v>41354</v>
      </c>
      <c r="B20" t="s">
        <v>874</v>
      </c>
      <c r="C20">
        <v>6.95</v>
      </c>
      <c r="D20">
        <v>8.9499999999999993</v>
      </c>
      <c r="F20" s="97"/>
      <c r="G20" s="30">
        <v>123.95</v>
      </c>
      <c r="J20" s="98">
        <f t="shared" si="0"/>
        <v>2.479E-2</v>
      </c>
      <c r="K20" s="99">
        <v>8</v>
      </c>
      <c r="L20" s="99">
        <v>10</v>
      </c>
      <c r="R20" s="57"/>
    </row>
    <row r="21" spans="1:18">
      <c r="A21" s="55">
        <v>41354</v>
      </c>
      <c r="B21" t="s">
        <v>875</v>
      </c>
      <c r="C21">
        <v>10.95</v>
      </c>
      <c r="D21">
        <v>15.95</v>
      </c>
      <c r="F21" s="97"/>
      <c r="G21" s="30">
        <v>220.95</v>
      </c>
      <c r="J21" s="98">
        <f>G21/5000</f>
        <v>4.419E-2</v>
      </c>
      <c r="K21" s="99">
        <v>12</v>
      </c>
      <c r="L21" s="99">
        <v>17</v>
      </c>
      <c r="R21" s="57"/>
    </row>
    <row r="22" spans="1:18">
      <c r="A22" s="55">
        <v>41354</v>
      </c>
      <c r="B22" t="s">
        <v>876</v>
      </c>
      <c r="C22">
        <v>4.95</v>
      </c>
      <c r="D22">
        <v>6.95</v>
      </c>
      <c r="F22" s="97"/>
      <c r="G22" s="30">
        <v>97.95</v>
      </c>
      <c r="J22" s="98">
        <f>G22/5000</f>
        <v>1.959E-2</v>
      </c>
      <c r="K22" s="99">
        <v>6</v>
      </c>
      <c r="L22" s="99">
        <v>8</v>
      </c>
      <c r="R22" s="57"/>
    </row>
    <row r="23" spans="1:18">
      <c r="A23" s="55">
        <v>41354</v>
      </c>
      <c r="B23" t="s">
        <v>877</v>
      </c>
      <c r="C23">
        <v>26.95</v>
      </c>
      <c r="D23">
        <v>38.950000000000003</v>
      </c>
      <c r="F23" s="107">
        <v>245.95</v>
      </c>
      <c r="G23">
        <v>532.95000000000005</v>
      </c>
      <c r="J23" s="98">
        <f>F23/2000</f>
        <v>0.122975</v>
      </c>
      <c r="K23" s="99">
        <v>28</v>
      </c>
      <c r="L23" s="99">
        <v>40</v>
      </c>
      <c r="R23" s="57"/>
    </row>
    <row r="24" spans="1:18">
      <c r="A24" s="55"/>
      <c r="F24" s="57"/>
      <c r="J24" s="98">
        <f>G25/5000</f>
        <v>3.5899999999999999E-3</v>
      </c>
      <c r="K24" s="99"/>
      <c r="L24" s="99"/>
      <c r="R24" s="57"/>
    </row>
    <row r="25" spans="1:18">
      <c r="A25" s="55">
        <v>41354</v>
      </c>
      <c r="B25" t="s">
        <v>878</v>
      </c>
      <c r="C25" t="s">
        <v>879</v>
      </c>
      <c r="D25" t="s">
        <v>879</v>
      </c>
      <c r="F25" s="57">
        <v>8.9499999999999993</v>
      </c>
      <c r="G25">
        <v>17.95</v>
      </c>
      <c r="J25" s="98">
        <f>G25/5000</f>
        <v>3.5899999999999999E-3</v>
      </c>
      <c r="K25" s="99"/>
      <c r="L25" s="99"/>
      <c r="R25" s="57"/>
    </row>
    <row r="26" spans="1:18">
      <c r="B26" s="89" t="s">
        <v>880</v>
      </c>
      <c r="C26">
        <v>6.95</v>
      </c>
      <c r="D26">
        <v>8.9499999999999993</v>
      </c>
      <c r="F26" s="57"/>
      <c r="G26">
        <v>123.95</v>
      </c>
      <c r="J26" s="89">
        <f>G26/5000</f>
        <v>2.479E-2</v>
      </c>
      <c r="K26" s="99">
        <v>8</v>
      </c>
      <c r="L26" s="99">
        <v>10</v>
      </c>
    </row>
    <row r="27" spans="1:18">
      <c r="B27" s="89" t="s">
        <v>881</v>
      </c>
      <c r="C27">
        <v>5.95</v>
      </c>
      <c r="D27">
        <v>8.9499999999999993</v>
      </c>
      <c r="F27" s="57"/>
      <c r="G27">
        <v>110.95</v>
      </c>
      <c r="J27" s="89">
        <f>G27/5000</f>
        <v>2.2190000000000001E-2</v>
      </c>
      <c r="K27" s="99">
        <v>7</v>
      </c>
      <c r="L27" s="99">
        <v>10</v>
      </c>
    </row>
    <row r="28" spans="1:18">
      <c r="B28" s="89" t="s">
        <v>882</v>
      </c>
      <c r="C28">
        <v>6.95</v>
      </c>
      <c r="F28" s="57"/>
      <c r="G28">
        <v>136.94999999999999</v>
      </c>
      <c r="J28" s="89">
        <f>G28/5000</f>
        <v>2.7389999999999998E-2</v>
      </c>
      <c r="K28" s="99">
        <v>8</v>
      </c>
      <c r="L28" s="99"/>
    </row>
    <row r="29" spans="1:18">
      <c r="B29" s="89" t="s">
        <v>883</v>
      </c>
      <c r="C29">
        <v>8.9499999999999993</v>
      </c>
      <c r="D29">
        <v>12.95</v>
      </c>
      <c r="F29" s="57"/>
      <c r="G29">
        <v>181.95</v>
      </c>
      <c r="J29" s="89">
        <f>G29/5000</f>
        <v>3.6389999999999999E-2</v>
      </c>
      <c r="K29" s="99">
        <v>10</v>
      </c>
      <c r="L29" s="99">
        <v>13</v>
      </c>
    </row>
    <row r="30" spans="1:18">
      <c r="A30" s="55">
        <v>41382</v>
      </c>
      <c r="B30" t="s">
        <v>884</v>
      </c>
      <c r="C30">
        <v>26.4</v>
      </c>
      <c r="F30" s="57"/>
      <c r="J30">
        <f>C30/100</f>
        <v>0.26400000000000001</v>
      </c>
      <c r="K30" s="99"/>
      <c r="L30" s="99"/>
    </row>
    <row r="31" spans="1:18">
      <c r="B31" t="s">
        <v>885</v>
      </c>
      <c r="F31" s="57"/>
    </row>
    <row r="32" spans="1:18">
      <c r="B32" s="56" t="s">
        <v>886</v>
      </c>
      <c r="F32" s="57"/>
    </row>
    <row r="33" spans="2:10">
      <c r="B33" s="30"/>
      <c r="F33" s="57"/>
    </row>
    <row r="34" spans="2:10">
      <c r="F34" s="57"/>
    </row>
    <row r="35" spans="2:10">
      <c r="B35" s="30" t="s">
        <v>887</v>
      </c>
      <c r="C35" s="88">
        <v>41346</v>
      </c>
      <c r="F35" s="57"/>
    </row>
    <row r="36" spans="2:10">
      <c r="B36" s="30"/>
      <c r="C36" s="88" t="s">
        <v>888</v>
      </c>
      <c r="D36" t="s">
        <v>889</v>
      </c>
      <c r="E36" t="s">
        <v>890</v>
      </c>
      <c r="F36" t="s">
        <v>845</v>
      </c>
    </row>
    <row r="37" spans="2:10">
      <c r="B37" t="s">
        <v>891</v>
      </c>
      <c r="C37" t="s">
        <v>892</v>
      </c>
    </row>
    <row r="38" spans="2:10">
      <c r="B38" t="s">
        <v>893</v>
      </c>
      <c r="C38" t="s">
        <v>892</v>
      </c>
      <c r="D38">
        <v>9600</v>
      </c>
      <c r="E38">
        <v>55</v>
      </c>
      <c r="F38">
        <f>E38/D38</f>
        <v>5.7291666666666663E-3</v>
      </c>
      <c r="H38">
        <v>326</v>
      </c>
    </row>
    <row r="39" spans="2:10">
      <c r="B39" t="s">
        <v>894</v>
      </c>
      <c r="C39" t="s">
        <v>892</v>
      </c>
      <c r="E39">
        <v>7.5</v>
      </c>
      <c r="F39" s="57"/>
      <c r="I39">
        <v>216</v>
      </c>
    </row>
    <row r="40" spans="2:10">
      <c r="B40" t="s">
        <v>895</v>
      </c>
      <c r="F40" s="57"/>
    </row>
    <row r="41" spans="2:10">
      <c r="B41" t="s">
        <v>896</v>
      </c>
      <c r="C41" t="s">
        <v>897</v>
      </c>
      <c r="D41">
        <v>2400</v>
      </c>
      <c r="E41">
        <v>34.75</v>
      </c>
      <c r="F41" s="57">
        <f>E41/D41</f>
        <v>1.4479166666666666E-2</v>
      </c>
    </row>
    <row r="42" spans="2:10">
      <c r="B42" t="s">
        <v>898</v>
      </c>
      <c r="J42" s="108">
        <v>0.04</v>
      </c>
    </row>
    <row r="43" spans="2:10">
      <c r="F43" s="57"/>
    </row>
    <row r="44" spans="2:10">
      <c r="F44" s="57"/>
    </row>
    <row r="45" spans="2:10">
      <c r="B45" s="30" t="s">
        <v>899</v>
      </c>
      <c r="C45" s="88">
        <v>41346</v>
      </c>
      <c r="F45" s="57"/>
    </row>
    <row r="46" spans="2:10">
      <c r="B46" s="30"/>
      <c r="C46" s="88" t="s">
        <v>900</v>
      </c>
      <c r="D46" t="s">
        <v>901</v>
      </c>
      <c r="F46" s="57"/>
    </row>
    <row r="47" spans="2:10">
      <c r="B47" t="s">
        <v>902</v>
      </c>
      <c r="C47">
        <v>16</v>
      </c>
      <c r="F47" s="57"/>
    </row>
    <row r="48" spans="2:10">
      <c r="F48" s="57"/>
      <c r="G48" s="109">
        <v>0.75</v>
      </c>
    </row>
    <row r="49" spans="1:7">
      <c r="C49" t="s">
        <v>903</v>
      </c>
      <c r="D49" t="s">
        <v>904</v>
      </c>
      <c r="F49" s="57" t="s">
        <v>905</v>
      </c>
      <c r="G49">
        <f>236*0.75</f>
        <v>177</v>
      </c>
    </row>
    <row r="50" spans="1:7">
      <c r="B50" t="s">
        <v>906</v>
      </c>
      <c r="F50" s="57"/>
    </row>
    <row r="51" spans="1:7">
      <c r="C51">
        <f>17.53/32</f>
        <v>0.54781250000000004</v>
      </c>
      <c r="D51" t="s">
        <v>907</v>
      </c>
      <c r="F51" s="57"/>
    </row>
    <row r="52" spans="1:7">
      <c r="C52">
        <f>236*J38</f>
        <v>0</v>
      </c>
      <c r="F52" s="57"/>
    </row>
    <row r="53" spans="1:7">
      <c r="C53">
        <f>SUM(C51:C52)</f>
        <v>0.54781250000000004</v>
      </c>
      <c r="D53" t="s">
        <v>908</v>
      </c>
      <c r="F53" s="57"/>
    </row>
    <row r="54" spans="1:7">
      <c r="C54">
        <f>C53/177</f>
        <v>3.0949858757062148E-3</v>
      </c>
      <c r="D54" t="s">
        <v>909</v>
      </c>
      <c r="F54" s="57"/>
    </row>
    <row r="55" spans="1:7">
      <c r="C55">
        <f>C54/20</f>
        <v>1.5474929378531073E-4</v>
      </c>
      <c r="D55" t="s">
        <v>910</v>
      </c>
      <c r="F55" s="57"/>
    </row>
    <row r="56" spans="1:7">
      <c r="F56" s="57"/>
    </row>
    <row r="57" spans="1:7">
      <c r="F57" s="57"/>
    </row>
    <row r="58" spans="1:7">
      <c r="C58" t="s">
        <v>911</v>
      </c>
      <c r="F58" s="57"/>
    </row>
    <row r="59" spans="1:7">
      <c r="B59" t="s">
        <v>912</v>
      </c>
      <c r="C59">
        <v>68</v>
      </c>
      <c r="D59">
        <v>89.95</v>
      </c>
      <c r="F59" s="57">
        <f>(D59/C59)/20</f>
        <v>6.6139705882352934E-2</v>
      </c>
    </row>
    <row r="60" spans="1:7">
      <c r="F60" s="57"/>
    </row>
    <row r="61" spans="1:7">
      <c r="F61" s="57"/>
    </row>
    <row r="62" spans="1:7">
      <c r="F62" s="57"/>
    </row>
    <row r="63" spans="1:7">
      <c r="B63" t="s">
        <v>913</v>
      </c>
      <c r="C63">
        <v>7.5</v>
      </c>
      <c r="D63">
        <v>250</v>
      </c>
      <c r="F63" s="57">
        <f>C63/D63</f>
        <v>0.03</v>
      </c>
    </row>
    <row r="64" spans="1:7">
      <c r="A64" s="55">
        <v>41373</v>
      </c>
      <c r="B64" t="s">
        <v>914</v>
      </c>
      <c r="F64" s="57">
        <v>0.12</v>
      </c>
    </row>
    <row r="65" spans="1:9">
      <c r="B65" t="s">
        <v>915</v>
      </c>
      <c r="F65" s="57"/>
    </row>
    <row r="66" spans="1:9">
      <c r="B66" t="s">
        <v>916</v>
      </c>
      <c r="F66" s="57"/>
    </row>
    <row r="67" spans="1:9">
      <c r="B67" t="s">
        <v>917</v>
      </c>
      <c r="F67" s="57"/>
    </row>
    <row r="68" spans="1:9">
      <c r="B68" t="s">
        <v>918</v>
      </c>
      <c r="F68" s="57"/>
    </row>
    <row r="69" spans="1:9">
      <c r="B69" s="110" t="s">
        <v>919</v>
      </c>
      <c r="C69" s="110">
        <v>59.95</v>
      </c>
      <c r="D69" s="110">
        <v>100</v>
      </c>
      <c r="E69" s="110"/>
      <c r="F69" s="111">
        <f>C69/D69</f>
        <v>0.59950000000000003</v>
      </c>
    </row>
    <row r="70" spans="1:9">
      <c r="B70" t="s">
        <v>920</v>
      </c>
      <c r="F70" s="57"/>
    </row>
    <row r="71" spans="1:9">
      <c r="B71" t="s">
        <v>921</v>
      </c>
      <c r="C71">
        <v>18.28</v>
      </c>
      <c r="D71">
        <v>96</v>
      </c>
      <c r="F71" s="57">
        <f>C71/D71</f>
        <v>0.19041666666666668</v>
      </c>
    </row>
    <row r="72" spans="1:9">
      <c r="F72" s="57"/>
    </row>
    <row r="73" spans="1:9">
      <c r="A73" s="102"/>
      <c r="B73" s="102" t="s">
        <v>922</v>
      </c>
      <c r="C73" s="102" t="s">
        <v>923</v>
      </c>
      <c r="D73" s="102" t="s">
        <v>911</v>
      </c>
      <c r="E73" s="102" t="s">
        <v>924</v>
      </c>
      <c r="F73" s="102" t="s">
        <v>925</v>
      </c>
      <c r="G73" s="102"/>
      <c r="H73" s="102"/>
      <c r="I73" s="102"/>
    </row>
    <row r="74" spans="1:9">
      <c r="A74" s="55">
        <v>41218</v>
      </c>
      <c r="B74" t="s">
        <v>926</v>
      </c>
      <c r="C74" s="112">
        <v>23.45</v>
      </c>
      <c r="D74">
        <v>30</v>
      </c>
      <c r="E74">
        <v>600</v>
      </c>
      <c r="F74" s="112">
        <f>C74/E74</f>
        <v>3.9083333333333331E-2</v>
      </c>
      <c r="G74" t="s">
        <v>927</v>
      </c>
    </row>
    <row r="75" spans="1:9">
      <c r="A75" s="55">
        <v>41218</v>
      </c>
      <c r="B75" t="s">
        <v>928</v>
      </c>
      <c r="C75" s="112">
        <v>13.2</v>
      </c>
      <c r="D75">
        <v>30</v>
      </c>
      <c r="E75">
        <v>600</v>
      </c>
      <c r="F75" s="112">
        <f t="shared" ref="F75:F110" si="1">C75/E75</f>
        <v>2.1999999999999999E-2</v>
      </c>
      <c r="G75" t="s">
        <v>927</v>
      </c>
    </row>
    <row r="76" spans="1:9">
      <c r="A76" s="55">
        <v>41218</v>
      </c>
      <c r="B76" t="s">
        <v>929</v>
      </c>
      <c r="C76" s="112">
        <v>20.100000000000001</v>
      </c>
      <c r="D76">
        <v>30</v>
      </c>
      <c r="E76">
        <v>600</v>
      </c>
      <c r="F76" s="112">
        <f t="shared" si="1"/>
        <v>3.3500000000000002E-2</v>
      </c>
      <c r="G76" t="s">
        <v>927</v>
      </c>
    </row>
    <row r="77" spans="1:9">
      <c r="A77" s="55">
        <v>41218</v>
      </c>
      <c r="B77" t="s">
        <v>930</v>
      </c>
      <c r="C77" s="112">
        <v>26.95</v>
      </c>
      <c r="D77">
        <v>30</v>
      </c>
      <c r="E77">
        <v>600</v>
      </c>
      <c r="F77" s="112">
        <f t="shared" si="1"/>
        <v>4.4916666666666667E-2</v>
      </c>
      <c r="G77" t="s">
        <v>927</v>
      </c>
    </row>
    <row r="78" spans="1:9">
      <c r="A78" s="55">
        <v>41218</v>
      </c>
      <c r="B78" t="s">
        <v>931</v>
      </c>
      <c r="C78" s="112">
        <v>17.95</v>
      </c>
      <c r="D78">
        <v>30</v>
      </c>
      <c r="E78">
        <v>600</v>
      </c>
      <c r="F78" s="112">
        <f t="shared" si="1"/>
        <v>2.9916666666666664E-2</v>
      </c>
      <c r="G78" t="s">
        <v>927</v>
      </c>
    </row>
    <row r="79" spans="1:9">
      <c r="A79" s="55">
        <v>41218</v>
      </c>
      <c r="B79" t="s">
        <v>932</v>
      </c>
      <c r="C79" s="112">
        <v>43.95</v>
      </c>
      <c r="D79">
        <v>30</v>
      </c>
      <c r="E79">
        <v>600</v>
      </c>
      <c r="F79" s="112">
        <f t="shared" si="1"/>
        <v>7.325000000000001E-2</v>
      </c>
      <c r="G79" t="s">
        <v>927</v>
      </c>
    </row>
    <row r="80" spans="1:9">
      <c r="A80" s="55">
        <v>41218</v>
      </c>
      <c r="B80" t="s">
        <v>933</v>
      </c>
      <c r="C80" s="112">
        <v>33.65</v>
      </c>
      <c r="D80">
        <v>30</v>
      </c>
      <c r="E80">
        <v>600</v>
      </c>
      <c r="F80" s="112">
        <f t="shared" si="1"/>
        <v>5.6083333333333332E-2</v>
      </c>
      <c r="G80" t="s">
        <v>927</v>
      </c>
    </row>
    <row r="81" spans="1:7">
      <c r="A81" s="55">
        <v>41218</v>
      </c>
      <c r="B81" t="s">
        <v>934</v>
      </c>
      <c r="C81" s="112">
        <v>9.35</v>
      </c>
      <c r="D81">
        <v>30</v>
      </c>
      <c r="E81">
        <v>600</v>
      </c>
      <c r="F81" s="112">
        <f t="shared" si="1"/>
        <v>1.5583333333333333E-2</v>
      </c>
      <c r="G81" t="s">
        <v>927</v>
      </c>
    </row>
    <row r="82" spans="1:7">
      <c r="A82" s="55">
        <v>41218</v>
      </c>
      <c r="B82" t="s">
        <v>935</v>
      </c>
      <c r="C82" s="112">
        <v>16.25</v>
      </c>
      <c r="D82">
        <v>30</v>
      </c>
      <c r="E82">
        <v>600</v>
      </c>
      <c r="F82" s="112">
        <f t="shared" si="1"/>
        <v>2.7083333333333334E-2</v>
      </c>
      <c r="G82" t="s">
        <v>927</v>
      </c>
    </row>
    <row r="83" spans="1:7">
      <c r="A83" s="55">
        <v>41218</v>
      </c>
      <c r="B83" t="s">
        <v>936</v>
      </c>
      <c r="C83" s="112">
        <v>8.1999999999999993</v>
      </c>
      <c r="D83">
        <v>30</v>
      </c>
      <c r="E83">
        <v>600</v>
      </c>
      <c r="F83" s="112">
        <f t="shared" si="1"/>
        <v>1.3666666666666666E-2</v>
      </c>
      <c r="G83" t="s">
        <v>927</v>
      </c>
    </row>
    <row r="84" spans="1:7">
      <c r="A84" s="55">
        <v>41218</v>
      </c>
      <c r="B84" t="s">
        <v>937</v>
      </c>
      <c r="C84" s="112">
        <v>23.2</v>
      </c>
      <c r="D84">
        <v>30</v>
      </c>
      <c r="E84">
        <v>600</v>
      </c>
      <c r="F84" s="112">
        <f t="shared" si="1"/>
        <v>3.8666666666666669E-2</v>
      </c>
      <c r="G84" t="s">
        <v>927</v>
      </c>
    </row>
    <row r="85" spans="1:7">
      <c r="A85" s="55">
        <v>41218</v>
      </c>
      <c r="B85" t="s">
        <v>938</v>
      </c>
      <c r="C85" s="112">
        <v>12.85</v>
      </c>
      <c r="D85">
        <v>30</v>
      </c>
      <c r="E85">
        <v>600</v>
      </c>
      <c r="F85" s="112">
        <f t="shared" si="1"/>
        <v>2.1416666666666667E-2</v>
      </c>
      <c r="G85" t="s">
        <v>927</v>
      </c>
    </row>
    <row r="86" spans="1:7">
      <c r="A86" s="55">
        <v>41218</v>
      </c>
      <c r="B86" t="s">
        <v>939</v>
      </c>
      <c r="C86">
        <v>28.85</v>
      </c>
      <c r="D86">
        <v>30</v>
      </c>
      <c r="E86">
        <v>600</v>
      </c>
      <c r="F86" s="112">
        <f t="shared" si="1"/>
        <v>4.8083333333333339E-2</v>
      </c>
      <c r="G86" t="s">
        <v>927</v>
      </c>
    </row>
    <row r="87" spans="1:7">
      <c r="A87" s="55">
        <v>41218</v>
      </c>
      <c r="B87" t="s">
        <v>940</v>
      </c>
      <c r="C87">
        <v>20.45</v>
      </c>
      <c r="D87">
        <v>30</v>
      </c>
      <c r="E87">
        <v>600</v>
      </c>
      <c r="F87" s="112">
        <f t="shared" si="1"/>
        <v>3.4083333333333334E-2</v>
      </c>
      <c r="G87" t="s">
        <v>927</v>
      </c>
    </row>
    <row r="88" spans="1:7">
      <c r="A88" s="55">
        <v>41218</v>
      </c>
      <c r="B88" t="s">
        <v>941</v>
      </c>
      <c r="C88" s="112">
        <v>31.6</v>
      </c>
      <c r="D88">
        <v>30</v>
      </c>
      <c r="E88">
        <v>600</v>
      </c>
      <c r="F88" s="112">
        <f t="shared" si="1"/>
        <v>5.2666666666666667E-2</v>
      </c>
      <c r="G88" t="s">
        <v>927</v>
      </c>
    </row>
    <row r="89" spans="1:7">
      <c r="A89" s="55">
        <v>41218</v>
      </c>
      <c r="B89" t="s">
        <v>942</v>
      </c>
      <c r="C89" s="112">
        <v>18.7</v>
      </c>
      <c r="D89">
        <v>30</v>
      </c>
      <c r="E89">
        <v>600</v>
      </c>
      <c r="F89" s="112">
        <f t="shared" si="1"/>
        <v>3.1166666666666665E-2</v>
      </c>
      <c r="G89" t="s">
        <v>927</v>
      </c>
    </row>
    <row r="90" spans="1:7">
      <c r="A90" s="55">
        <v>41218</v>
      </c>
      <c r="B90" t="s">
        <v>943</v>
      </c>
      <c r="C90" s="112">
        <v>7.6</v>
      </c>
      <c r="D90">
        <v>30</v>
      </c>
      <c r="E90">
        <v>600</v>
      </c>
      <c r="F90" s="112">
        <f t="shared" si="1"/>
        <v>1.2666666666666666E-2</v>
      </c>
      <c r="G90" t="s">
        <v>927</v>
      </c>
    </row>
    <row r="91" spans="1:7">
      <c r="A91" s="55">
        <v>41218</v>
      </c>
      <c r="B91" t="s">
        <v>944</v>
      </c>
      <c r="C91">
        <v>20.45</v>
      </c>
      <c r="D91">
        <v>30</v>
      </c>
      <c r="E91">
        <v>600</v>
      </c>
      <c r="F91" s="112">
        <f t="shared" si="1"/>
        <v>3.4083333333333334E-2</v>
      </c>
      <c r="G91" t="s">
        <v>927</v>
      </c>
    </row>
    <row r="92" spans="1:7">
      <c r="A92" s="55">
        <v>41218</v>
      </c>
      <c r="B92" t="s">
        <v>945</v>
      </c>
      <c r="C92" s="112">
        <v>8.35</v>
      </c>
      <c r="D92">
        <v>30</v>
      </c>
      <c r="E92">
        <v>600</v>
      </c>
      <c r="F92" s="112">
        <f t="shared" si="1"/>
        <v>1.3916666666666666E-2</v>
      </c>
      <c r="G92" t="s">
        <v>927</v>
      </c>
    </row>
    <row r="93" spans="1:7">
      <c r="A93" s="55">
        <v>41218</v>
      </c>
      <c r="B93" t="s">
        <v>946</v>
      </c>
      <c r="C93">
        <v>14.5</v>
      </c>
      <c r="D93">
        <v>30</v>
      </c>
      <c r="E93">
        <v>600</v>
      </c>
      <c r="F93" s="112">
        <f t="shared" si="1"/>
        <v>2.4166666666666666E-2</v>
      </c>
      <c r="G93" t="s">
        <v>927</v>
      </c>
    </row>
    <row r="94" spans="1:7">
      <c r="A94" s="55">
        <v>41218</v>
      </c>
      <c r="B94" t="s">
        <v>947</v>
      </c>
      <c r="C94">
        <v>16.75</v>
      </c>
      <c r="D94">
        <v>30</v>
      </c>
      <c r="E94">
        <v>600</v>
      </c>
      <c r="F94" s="112">
        <f t="shared" si="1"/>
        <v>2.7916666666666666E-2</v>
      </c>
      <c r="G94" t="s">
        <v>927</v>
      </c>
    </row>
    <row r="95" spans="1:7">
      <c r="A95" s="55">
        <v>41218</v>
      </c>
      <c r="B95" t="s">
        <v>948</v>
      </c>
      <c r="C95" s="112">
        <v>9</v>
      </c>
      <c r="D95">
        <v>30</v>
      </c>
      <c r="E95">
        <v>600</v>
      </c>
      <c r="F95" s="112">
        <f t="shared" si="1"/>
        <v>1.4999999999999999E-2</v>
      </c>
      <c r="G95" t="s">
        <v>927</v>
      </c>
    </row>
    <row r="96" spans="1:7">
      <c r="A96" s="55">
        <v>41218</v>
      </c>
      <c r="B96" t="s">
        <v>949</v>
      </c>
      <c r="C96" s="112">
        <v>24.05</v>
      </c>
      <c r="D96">
        <v>30</v>
      </c>
      <c r="E96">
        <v>600</v>
      </c>
      <c r="F96" s="112">
        <f t="shared" si="1"/>
        <v>4.0083333333333332E-2</v>
      </c>
      <c r="G96" t="s">
        <v>927</v>
      </c>
    </row>
    <row r="97" spans="1:9">
      <c r="A97" s="55">
        <v>41218</v>
      </c>
      <c r="B97" t="s">
        <v>950</v>
      </c>
      <c r="C97" s="112">
        <v>13</v>
      </c>
      <c r="D97">
        <v>30</v>
      </c>
      <c r="E97">
        <v>600</v>
      </c>
      <c r="F97" s="112">
        <f t="shared" si="1"/>
        <v>2.1666666666666667E-2</v>
      </c>
      <c r="G97" t="s">
        <v>927</v>
      </c>
    </row>
    <row r="98" spans="1:9">
      <c r="A98" s="55">
        <v>41218</v>
      </c>
      <c r="B98" t="s">
        <v>951</v>
      </c>
      <c r="C98" s="112">
        <v>7.45</v>
      </c>
      <c r="D98">
        <v>30</v>
      </c>
      <c r="E98">
        <v>600</v>
      </c>
      <c r="F98" s="112">
        <f t="shared" si="1"/>
        <v>1.2416666666666666E-2</v>
      </c>
      <c r="G98" t="s">
        <v>927</v>
      </c>
    </row>
    <row r="99" spans="1:9">
      <c r="A99" s="55">
        <v>41218</v>
      </c>
      <c r="B99" t="s">
        <v>952</v>
      </c>
      <c r="C99" s="112">
        <v>13.25</v>
      </c>
      <c r="D99">
        <v>30</v>
      </c>
      <c r="E99">
        <v>600</v>
      </c>
      <c r="F99" s="112">
        <f t="shared" si="1"/>
        <v>2.2083333333333333E-2</v>
      </c>
      <c r="G99" t="s">
        <v>927</v>
      </c>
    </row>
    <row r="100" spans="1:9">
      <c r="A100" s="55">
        <v>41218</v>
      </c>
      <c r="B100" t="s">
        <v>953</v>
      </c>
      <c r="C100" s="112">
        <v>20.75</v>
      </c>
      <c r="D100">
        <v>30</v>
      </c>
      <c r="E100">
        <v>600</v>
      </c>
      <c r="F100" s="112">
        <f t="shared" si="1"/>
        <v>3.4583333333333334E-2</v>
      </c>
      <c r="G100" t="s">
        <v>927</v>
      </c>
    </row>
    <row r="101" spans="1:9">
      <c r="A101" s="55">
        <v>41218</v>
      </c>
      <c r="B101" t="s">
        <v>954</v>
      </c>
      <c r="C101">
        <v>10.050000000000001</v>
      </c>
      <c r="D101">
        <v>30</v>
      </c>
      <c r="E101">
        <v>600</v>
      </c>
      <c r="F101" s="112">
        <f t="shared" si="1"/>
        <v>1.6750000000000001E-2</v>
      </c>
      <c r="G101" t="s">
        <v>927</v>
      </c>
    </row>
    <row r="102" spans="1:9">
      <c r="A102" s="55">
        <v>41218</v>
      </c>
      <c r="B102" t="s">
        <v>955</v>
      </c>
      <c r="C102" s="112">
        <v>8.15</v>
      </c>
      <c r="D102">
        <v>30</v>
      </c>
      <c r="E102">
        <v>600</v>
      </c>
      <c r="F102" s="112">
        <f t="shared" si="1"/>
        <v>1.3583333333333334E-2</v>
      </c>
      <c r="G102" t="s">
        <v>927</v>
      </c>
    </row>
    <row r="103" spans="1:9">
      <c r="A103" s="55">
        <v>41218</v>
      </c>
      <c r="B103" t="s">
        <v>956</v>
      </c>
      <c r="C103">
        <v>10.35</v>
      </c>
      <c r="D103">
        <v>30</v>
      </c>
      <c r="E103">
        <v>600</v>
      </c>
      <c r="F103" s="112">
        <f t="shared" si="1"/>
        <v>1.7249999999999998E-2</v>
      </c>
      <c r="G103" t="s">
        <v>927</v>
      </c>
    </row>
    <row r="104" spans="1:9">
      <c r="A104" s="55">
        <v>41218</v>
      </c>
      <c r="B104" t="s">
        <v>957</v>
      </c>
      <c r="C104" s="112">
        <v>6.65</v>
      </c>
      <c r="D104">
        <v>30</v>
      </c>
      <c r="E104">
        <v>600</v>
      </c>
      <c r="F104" s="112">
        <f t="shared" si="1"/>
        <v>1.1083333333333334E-2</v>
      </c>
      <c r="G104" t="s">
        <v>927</v>
      </c>
    </row>
    <row r="105" spans="1:9">
      <c r="A105" s="55">
        <v>41218</v>
      </c>
      <c r="B105" t="s">
        <v>958</v>
      </c>
      <c r="C105">
        <v>19.75</v>
      </c>
      <c r="D105">
        <v>30</v>
      </c>
      <c r="E105">
        <v>600</v>
      </c>
      <c r="F105" s="112">
        <f t="shared" si="1"/>
        <v>3.2916666666666664E-2</v>
      </c>
      <c r="G105" t="s">
        <v>927</v>
      </c>
    </row>
    <row r="106" spans="1:9">
      <c r="A106" s="55">
        <v>41218</v>
      </c>
      <c r="B106" t="s">
        <v>959</v>
      </c>
      <c r="C106" s="112">
        <v>7.7</v>
      </c>
      <c r="D106">
        <v>30</v>
      </c>
      <c r="E106">
        <v>600</v>
      </c>
      <c r="F106" s="112">
        <f t="shared" si="1"/>
        <v>1.2833333333333334E-2</v>
      </c>
      <c r="G106" t="s">
        <v>927</v>
      </c>
      <c r="I106" t="s">
        <v>960</v>
      </c>
    </row>
    <row r="107" spans="1:9">
      <c r="A107" s="55">
        <v>41218</v>
      </c>
      <c r="B107" t="s">
        <v>961</v>
      </c>
      <c r="C107">
        <v>18.7</v>
      </c>
      <c r="D107">
        <v>30</v>
      </c>
      <c r="E107">
        <v>600</v>
      </c>
      <c r="F107" s="112">
        <f t="shared" si="1"/>
        <v>3.1166666666666665E-2</v>
      </c>
      <c r="G107" t="s">
        <v>927</v>
      </c>
      <c r="I107" t="s">
        <v>962</v>
      </c>
    </row>
    <row r="108" spans="1:9">
      <c r="A108" s="55">
        <v>41218</v>
      </c>
      <c r="B108" t="s">
        <v>963</v>
      </c>
      <c r="C108" s="112">
        <v>19.5</v>
      </c>
      <c r="D108">
        <v>30</v>
      </c>
      <c r="E108">
        <v>600</v>
      </c>
      <c r="F108" s="112">
        <f t="shared" si="1"/>
        <v>3.2500000000000001E-2</v>
      </c>
      <c r="G108" t="s">
        <v>927</v>
      </c>
      <c r="I108" t="s">
        <v>964</v>
      </c>
    </row>
    <row r="109" spans="1:9">
      <c r="A109" s="55">
        <v>41218</v>
      </c>
      <c r="B109" t="s">
        <v>965</v>
      </c>
      <c r="C109" s="112">
        <v>25</v>
      </c>
      <c r="D109">
        <v>30</v>
      </c>
      <c r="E109">
        <v>600</v>
      </c>
      <c r="F109" s="112">
        <f t="shared" si="1"/>
        <v>4.1666666666666664E-2</v>
      </c>
      <c r="G109" t="s">
        <v>927</v>
      </c>
    </row>
    <row r="110" spans="1:9">
      <c r="A110" s="55">
        <v>41218</v>
      </c>
      <c r="B110" t="s">
        <v>966</v>
      </c>
      <c r="C110" s="112">
        <v>25</v>
      </c>
      <c r="D110">
        <v>30</v>
      </c>
      <c r="E110">
        <v>600</v>
      </c>
      <c r="F110" s="112">
        <f t="shared" si="1"/>
        <v>4.1666666666666664E-2</v>
      </c>
      <c r="G110" t="s">
        <v>927</v>
      </c>
    </row>
    <row r="111" spans="1:9">
      <c r="F111" s="112"/>
    </row>
    <row r="112" spans="1:9">
      <c r="A112" s="55">
        <v>40984</v>
      </c>
      <c r="B112" t="s">
        <v>967</v>
      </c>
      <c r="C112" s="112">
        <v>29.99</v>
      </c>
      <c r="D112">
        <v>15</v>
      </c>
      <c r="E112">
        <v>300</v>
      </c>
      <c r="F112" s="113">
        <f>C112/E112</f>
        <v>9.9966666666666662E-2</v>
      </c>
      <c r="G112" t="s">
        <v>927</v>
      </c>
    </row>
    <row r="113" spans="1:7">
      <c r="A113" s="55">
        <v>40984</v>
      </c>
      <c r="B113" t="s">
        <v>968</v>
      </c>
      <c r="C113" s="112">
        <v>10.95</v>
      </c>
      <c r="D113">
        <v>10</v>
      </c>
      <c r="E113">
        <v>200</v>
      </c>
      <c r="F113" s="112">
        <f>C113/E113</f>
        <v>5.4749999999999993E-2</v>
      </c>
      <c r="G113" t="s">
        <v>927</v>
      </c>
    </row>
    <row r="114" spans="1:7">
      <c r="A114" s="55">
        <v>40984</v>
      </c>
      <c r="B114" t="s">
        <v>969</v>
      </c>
      <c r="C114" s="112">
        <v>5.95</v>
      </c>
      <c r="D114">
        <v>10</v>
      </c>
      <c r="E114">
        <v>200</v>
      </c>
      <c r="F114" s="112">
        <f>C114/E114</f>
        <v>2.9750000000000002E-2</v>
      </c>
      <c r="G114" t="s">
        <v>927</v>
      </c>
    </row>
    <row r="115" spans="1:7">
      <c r="A115" s="55">
        <v>40984</v>
      </c>
      <c r="B115" t="s">
        <v>970</v>
      </c>
      <c r="C115" s="112">
        <v>18.95</v>
      </c>
      <c r="D115">
        <v>5</v>
      </c>
      <c r="E115">
        <v>100</v>
      </c>
      <c r="F115" s="112">
        <f>C115/E115</f>
        <v>0.1895</v>
      </c>
      <c r="G115" t="s">
        <v>927</v>
      </c>
    </row>
    <row r="116" spans="1:7">
      <c r="A116" s="55">
        <v>40984</v>
      </c>
      <c r="B116" t="s">
        <v>971</v>
      </c>
      <c r="C116" s="112">
        <v>3.95</v>
      </c>
      <c r="D116">
        <v>10</v>
      </c>
      <c r="E116">
        <v>200</v>
      </c>
      <c r="F116" s="112">
        <f>C116/E116</f>
        <v>1.975E-2</v>
      </c>
      <c r="G116" t="s">
        <v>927</v>
      </c>
    </row>
    <row r="117" spans="1:7">
      <c r="F117" s="112"/>
    </row>
    <row r="118" spans="1:7">
      <c r="A118" s="55">
        <v>40984</v>
      </c>
      <c r="B118" t="s">
        <v>972</v>
      </c>
      <c r="C118" s="112">
        <v>3.8</v>
      </c>
      <c r="D118">
        <v>10</v>
      </c>
      <c r="E118">
        <v>200</v>
      </c>
      <c r="F118" s="112">
        <f t="shared" ref="F118:F131" si="2">C118/E118</f>
        <v>1.9E-2</v>
      </c>
      <c r="G118" t="s">
        <v>927</v>
      </c>
    </row>
    <row r="119" spans="1:7">
      <c r="A119" s="55">
        <v>40984</v>
      </c>
      <c r="B119" t="s">
        <v>973</v>
      </c>
      <c r="C119" s="112">
        <v>3.9</v>
      </c>
      <c r="D119">
        <v>10</v>
      </c>
      <c r="E119">
        <v>200</v>
      </c>
      <c r="F119" s="112">
        <f t="shared" si="2"/>
        <v>1.95E-2</v>
      </c>
      <c r="G119" t="s">
        <v>927</v>
      </c>
    </row>
    <row r="120" spans="1:7">
      <c r="A120" s="55">
        <v>40984</v>
      </c>
      <c r="B120" t="s">
        <v>974</v>
      </c>
      <c r="C120" s="112">
        <v>8.65</v>
      </c>
      <c r="D120">
        <v>10</v>
      </c>
      <c r="E120">
        <v>200</v>
      </c>
      <c r="F120" s="112">
        <f t="shared" si="2"/>
        <v>4.3250000000000004E-2</v>
      </c>
      <c r="G120" t="s">
        <v>927</v>
      </c>
    </row>
    <row r="121" spans="1:7">
      <c r="A121" s="55">
        <v>40984</v>
      </c>
      <c r="B121" t="s">
        <v>975</v>
      </c>
      <c r="C121" s="112">
        <v>4.0999999999999996</v>
      </c>
      <c r="D121">
        <v>10</v>
      </c>
      <c r="E121">
        <v>200</v>
      </c>
      <c r="F121" s="112">
        <f t="shared" si="2"/>
        <v>2.0499999999999997E-2</v>
      </c>
      <c r="G121" t="s">
        <v>927</v>
      </c>
    </row>
    <row r="122" spans="1:7">
      <c r="A122" s="55">
        <v>40984</v>
      </c>
      <c r="B122" t="s">
        <v>976</v>
      </c>
      <c r="C122" s="112">
        <v>20.9</v>
      </c>
      <c r="D122">
        <v>10</v>
      </c>
      <c r="E122">
        <v>200</v>
      </c>
      <c r="F122" s="112">
        <f t="shared" si="2"/>
        <v>0.1045</v>
      </c>
      <c r="G122" t="s">
        <v>927</v>
      </c>
    </row>
    <row r="123" spans="1:7">
      <c r="A123" s="55">
        <v>40984</v>
      </c>
      <c r="B123" t="s">
        <v>977</v>
      </c>
      <c r="C123" s="112">
        <v>6.5</v>
      </c>
      <c r="D123">
        <v>10</v>
      </c>
      <c r="E123">
        <v>200</v>
      </c>
      <c r="F123" s="112">
        <f t="shared" si="2"/>
        <v>3.2500000000000001E-2</v>
      </c>
      <c r="G123" t="s">
        <v>927</v>
      </c>
    </row>
    <row r="124" spans="1:7">
      <c r="A124" s="55">
        <v>40984</v>
      </c>
      <c r="B124" t="s">
        <v>978</v>
      </c>
      <c r="C124" s="112">
        <v>3.6</v>
      </c>
      <c r="D124">
        <v>10</v>
      </c>
      <c r="E124">
        <v>200</v>
      </c>
      <c r="F124" s="112">
        <f t="shared" si="2"/>
        <v>1.8000000000000002E-2</v>
      </c>
      <c r="G124" t="s">
        <v>927</v>
      </c>
    </row>
    <row r="125" spans="1:7">
      <c r="A125" s="55">
        <v>40984</v>
      </c>
      <c r="B125" t="s">
        <v>979</v>
      </c>
      <c r="C125" s="112">
        <v>12.3</v>
      </c>
      <c r="D125">
        <v>10</v>
      </c>
      <c r="E125">
        <v>200</v>
      </c>
      <c r="F125" s="112">
        <f t="shared" si="2"/>
        <v>6.1500000000000006E-2</v>
      </c>
      <c r="G125" t="s">
        <v>927</v>
      </c>
    </row>
    <row r="126" spans="1:7">
      <c r="A126" s="55">
        <v>40984</v>
      </c>
      <c r="B126" t="s">
        <v>980</v>
      </c>
      <c r="C126" s="112">
        <v>5</v>
      </c>
      <c r="D126">
        <v>10</v>
      </c>
      <c r="E126">
        <v>200</v>
      </c>
      <c r="F126" s="112">
        <f t="shared" si="2"/>
        <v>2.5000000000000001E-2</v>
      </c>
      <c r="G126" t="s">
        <v>927</v>
      </c>
    </row>
    <row r="127" spans="1:7">
      <c r="A127" s="55">
        <v>40984</v>
      </c>
      <c r="B127" t="s">
        <v>981</v>
      </c>
      <c r="C127" s="112">
        <v>7</v>
      </c>
      <c r="D127">
        <v>10</v>
      </c>
      <c r="E127">
        <v>200</v>
      </c>
      <c r="F127" s="112">
        <f t="shared" si="2"/>
        <v>3.5000000000000003E-2</v>
      </c>
      <c r="G127" t="s">
        <v>927</v>
      </c>
    </row>
    <row r="128" spans="1:7">
      <c r="E128">
        <v>200</v>
      </c>
      <c r="F128" s="112">
        <f t="shared" si="2"/>
        <v>0</v>
      </c>
      <c r="G128" t="s">
        <v>927</v>
      </c>
    </row>
    <row r="129" spans="1:7">
      <c r="A129" s="55">
        <v>40997</v>
      </c>
      <c r="B129" t="s">
        <v>982</v>
      </c>
      <c r="C129" s="112">
        <v>4.25</v>
      </c>
      <c r="D129">
        <v>10</v>
      </c>
      <c r="E129">
        <v>200</v>
      </c>
      <c r="F129" s="112">
        <f t="shared" si="2"/>
        <v>2.1250000000000002E-2</v>
      </c>
      <c r="G129" t="s">
        <v>927</v>
      </c>
    </row>
    <row r="130" spans="1:7">
      <c r="A130" s="55">
        <v>40997</v>
      </c>
      <c r="B130" t="s">
        <v>983</v>
      </c>
      <c r="C130" s="112">
        <v>23.45</v>
      </c>
      <c r="D130">
        <v>10</v>
      </c>
      <c r="E130">
        <v>200</v>
      </c>
      <c r="F130" s="112">
        <f t="shared" si="2"/>
        <v>0.11724999999999999</v>
      </c>
      <c r="G130" t="s">
        <v>927</v>
      </c>
    </row>
    <row r="131" spans="1:7">
      <c r="A131" s="55">
        <v>40997</v>
      </c>
      <c r="B131" t="s">
        <v>984</v>
      </c>
      <c r="C131">
        <v>10.5</v>
      </c>
      <c r="D131">
        <v>10</v>
      </c>
      <c r="E131">
        <v>200</v>
      </c>
      <c r="F131" s="112">
        <f t="shared" si="2"/>
        <v>5.2499999999999998E-2</v>
      </c>
      <c r="G131" t="s">
        <v>927</v>
      </c>
    </row>
    <row r="132" spans="1:7">
      <c r="A132" s="55">
        <v>40997</v>
      </c>
      <c r="B132" t="s">
        <v>985</v>
      </c>
      <c r="C132">
        <v>35</v>
      </c>
      <c r="F132" s="112"/>
      <c r="G132" t="s">
        <v>927</v>
      </c>
    </row>
    <row r="135" spans="1:7">
      <c r="B135" t="s">
        <v>986</v>
      </c>
      <c r="C135">
        <v>22.55</v>
      </c>
      <c r="D135">
        <v>15</v>
      </c>
      <c r="E135">
        <v>300</v>
      </c>
      <c r="F135" s="57">
        <f>C135/E135</f>
        <v>7.5166666666666673E-2</v>
      </c>
      <c r="G135" t="s">
        <v>987</v>
      </c>
    </row>
    <row r="136" spans="1:7">
      <c r="B136" t="s">
        <v>988</v>
      </c>
      <c r="C136">
        <v>11</v>
      </c>
      <c r="D136">
        <v>15</v>
      </c>
      <c r="E136">
        <v>300</v>
      </c>
      <c r="F136" s="57">
        <f>C136/E136</f>
        <v>3.6666666666666667E-2</v>
      </c>
      <c r="G136" t="s">
        <v>987</v>
      </c>
    </row>
    <row r="137" spans="1:7">
      <c r="B137" t="s">
        <v>989</v>
      </c>
      <c r="C137">
        <v>23.1</v>
      </c>
      <c r="D137">
        <v>15</v>
      </c>
      <c r="E137">
        <v>300</v>
      </c>
      <c r="F137" s="57">
        <f>C137/E137</f>
        <v>7.6999999999999999E-2</v>
      </c>
      <c r="G137" t="s">
        <v>987</v>
      </c>
    </row>
    <row r="140" spans="1:7">
      <c r="B140" t="s">
        <v>990</v>
      </c>
      <c r="C140" s="89">
        <v>69.98</v>
      </c>
      <c r="D140">
        <v>5</v>
      </c>
      <c r="E140">
        <v>100</v>
      </c>
      <c r="F140">
        <f>C140/E140</f>
        <v>0.69980000000000009</v>
      </c>
      <c r="G140" t="s">
        <v>991</v>
      </c>
    </row>
    <row r="141" spans="1:7">
      <c r="B141" t="s">
        <v>992</v>
      </c>
      <c r="F141" s="89">
        <v>2</v>
      </c>
      <c r="G141" t="s">
        <v>993</v>
      </c>
    </row>
    <row r="142" spans="1:7">
      <c r="B142" t="s">
        <v>994</v>
      </c>
      <c r="C142">
        <v>10</v>
      </c>
      <c r="D142">
        <v>6</v>
      </c>
      <c r="F142">
        <f>C142/D142</f>
        <v>1.6666666666666667</v>
      </c>
      <c r="G142" t="s">
        <v>993</v>
      </c>
    </row>
    <row r="144" spans="1:7">
      <c r="B144" t="s">
        <v>995</v>
      </c>
      <c r="C144">
        <v>23.99</v>
      </c>
      <c r="D144">
        <v>50</v>
      </c>
      <c r="F144">
        <f>C144/D144</f>
        <v>0.47979999999999995</v>
      </c>
      <c r="G144" t="s">
        <v>993</v>
      </c>
    </row>
    <row r="145" spans="2:7">
      <c r="B145" t="s">
        <v>996</v>
      </c>
      <c r="C145">
        <v>35.01</v>
      </c>
      <c r="D145">
        <v>50</v>
      </c>
      <c r="F145">
        <f>C145/D145</f>
        <v>0.70019999999999993</v>
      </c>
      <c r="G145" t="s">
        <v>993</v>
      </c>
    </row>
    <row r="146" spans="2:7">
      <c r="B146" t="s">
        <v>997</v>
      </c>
      <c r="C146">
        <v>9.9499999999999993</v>
      </c>
      <c r="D146">
        <v>100</v>
      </c>
      <c r="F146">
        <f>C146/D146</f>
        <v>9.9499999999999991E-2</v>
      </c>
      <c r="G146" t="s">
        <v>993</v>
      </c>
    </row>
  </sheetData>
  <mergeCells count="1">
    <mergeCell ref="C2:G2"/>
  </mergeCells>
  <pageMargins left="0.75" right="0.75" top="1" bottom="1" header="0.5" footer="0.5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0257-481A-8C46-B716-B4B043704706}">
  <sheetPr published="0"/>
  <dimension ref="A1:I229"/>
  <sheetViews>
    <sheetView view="pageLayout" topLeftCell="A170" zoomScale="143" zoomScalePageLayoutView="143" workbookViewId="0">
      <selection activeCell="J28" sqref="J28"/>
    </sheetView>
  </sheetViews>
  <sheetFormatPr baseColWidth="10" defaultColWidth="10.6640625" defaultRowHeight="15"/>
  <cols>
    <col min="1" max="1" width="16.5" style="7" bestFit="1" customWidth="1"/>
    <col min="2" max="2" width="13" style="7" bestFit="1" customWidth="1"/>
    <col min="3" max="3" width="11.5" style="7" bestFit="1" customWidth="1"/>
    <col min="4" max="4" width="13" style="7" bestFit="1" customWidth="1"/>
    <col min="5" max="5" width="10.6640625" style="7"/>
    <col min="6" max="6" width="6.83203125" style="7" customWidth="1"/>
    <col min="7" max="7" width="13" style="7" bestFit="1" customWidth="1"/>
    <col min="8" max="16384" width="10.6640625" style="7"/>
  </cols>
  <sheetData>
    <row r="1" spans="1:7">
      <c r="A1" s="114" t="s">
        <v>998</v>
      </c>
      <c r="B1" s="114" t="s">
        <v>999</v>
      </c>
      <c r="C1" s="114" t="s">
        <v>1000</v>
      </c>
      <c r="D1" s="114" t="s">
        <v>1001</v>
      </c>
      <c r="E1" s="114" t="s">
        <v>1002</v>
      </c>
      <c r="F1" s="114" t="s">
        <v>1003</v>
      </c>
      <c r="G1" s="114" t="s">
        <v>1004</v>
      </c>
    </row>
    <row r="2" spans="1:7">
      <c r="A2" s="115" t="s">
        <v>1005</v>
      </c>
      <c r="B2" s="116"/>
      <c r="C2" s="116"/>
      <c r="D2" s="116"/>
      <c r="E2" s="116"/>
      <c r="F2" s="116"/>
      <c r="G2" s="116"/>
    </row>
    <row r="3" spans="1:7">
      <c r="A3" s="117" t="s">
        <v>1006</v>
      </c>
      <c r="B3" s="116">
        <v>1</v>
      </c>
      <c r="C3" s="116"/>
      <c r="D3" s="118">
        <f>'[1]Oils 20152016'!F53</f>
        <v>3.3500000000000002E-2</v>
      </c>
      <c r="E3" s="116"/>
      <c r="F3" s="116"/>
      <c r="G3" s="116"/>
    </row>
    <row r="4" spans="1:7">
      <c r="A4" s="119" t="s">
        <v>863</v>
      </c>
      <c r="B4" s="116">
        <v>2</v>
      </c>
      <c r="C4" s="116"/>
      <c r="D4" s="118">
        <f>COGS!J8+COGS!J9*B4</f>
        <v>0.29116999999999998</v>
      </c>
      <c r="E4" s="116"/>
      <c r="F4" s="116"/>
      <c r="G4" s="116"/>
    </row>
    <row r="5" spans="1:7">
      <c r="A5" s="119" t="s">
        <v>859</v>
      </c>
      <c r="B5" s="116">
        <v>2</v>
      </c>
      <c r="C5" s="116"/>
      <c r="D5" s="118">
        <f>COGS!J5*B5</f>
        <v>3.918E-2</v>
      </c>
      <c r="E5" s="116"/>
      <c r="F5" s="116"/>
      <c r="G5" s="116" t="s">
        <v>1007</v>
      </c>
    </row>
    <row r="6" spans="1:7">
      <c r="A6" s="119" t="s">
        <v>1008</v>
      </c>
      <c r="B6" s="116">
        <v>1</v>
      </c>
      <c r="C6" s="116"/>
      <c r="D6" s="118">
        <f>'[1]Oils 20152016'!F80*B6</f>
        <v>1.7249999999999998E-2</v>
      </c>
      <c r="E6" s="116"/>
      <c r="F6" s="116"/>
      <c r="G6" s="116"/>
    </row>
    <row r="7" spans="1:7">
      <c r="A7" s="119" t="s">
        <v>967</v>
      </c>
      <c r="B7" s="116">
        <v>1</v>
      </c>
      <c r="C7" s="116"/>
      <c r="D7" s="118">
        <f>'[1]Oils 20152016'!F89</f>
        <v>9.9966666666666662E-2</v>
      </c>
      <c r="E7" s="116"/>
      <c r="F7" s="116"/>
      <c r="G7" s="116"/>
    </row>
    <row r="8" spans="1:7">
      <c r="A8" s="119" t="s">
        <v>912</v>
      </c>
      <c r="B8" s="116">
        <v>2</v>
      </c>
      <c r="C8" s="116"/>
      <c r="D8" s="118">
        <f>COGS!F59*B8</f>
        <v>0.13227941176470587</v>
      </c>
      <c r="E8" s="116"/>
      <c r="F8" s="116"/>
      <c r="G8" s="116"/>
    </row>
    <row r="9" spans="1:7">
      <c r="A9" s="119" t="s">
        <v>1009</v>
      </c>
      <c r="B9" s="116">
        <v>1</v>
      </c>
      <c r="C9" s="116"/>
      <c r="D9" s="120"/>
      <c r="E9" s="116"/>
      <c r="F9" s="116"/>
      <c r="G9" s="116"/>
    </row>
    <row r="10" spans="1:7">
      <c r="A10" s="119"/>
      <c r="B10" s="116">
        <f>SUM(B3:B9)</f>
        <v>10</v>
      </c>
      <c r="C10" s="116"/>
      <c r="D10" s="118"/>
      <c r="E10" s="116"/>
      <c r="F10" s="116"/>
      <c r="G10" s="116"/>
    </row>
    <row r="11" spans="1:7">
      <c r="A11" s="115" t="s">
        <v>1010</v>
      </c>
      <c r="B11" s="116"/>
      <c r="C11" s="116"/>
      <c r="D11" s="118"/>
      <c r="E11" s="116"/>
      <c r="F11" s="116"/>
      <c r="G11" s="116"/>
    </row>
    <row r="12" spans="1:7">
      <c r="A12" s="121" t="s">
        <v>1011</v>
      </c>
      <c r="B12" s="116">
        <v>190</v>
      </c>
      <c r="C12" s="116">
        <f>COGS!F41</f>
        <v>1.4479166666666666E-2</v>
      </c>
      <c r="D12" s="120">
        <f>B12*C12</f>
        <v>2.7510416666666666</v>
      </c>
      <c r="E12" s="116"/>
      <c r="F12" s="116"/>
      <c r="G12" s="116"/>
    </row>
    <row r="13" spans="1:7">
      <c r="A13" s="122" t="s">
        <v>1012</v>
      </c>
      <c r="B13" s="116"/>
      <c r="C13" s="116"/>
      <c r="D13" s="120"/>
      <c r="E13" s="116"/>
      <c r="F13" s="116"/>
      <c r="G13" s="116"/>
    </row>
    <row r="14" spans="1:7">
      <c r="A14" s="115" t="s">
        <v>1013</v>
      </c>
      <c r="B14" s="116"/>
      <c r="C14" s="116"/>
      <c r="D14" s="118"/>
      <c r="E14" s="116"/>
      <c r="F14" s="116"/>
      <c r="G14" s="116"/>
    </row>
    <row r="15" spans="1:7">
      <c r="A15" s="119" t="s">
        <v>1014</v>
      </c>
      <c r="B15" s="116"/>
      <c r="C15" s="123"/>
      <c r="D15" s="118">
        <f>E15/F15</f>
        <v>0.63996000000000008</v>
      </c>
      <c r="E15" s="116">
        <v>319.98</v>
      </c>
      <c r="F15" s="116">
        <v>500</v>
      </c>
      <c r="G15" s="116"/>
    </row>
    <row r="16" spans="1:7">
      <c r="A16" s="119" t="s">
        <v>1015</v>
      </c>
      <c r="B16" s="116"/>
      <c r="C16" s="123"/>
      <c r="D16" s="120">
        <f>COGS!F71</f>
        <v>0.19041666666666668</v>
      </c>
      <c r="E16" s="116"/>
      <c r="F16" s="116"/>
      <c r="G16" s="116"/>
    </row>
    <row r="17" spans="1:7">
      <c r="A17" s="119" t="s">
        <v>1016</v>
      </c>
      <c r="B17" s="116"/>
      <c r="C17" s="123"/>
      <c r="D17" s="120">
        <v>0.1</v>
      </c>
      <c r="E17" s="116"/>
      <c r="F17" s="116"/>
      <c r="G17" s="116"/>
    </row>
    <row r="18" spans="1:7">
      <c r="A18" s="115" t="s">
        <v>1017</v>
      </c>
      <c r="B18" s="116"/>
      <c r="C18" s="123"/>
      <c r="D18" s="118">
        <f>SUM(D5:D17)+D15</f>
        <v>4.6100544117647058</v>
      </c>
      <c r="E18" s="116"/>
      <c r="F18" s="116"/>
      <c r="G18" s="116"/>
    </row>
    <row r="19" spans="1:7">
      <c r="C19" s="18"/>
      <c r="D19" s="124"/>
    </row>
    <row r="20" spans="1:7">
      <c r="A20" s="1" t="s">
        <v>1018</v>
      </c>
      <c r="B20" s="1" t="s">
        <v>848</v>
      </c>
      <c r="C20" s="1" t="s">
        <v>1019</v>
      </c>
      <c r="D20" s="125" t="s">
        <v>1017</v>
      </c>
    </row>
    <row r="21" spans="1:7">
      <c r="A21" s="126" t="s">
        <v>1005</v>
      </c>
      <c r="D21" s="124"/>
    </row>
    <row r="22" spans="1:7">
      <c r="A22" s="127" t="s">
        <v>1006</v>
      </c>
      <c r="B22" s="7">
        <v>1</v>
      </c>
      <c r="C22" s="128">
        <f>'[1]Oils 20152016'!F53</f>
        <v>3.3500000000000002E-2</v>
      </c>
      <c r="D22" s="124">
        <f>C22*B22</f>
        <v>3.3500000000000002E-2</v>
      </c>
    </row>
    <row r="23" spans="1:7">
      <c r="A23" s="129" t="s">
        <v>1020</v>
      </c>
      <c r="B23" s="7">
        <v>2</v>
      </c>
      <c r="C23" s="7">
        <f>COGS!J23</f>
        <v>0.122975</v>
      </c>
      <c r="D23" s="130">
        <f t="shared" ref="D23:D31" si="0">C23*B23</f>
        <v>0.24595</v>
      </c>
    </row>
    <row r="24" spans="1:7">
      <c r="A24" s="131" t="s">
        <v>1021</v>
      </c>
      <c r="B24" s="7">
        <v>3</v>
      </c>
      <c r="C24" s="7">
        <f>COGS!J5</f>
        <v>1.959E-2</v>
      </c>
      <c r="D24" s="124">
        <f t="shared" si="0"/>
        <v>5.8770000000000003E-2</v>
      </c>
    </row>
    <row r="25" spans="1:7">
      <c r="A25" s="131" t="s">
        <v>1008</v>
      </c>
      <c r="B25" s="7">
        <v>2</v>
      </c>
      <c r="C25" s="7">
        <f>'[1]Oils 20152016'!F80</f>
        <v>1.7249999999999998E-2</v>
      </c>
      <c r="D25" s="124">
        <f t="shared" si="0"/>
        <v>3.4499999999999996E-2</v>
      </c>
    </row>
    <row r="26" spans="1:7">
      <c r="A26" s="132" t="s">
        <v>1022</v>
      </c>
      <c r="B26" s="7">
        <v>4</v>
      </c>
      <c r="C26" s="7">
        <f>COGS!J27</f>
        <v>2.2190000000000001E-2</v>
      </c>
      <c r="D26" s="130">
        <f t="shared" si="0"/>
        <v>8.8760000000000006E-2</v>
      </c>
    </row>
    <row r="27" spans="1:7">
      <c r="A27" s="131"/>
      <c r="B27" s="7">
        <f>SUM(B22:B26)</f>
        <v>12</v>
      </c>
      <c r="D27" s="124">
        <f t="shared" si="0"/>
        <v>0</v>
      </c>
    </row>
    <row r="28" spans="1:7">
      <c r="A28" s="126" t="s">
        <v>1010</v>
      </c>
      <c r="D28" s="124">
        <f t="shared" si="0"/>
        <v>0</v>
      </c>
    </row>
    <row r="29" spans="1:7">
      <c r="A29" s="133" t="s">
        <v>1011</v>
      </c>
      <c r="B29" s="7">
        <v>190</v>
      </c>
      <c r="C29" s="7">
        <f>COGS!F41</f>
        <v>1.4479166666666666E-2</v>
      </c>
      <c r="D29" s="130">
        <f t="shared" si="0"/>
        <v>2.7510416666666666</v>
      </c>
    </row>
    <row r="30" spans="1:7">
      <c r="A30" s="134" t="s">
        <v>1023</v>
      </c>
      <c r="D30" s="130">
        <f t="shared" si="0"/>
        <v>0</v>
      </c>
    </row>
    <row r="31" spans="1:7">
      <c r="A31" s="134" t="s">
        <v>902</v>
      </c>
      <c r="D31" s="130">
        <f t="shared" si="0"/>
        <v>0</v>
      </c>
    </row>
    <row r="32" spans="1:7">
      <c r="A32" s="131"/>
      <c r="D32" s="130"/>
    </row>
    <row r="33" spans="1:6">
      <c r="A33" s="126" t="s">
        <v>1013</v>
      </c>
      <c r="D33" s="124"/>
    </row>
    <row r="34" spans="1:6">
      <c r="A34" s="131" t="s">
        <v>1014</v>
      </c>
      <c r="D34" s="124">
        <f>E34/F34</f>
        <v>0.63996000000000008</v>
      </c>
      <c r="E34" s="7">
        <v>319.98</v>
      </c>
      <c r="F34" s="7">
        <v>500</v>
      </c>
    </row>
    <row r="35" spans="1:6">
      <c r="A35" s="131" t="s">
        <v>1015</v>
      </c>
      <c r="C35" s="18"/>
      <c r="D35" s="124">
        <f>COGS!F71</f>
        <v>0.19041666666666668</v>
      </c>
    </row>
    <row r="36" spans="1:6">
      <c r="A36" s="131" t="s">
        <v>1016</v>
      </c>
      <c r="C36" s="18"/>
      <c r="D36" s="120">
        <v>0.1</v>
      </c>
    </row>
    <row r="37" spans="1:6">
      <c r="A37" s="126" t="s">
        <v>1017</v>
      </c>
      <c r="D37" s="124">
        <f>SUM(D22:D36)</f>
        <v>4.1428983333333331</v>
      </c>
    </row>
    <row r="38" spans="1:6">
      <c r="A38" s="1"/>
      <c r="D38" s="124"/>
    </row>
    <row r="39" spans="1:6" s="116" customFormat="1">
      <c r="A39" s="114" t="s">
        <v>1024</v>
      </c>
      <c r="B39" s="114" t="s">
        <v>1025</v>
      </c>
      <c r="C39" s="114" t="s">
        <v>1019</v>
      </c>
      <c r="D39" s="135" t="s">
        <v>1017</v>
      </c>
    </row>
    <row r="40" spans="1:6" s="116" customFormat="1">
      <c r="A40" s="119"/>
      <c r="D40" s="118"/>
    </row>
    <row r="41" spans="1:6" s="116" customFormat="1">
      <c r="A41" s="115" t="s">
        <v>1005</v>
      </c>
      <c r="D41" s="118"/>
    </row>
    <row r="42" spans="1:6" s="116" customFormat="1">
      <c r="A42" s="117" t="s">
        <v>1026</v>
      </c>
      <c r="B42" s="116">
        <v>15</v>
      </c>
      <c r="C42" s="116">
        <f>COGS!J22</f>
        <v>1.959E-2</v>
      </c>
      <c r="D42" s="118">
        <f t="shared" ref="D42:D48" si="1">B42*C42</f>
        <v>0.29385</v>
      </c>
    </row>
    <row r="43" spans="1:6" s="116" customFormat="1">
      <c r="A43" s="119" t="s">
        <v>1027</v>
      </c>
      <c r="B43" s="116">
        <v>5</v>
      </c>
      <c r="C43" s="116">
        <f>COGS!J13</f>
        <v>3.1475000000000003E-2</v>
      </c>
      <c r="D43" s="118">
        <f t="shared" si="1"/>
        <v>0.15737500000000001</v>
      </c>
    </row>
    <row r="44" spans="1:6" s="116" customFormat="1">
      <c r="A44" s="119" t="s">
        <v>1028</v>
      </c>
      <c r="B44" s="116">
        <v>5</v>
      </c>
      <c r="C44" s="116">
        <f>COGS!F140</f>
        <v>0.69980000000000009</v>
      </c>
      <c r="D44" s="118">
        <f t="shared" si="1"/>
        <v>3.4990000000000006</v>
      </c>
    </row>
    <row r="45" spans="1:6" s="116" customFormat="1">
      <c r="A45" s="119" t="s">
        <v>1029</v>
      </c>
      <c r="B45" s="116">
        <v>15</v>
      </c>
      <c r="C45" s="136">
        <f>COGS!F95</f>
        <v>1.4999999999999999E-2</v>
      </c>
      <c r="D45" s="118">
        <f t="shared" si="1"/>
        <v>0.22499999999999998</v>
      </c>
    </row>
    <row r="46" spans="1:6" s="116" customFormat="1">
      <c r="A46" s="119" t="s">
        <v>1030</v>
      </c>
      <c r="B46" s="116">
        <v>2</v>
      </c>
      <c r="C46" s="136">
        <f>COGS!J8</f>
        <v>0.21839</v>
      </c>
      <c r="D46" s="118">
        <f t="shared" si="1"/>
        <v>0.43678</v>
      </c>
    </row>
    <row r="47" spans="1:6" s="116" customFormat="1">
      <c r="A47" s="119" t="s">
        <v>1031</v>
      </c>
      <c r="B47" s="116">
        <v>2</v>
      </c>
      <c r="C47" s="136">
        <f>COGS!F86</f>
        <v>4.8083333333333339E-2</v>
      </c>
      <c r="D47" s="118">
        <f t="shared" si="1"/>
        <v>9.6166666666666678E-2</v>
      </c>
    </row>
    <row r="48" spans="1:6" s="116" customFormat="1">
      <c r="A48" s="119" t="s">
        <v>1032</v>
      </c>
      <c r="B48" s="116">
        <v>6</v>
      </c>
      <c r="C48" s="116">
        <f>COGS!J29</f>
        <v>3.6389999999999999E-2</v>
      </c>
      <c r="D48" s="118">
        <f t="shared" si="1"/>
        <v>0.21833999999999998</v>
      </c>
    </row>
    <row r="49" spans="1:4" s="116" customFormat="1">
      <c r="A49" s="119" t="s">
        <v>1033</v>
      </c>
      <c r="B49" s="116">
        <f>SUM(B42:B48)</f>
        <v>50</v>
      </c>
      <c r="D49" s="118"/>
    </row>
    <row r="50" spans="1:4" s="116" customFormat="1">
      <c r="A50" s="115" t="s">
        <v>1010</v>
      </c>
      <c r="D50" s="118"/>
    </row>
    <row r="51" spans="1:4" s="116" customFormat="1">
      <c r="A51" s="119" t="s">
        <v>1034</v>
      </c>
      <c r="B51" s="116">
        <f>550</f>
        <v>550</v>
      </c>
      <c r="C51" s="116">
        <f>COGS!F38</f>
        <v>5.7291666666666663E-3</v>
      </c>
      <c r="D51" s="118">
        <f>B51*C51</f>
        <v>3.1510416666666665</v>
      </c>
    </row>
    <row r="52" spans="1:4" s="116" customFormat="1">
      <c r="A52" s="119" t="s">
        <v>1035</v>
      </c>
      <c r="D52" s="120">
        <v>1</v>
      </c>
    </row>
    <row r="53" spans="1:4" s="116" customFormat="1">
      <c r="A53" s="119" t="s">
        <v>1036</v>
      </c>
      <c r="D53" s="120">
        <v>0.91</v>
      </c>
    </row>
    <row r="54" spans="1:4" s="116" customFormat="1">
      <c r="A54" s="119" t="s">
        <v>1037</v>
      </c>
      <c r="D54" s="118">
        <f>COGS!F71</f>
        <v>0.19041666666666668</v>
      </c>
    </row>
    <row r="55" spans="1:4" s="116" customFormat="1">
      <c r="A55" s="119" t="s">
        <v>1016</v>
      </c>
      <c r="D55" s="118">
        <v>0.1</v>
      </c>
    </row>
    <row r="56" spans="1:4" s="116" customFormat="1">
      <c r="A56" s="119" t="s">
        <v>1038</v>
      </c>
      <c r="D56" s="118">
        <f>SUM(D41:D55)</f>
        <v>10.277969999999998</v>
      </c>
    </row>
    <row r="57" spans="1:4" s="11" customFormat="1">
      <c r="D57" s="137"/>
    </row>
    <row r="58" spans="1:4">
      <c r="A58" s="1" t="s">
        <v>1039</v>
      </c>
      <c r="D58" s="124"/>
    </row>
    <row r="59" spans="1:4">
      <c r="A59" s="1"/>
      <c r="D59" s="124"/>
    </row>
    <row r="60" spans="1:4">
      <c r="A60" s="1"/>
      <c r="D60" s="124"/>
    </row>
    <row r="61" spans="1:4">
      <c r="A61" s="1"/>
      <c r="D61" s="124"/>
    </row>
    <row r="62" spans="1:4">
      <c r="A62" s="1"/>
      <c r="D62" s="124"/>
    </row>
    <row r="63" spans="1:4">
      <c r="A63" s="1"/>
      <c r="D63" s="124"/>
    </row>
    <row r="64" spans="1:4">
      <c r="A64" s="1"/>
      <c r="D64" s="124"/>
    </row>
    <row r="65" spans="1:8">
      <c r="A65" s="7" t="s">
        <v>1040</v>
      </c>
      <c r="C65" s="18"/>
      <c r="D65" s="124"/>
    </row>
    <row r="66" spans="1:8">
      <c r="A66" s="7" t="s">
        <v>1041</v>
      </c>
      <c r="C66" s="18"/>
      <c r="D66" s="124"/>
    </row>
    <row r="67" spans="1:8">
      <c r="A67" s="7" t="s">
        <v>1042</v>
      </c>
      <c r="C67" s="18"/>
      <c r="D67" s="124"/>
    </row>
    <row r="68" spans="1:8">
      <c r="A68" s="138" t="s">
        <v>1043</v>
      </c>
      <c r="B68" s="138"/>
      <c r="C68" s="139">
        <f>D68/E68</f>
        <v>4.4516666666666636</v>
      </c>
      <c r="D68" s="120">
        <f>373.4-E15</f>
        <v>53.419999999999959</v>
      </c>
      <c r="E68" s="138">
        <v>12</v>
      </c>
    </row>
    <row r="69" spans="1:8">
      <c r="A69" s="7" t="s">
        <v>1044</v>
      </c>
      <c r="D69" s="124">
        <f>COGS!F71</f>
        <v>0.19041666666666668</v>
      </c>
    </row>
    <row r="70" spans="1:8">
      <c r="C70" s="7">
        <f>SUM(B51:B68)</f>
        <v>550</v>
      </c>
      <c r="D70" s="124"/>
    </row>
    <row r="71" spans="1:8">
      <c r="D71" s="124"/>
    </row>
    <row r="72" spans="1:8" s="116" customFormat="1">
      <c r="A72" s="114" t="s">
        <v>1045</v>
      </c>
      <c r="B72" s="114" t="s">
        <v>999</v>
      </c>
      <c r="C72" s="114" t="s">
        <v>1000</v>
      </c>
      <c r="D72" s="135" t="s">
        <v>1001</v>
      </c>
      <c r="E72" s="114" t="s">
        <v>1002</v>
      </c>
      <c r="F72" s="114" t="s">
        <v>1003</v>
      </c>
      <c r="G72" s="116" t="s">
        <v>1046</v>
      </c>
    </row>
    <row r="73" spans="1:8" s="116" customFormat="1">
      <c r="D73" s="118"/>
    </row>
    <row r="74" spans="1:8" s="116" customFormat="1">
      <c r="A74" s="114" t="s">
        <v>1005</v>
      </c>
      <c r="D74" s="118"/>
    </row>
    <row r="75" spans="1:8" s="116" customFormat="1">
      <c r="A75" s="140" t="s">
        <v>858</v>
      </c>
      <c r="B75" s="116">
        <v>2</v>
      </c>
      <c r="C75" s="141">
        <f>COGS!J4</f>
        <v>2.479E-2</v>
      </c>
      <c r="D75" s="118">
        <f>C75*B75</f>
        <v>4.9579999999999999E-2</v>
      </c>
      <c r="G75" s="116">
        <v>50</v>
      </c>
      <c r="H75" s="142">
        <f>G75*C75</f>
        <v>1.2395</v>
      </c>
    </row>
    <row r="76" spans="1:8" s="116" customFormat="1">
      <c r="A76" s="116" t="s">
        <v>1047</v>
      </c>
      <c r="B76" s="116">
        <v>3</v>
      </c>
      <c r="C76" s="141">
        <f>COGS!J12</f>
        <v>1.959E-2</v>
      </c>
      <c r="D76" s="118">
        <f>C76*B76</f>
        <v>5.8770000000000003E-2</v>
      </c>
      <c r="G76" s="116">
        <v>50</v>
      </c>
      <c r="H76" s="116">
        <f>C76*G76</f>
        <v>0.97950000000000004</v>
      </c>
    </row>
    <row r="77" spans="1:8" s="116" customFormat="1">
      <c r="A77" s="116" t="s">
        <v>1048</v>
      </c>
      <c r="B77" s="116">
        <v>2</v>
      </c>
      <c r="C77" s="141">
        <f>COGS!J26</f>
        <v>2.479E-2</v>
      </c>
      <c r="D77" s="118">
        <f>C77*B77</f>
        <v>4.9579999999999999E-2</v>
      </c>
      <c r="G77" s="116">
        <v>50</v>
      </c>
      <c r="H77" s="116">
        <f>G77*C77</f>
        <v>1.2395</v>
      </c>
    </row>
    <row r="78" spans="1:8" s="116" customFormat="1">
      <c r="A78" s="116" t="s">
        <v>865</v>
      </c>
      <c r="B78" s="116">
        <v>1</v>
      </c>
      <c r="C78" s="141">
        <f>COGS!J11*B78</f>
        <v>1.959E-2</v>
      </c>
      <c r="D78" s="118">
        <f>C78*B78</f>
        <v>1.959E-2</v>
      </c>
      <c r="G78" s="116">
        <v>50</v>
      </c>
      <c r="H78" s="116">
        <f>G78*C78</f>
        <v>0.97950000000000004</v>
      </c>
    </row>
    <row r="79" spans="1:8" s="116" customFormat="1">
      <c r="B79" s="116">
        <f>SUM(B75:B78)</f>
        <v>8</v>
      </c>
      <c r="D79" s="118">
        <f>SUM(D75:D78)</f>
        <v>0.17752000000000001</v>
      </c>
      <c r="H79" s="142">
        <f>SUM(H75:H78)</f>
        <v>4.4380000000000006</v>
      </c>
    </row>
    <row r="80" spans="1:8" s="116" customFormat="1">
      <c r="D80" s="118"/>
    </row>
    <row r="81" spans="1:6" s="116" customFormat="1">
      <c r="A81" s="114" t="s">
        <v>1010</v>
      </c>
      <c r="D81" s="118"/>
    </row>
    <row r="82" spans="1:6" s="116" customFormat="1">
      <c r="A82" s="143" t="s">
        <v>1049</v>
      </c>
      <c r="B82" s="116">
        <v>190</v>
      </c>
      <c r="C82" s="116">
        <f>COGS!J25</f>
        <v>3.5899999999999999E-3</v>
      </c>
      <c r="D82" s="118">
        <f>C82*B82</f>
        <v>0.68209999999999993</v>
      </c>
    </row>
    <row r="83" spans="1:6" s="116" customFormat="1">
      <c r="A83" s="119"/>
      <c r="D83" s="118"/>
    </row>
    <row r="84" spans="1:6" s="116" customFormat="1">
      <c r="A84" s="114" t="s">
        <v>1013</v>
      </c>
      <c r="D84" s="118"/>
    </row>
    <row r="85" spans="1:6" s="116" customFormat="1">
      <c r="A85" s="116" t="s">
        <v>1014</v>
      </c>
      <c r="D85" s="118">
        <f>E85/F85</f>
        <v>0.63996000000000008</v>
      </c>
      <c r="E85" s="116">
        <v>319.98</v>
      </c>
      <c r="F85" s="116">
        <v>500</v>
      </c>
    </row>
    <row r="86" spans="1:6" s="116" customFormat="1">
      <c r="A86" s="116" t="s">
        <v>1015</v>
      </c>
      <c r="C86" s="123"/>
      <c r="D86" s="118">
        <f>COGS!F71</f>
        <v>0.19041666666666668</v>
      </c>
    </row>
    <row r="87" spans="1:6" s="116" customFormat="1">
      <c r="A87" s="114" t="s">
        <v>1017</v>
      </c>
      <c r="C87" s="123"/>
      <c r="D87" s="118">
        <f>SUM(D79:D86)</f>
        <v>1.6899966666666666</v>
      </c>
    </row>
    <row r="88" spans="1:6">
      <c r="D88" s="124"/>
    </row>
    <row r="89" spans="1:6">
      <c r="D89" s="124"/>
    </row>
    <row r="90" spans="1:6">
      <c r="A90" s="1" t="s">
        <v>1050</v>
      </c>
      <c r="D90" s="124"/>
    </row>
    <row r="91" spans="1:6">
      <c r="A91" s="131" t="s">
        <v>1051</v>
      </c>
      <c r="B91" s="7">
        <v>30</v>
      </c>
      <c r="C91" s="7">
        <f>COGS!F63</f>
        <v>0.03</v>
      </c>
      <c r="D91" s="124">
        <f>C91*B91</f>
        <v>0.89999999999999991</v>
      </c>
    </row>
    <row r="92" spans="1:6">
      <c r="A92" s="131" t="s">
        <v>1052</v>
      </c>
      <c r="B92" s="7">
        <v>90</v>
      </c>
      <c r="C92" s="7">
        <f>COGS!J4</f>
        <v>2.479E-2</v>
      </c>
      <c r="D92" s="124">
        <f>B92*COGS!J4</f>
        <v>2.2311000000000001</v>
      </c>
    </row>
    <row r="93" spans="1:6">
      <c r="A93" s="131" t="s">
        <v>1053</v>
      </c>
      <c r="B93" s="7">
        <v>90</v>
      </c>
      <c r="C93" s="7">
        <f>COGS!J10</f>
        <v>1.959E-2</v>
      </c>
      <c r="D93" s="124">
        <f>B93*COGS!J10</f>
        <v>1.7630999999999999</v>
      </c>
    </row>
    <row r="94" spans="1:6">
      <c r="A94" s="131" t="s">
        <v>1054</v>
      </c>
      <c r="B94" s="7">
        <v>90</v>
      </c>
      <c r="C94" s="7">
        <f>COGS!J10</f>
        <v>1.959E-2</v>
      </c>
      <c r="D94" s="124">
        <f>B94*COGS!J11</f>
        <v>1.7630999999999999</v>
      </c>
    </row>
    <row r="95" spans="1:6">
      <c r="A95" s="131" t="s">
        <v>1044</v>
      </c>
      <c r="D95" s="120">
        <f>COGS!F71</f>
        <v>0.19041666666666668</v>
      </c>
    </row>
    <row r="96" spans="1:6">
      <c r="A96" s="131" t="s">
        <v>1055</v>
      </c>
      <c r="D96" s="120">
        <v>1</v>
      </c>
    </row>
    <row r="97" spans="1:8">
      <c r="A97" s="131" t="s">
        <v>1016</v>
      </c>
      <c r="D97" s="120">
        <v>0.1</v>
      </c>
    </row>
    <row r="98" spans="1:8">
      <c r="A98" s="126" t="s">
        <v>1056</v>
      </c>
      <c r="D98" s="124">
        <f>SUM(D91:D97)</f>
        <v>7.9477166666666657</v>
      </c>
    </row>
    <row r="99" spans="1:8">
      <c r="A99" s="126"/>
      <c r="D99" s="124"/>
    </row>
    <row r="100" spans="1:8">
      <c r="A100" s="114" t="s">
        <v>1057</v>
      </c>
      <c r="B100" s="114" t="s">
        <v>999</v>
      </c>
      <c r="C100" s="114" t="s">
        <v>1000</v>
      </c>
      <c r="D100" s="135" t="s">
        <v>1001</v>
      </c>
      <c r="E100" s="114" t="s">
        <v>1002</v>
      </c>
      <c r="F100" s="114" t="s">
        <v>1003</v>
      </c>
      <c r="G100" s="116"/>
    </row>
    <row r="101" spans="1:8">
      <c r="A101" s="116"/>
      <c r="B101" s="116" t="s">
        <v>1058</v>
      </c>
      <c r="C101" s="116"/>
      <c r="D101" s="118"/>
      <c r="E101" s="116"/>
      <c r="F101" s="116"/>
      <c r="G101" s="116"/>
    </row>
    <row r="102" spans="1:8">
      <c r="A102" s="114" t="s">
        <v>1005</v>
      </c>
      <c r="B102" s="116"/>
      <c r="C102" s="116"/>
      <c r="D102" s="118"/>
      <c r="E102" s="116"/>
      <c r="F102" s="116"/>
      <c r="G102" s="116"/>
    </row>
    <row r="103" spans="1:8">
      <c r="A103" s="117" t="s">
        <v>858</v>
      </c>
      <c r="B103" s="116">
        <v>100</v>
      </c>
      <c r="C103" s="141">
        <f>COGS!J4</f>
        <v>2.479E-2</v>
      </c>
      <c r="D103" s="118">
        <f t="shared" ref="D103:D108" si="2">C103*B103</f>
        <v>2.4790000000000001</v>
      </c>
      <c r="E103" s="116"/>
      <c r="F103" s="116"/>
      <c r="G103" s="116"/>
      <c r="H103" s="7">
        <v>100</v>
      </c>
    </row>
    <row r="104" spans="1:8">
      <c r="A104" s="119" t="s">
        <v>968</v>
      </c>
      <c r="B104" s="116">
        <v>50</v>
      </c>
      <c r="C104" s="141">
        <f>COGS!F105</f>
        <v>3.2916666666666664E-2</v>
      </c>
      <c r="D104" s="118">
        <f t="shared" si="2"/>
        <v>1.6458333333333333</v>
      </c>
      <c r="E104" s="116"/>
      <c r="F104" s="116"/>
      <c r="G104" s="116"/>
      <c r="H104" s="7">
        <v>50</v>
      </c>
    </row>
    <row r="105" spans="1:8">
      <c r="A105" s="119" t="s">
        <v>970</v>
      </c>
      <c r="B105" s="116">
        <v>5</v>
      </c>
      <c r="C105" s="141">
        <f>COGS!F115</f>
        <v>0.1895</v>
      </c>
      <c r="D105" s="118">
        <f t="shared" si="2"/>
        <v>0.94750000000000001</v>
      </c>
      <c r="E105" s="116"/>
      <c r="F105" s="116"/>
      <c r="G105" s="116"/>
      <c r="H105" s="7">
        <v>10</v>
      </c>
    </row>
    <row r="106" spans="1:8">
      <c r="A106" s="119" t="s">
        <v>1059</v>
      </c>
      <c r="B106" s="116">
        <v>10</v>
      </c>
      <c r="C106" s="141">
        <f>COGS!J27+COGS!J28</f>
        <v>4.9579999999999999E-2</v>
      </c>
      <c r="D106" s="118">
        <f t="shared" si="2"/>
        <v>0.49580000000000002</v>
      </c>
      <c r="E106" s="116"/>
      <c r="F106" s="116"/>
      <c r="G106" s="116"/>
    </row>
    <row r="107" spans="1:8">
      <c r="A107" s="119" t="s">
        <v>1060</v>
      </c>
      <c r="B107" s="116">
        <v>25</v>
      </c>
      <c r="C107" s="141">
        <f>COGS!J21</f>
        <v>4.419E-2</v>
      </c>
      <c r="D107" s="118">
        <f t="shared" si="2"/>
        <v>1.1047499999999999</v>
      </c>
      <c r="E107" s="116"/>
      <c r="F107" s="116"/>
      <c r="G107" s="116"/>
    </row>
    <row r="108" spans="1:8">
      <c r="A108" s="119" t="s">
        <v>1061</v>
      </c>
      <c r="B108" s="116">
        <v>10</v>
      </c>
      <c r="C108" s="141">
        <f>COGS!J7</f>
        <v>9.3589999999999993E-2</v>
      </c>
      <c r="D108" s="118">
        <f t="shared" si="2"/>
        <v>0.93589999999999995</v>
      </c>
      <c r="E108" s="116"/>
      <c r="F108" s="116"/>
      <c r="G108" s="116"/>
    </row>
    <row r="109" spans="1:8">
      <c r="A109" s="119"/>
      <c r="B109" s="116">
        <f>SUM(B103:B108)</f>
        <v>200</v>
      </c>
      <c r="C109" s="116"/>
      <c r="D109" s="118">
        <f>SUM(D103:D108)</f>
        <v>7.6087833333333332</v>
      </c>
      <c r="E109" s="116"/>
      <c r="F109" s="116"/>
      <c r="G109" s="116"/>
    </row>
    <row r="110" spans="1:8">
      <c r="A110" s="119"/>
      <c r="B110" s="116"/>
      <c r="C110" s="116"/>
      <c r="D110" s="118"/>
      <c r="E110" s="116"/>
      <c r="F110" s="116"/>
      <c r="G110" s="116"/>
    </row>
    <row r="111" spans="1:8">
      <c r="A111" s="119" t="s">
        <v>1062</v>
      </c>
      <c r="B111" s="116"/>
      <c r="C111" s="116"/>
      <c r="D111" s="118">
        <f>COGS!F64</f>
        <v>0.12</v>
      </c>
      <c r="E111" s="116"/>
      <c r="F111" s="116"/>
      <c r="G111" s="116"/>
    </row>
    <row r="112" spans="1:8">
      <c r="A112" s="119" t="s">
        <v>1015</v>
      </c>
      <c r="B112" s="116"/>
      <c r="C112" s="123"/>
      <c r="D112" s="118">
        <f>COGS!F98</f>
        <v>1.2416666666666666E-2</v>
      </c>
      <c r="E112" s="116"/>
      <c r="F112" s="116"/>
      <c r="G112" s="116"/>
    </row>
    <row r="113" spans="1:7">
      <c r="A113" s="119" t="s">
        <v>1016</v>
      </c>
      <c r="B113" s="116"/>
      <c r="C113" s="123"/>
      <c r="D113" s="118">
        <v>0.1</v>
      </c>
      <c r="E113" s="116"/>
      <c r="F113" s="116"/>
      <c r="G113" s="116"/>
    </row>
    <row r="114" spans="1:7">
      <c r="A114" s="115" t="s">
        <v>1017</v>
      </c>
      <c r="B114" s="116"/>
      <c r="C114" s="123"/>
      <c r="D114" s="118">
        <f>SUM(D109:D113)</f>
        <v>7.8411999999999997</v>
      </c>
      <c r="E114" s="116"/>
      <c r="F114" s="116"/>
      <c r="G114" s="116"/>
    </row>
    <row r="116" spans="1:7">
      <c r="A116" s="1" t="s">
        <v>1063</v>
      </c>
      <c r="B116" s="1" t="s">
        <v>848</v>
      </c>
      <c r="C116" s="1" t="s">
        <v>1019</v>
      </c>
      <c r="D116" s="1" t="s">
        <v>1017</v>
      </c>
    </row>
    <row r="117" spans="1:7">
      <c r="A117" s="126" t="s">
        <v>1005</v>
      </c>
    </row>
    <row r="118" spans="1:7">
      <c r="A118" s="127" t="s">
        <v>865</v>
      </c>
      <c r="B118" s="7">
        <v>1</v>
      </c>
      <c r="C118" s="128">
        <f>COGS!J11</f>
        <v>1.959E-2</v>
      </c>
      <c r="D118" s="124">
        <f>C118*B118</f>
        <v>1.959E-2</v>
      </c>
    </row>
    <row r="119" spans="1:7">
      <c r="A119" s="129" t="s">
        <v>1064</v>
      </c>
      <c r="B119" s="7">
        <v>2</v>
      </c>
      <c r="C119" s="7">
        <f>COGS!J18</f>
        <v>1.1390000000000001E-2</v>
      </c>
      <c r="D119" s="130">
        <f t="shared" ref="D119:D125" si="3">C119*B119</f>
        <v>2.2780000000000002E-2</v>
      </c>
    </row>
    <row r="120" spans="1:7">
      <c r="A120" s="131" t="s">
        <v>858</v>
      </c>
      <c r="B120" s="7">
        <v>3</v>
      </c>
      <c r="C120" s="7">
        <f>COGS!J4</f>
        <v>2.479E-2</v>
      </c>
      <c r="D120" s="124">
        <f t="shared" si="3"/>
        <v>7.4369999999999992E-2</v>
      </c>
    </row>
    <row r="121" spans="1:7">
      <c r="A121" s="131" t="s">
        <v>861</v>
      </c>
      <c r="B121" s="7">
        <v>2</v>
      </c>
      <c r="C121" s="7">
        <f>COGS!J7</f>
        <v>9.3589999999999993E-2</v>
      </c>
      <c r="D121" s="124">
        <f t="shared" si="3"/>
        <v>0.18717999999999999</v>
      </c>
    </row>
    <row r="122" spans="1:7">
      <c r="A122" s="129" t="s">
        <v>1065</v>
      </c>
      <c r="B122" s="7">
        <v>2</v>
      </c>
      <c r="C122" s="7">
        <f>COGS!J21</f>
        <v>4.419E-2</v>
      </c>
      <c r="D122" s="130">
        <f t="shared" si="3"/>
        <v>8.838E-2</v>
      </c>
    </row>
    <row r="123" spans="1:7">
      <c r="A123" s="131"/>
      <c r="B123" s="7">
        <f>SUM(B118:B122)</f>
        <v>10</v>
      </c>
      <c r="D123" s="124">
        <f>SUM(D118:D122)</f>
        <v>0.39229999999999998</v>
      </c>
    </row>
    <row r="124" spans="1:7">
      <c r="A124" s="126" t="s">
        <v>1010</v>
      </c>
      <c r="D124" s="124"/>
    </row>
    <row r="125" spans="1:7">
      <c r="A125" s="131" t="s">
        <v>878</v>
      </c>
      <c r="B125" s="7">
        <v>190</v>
      </c>
      <c r="C125" s="7">
        <f>COGS!J25</f>
        <v>3.5899999999999999E-3</v>
      </c>
      <c r="D125" s="130">
        <f t="shared" si="3"/>
        <v>0.68209999999999993</v>
      </c>
    </row>
    <row r="126" spans="1:7">
      <c r="A126" s="133"/>
      <c r="D126" s="130"/>
    </row>
    <row r="127" spans="1:7">
      <c r="A127" s="126" t="s">
        <v>1013</v>
      </c>
      <c r="D127" s="124"/>
    </row>
    <row r="128" spans="1:7">
      <c r="A128" s="131" t="s">
        <v>1014</v>
      </c>
      <c r="D128" s="124">
        <f>E128/F128</f>
        <v>0.63996000000000008</v>
      </c>
      <c r="E128" s="7">
        <v>319.98</v>
      </c>
      <c r="F128" s="7">
        <v>500</v>
      </c>
    </row>
    <row r="129" spans="1:9">
      <c r="A129" s="131" t="s">
        <v>1015</v>
      </c>
      <c r="C129" s="18"/>
      <c r="D129" s="124">
        <f>COGS!F71</f>
        <v>0.19041666666666668</v>
      </c>
    </row>
    <row r="130" spans="1:9">
      <c r="A130" s="131" t="s">
        <v>1016</v>
      </c>
      <c r="C130" s="18"/>
      <c r="D130" s="120">
        <v>0.1</v>
      </c>
    </row>
    <row r="131" spans="1:9">
      <c r="A131" s="126" t="s">
        <v>1017</v>
      </c>
      <c r="D131" s="124">
        <f>SUM(D118:D130)</f>
        <v>2.3970766666666665</v>
      </c>
    </row>
    <row r="133" spans="1:9">
      <c r="A133" s="114" t="s">
        <v>1066</v>
      </c>
      <c r="B133" s="114" t="s">
        <v>999</v>
      </c>
      <c r="C133" s="114" t="s">
        <v>1000</v>
      </c>
      <c r="D133" s="114" t="s">
        <v>1001</v>
      </c>
      <c r="E133" s="114" t="s">
        <v>1002</v>
      </c>
      <c r="F133" s="114" t="s">
        <v>1003</v>
      </c>
      <c r="G133" s="116"/>
      <c r="H133" s="7" t="s">
        <v>1067</v>
      </c>
    </row>
    <row r="134" spans="1:9">
      <c r="A134" s="116"/>
      <c r="B134" s="116" t="s">
        <v>1058</v>
      </c>
      <c r="C134" s="116"/>
      <c r="D134" s="116"/>
      <c r="E134" s="116"/>
      <c r="F134" s="116"/>
      <c r="G134" s="116"/>
      <c r="H134" s="29">
        <v>41415</v>
      </c>
    </row>
    <row r="135" spans="1:9">
      <c r="A135" s="114" t="s">
        <v>1005</v>
      </c>
      <c r="B135" s="116"/>
      <c r="C135" s="116"/>
      <c r="D135" s="116"/>
      <c r="E135" s="116"/>
      <c r="F135" s="116"/>
      <c r="G135" s="116"/>
    </row>
    <row r="136" spans="1:9">
      <c r="A136" s="117" t="s">
        <v>863</v>
      </c>
      <c r="B136" s="116">
        <v>50</v>
      </c>
      <c r="C136" s="141">
        <f>COGS!F84</f>
        <v>3.8666666666666669E-2</v>
      </c>
      <c r="D136" s="118">
        <f>C136*B136</f>
        <v>1.9333333333333333</v>
      </c>
      <c r="E136" s="116"/>
      <c r="F136" s="116"/>
      <c r="G136" s="116"/>
      <c r="H136" s="7">
        <v>50</v>
      </c>
    </row>
    <row r="137" spans="1:9">
      <c r="A137" s="119" t="s">
        <v>1068</v>
      </c>
      <c r="B137" s="116">
        <v>50</v>
      </c>
      <c r="C137" s="141">
        <f>COGS!J22</f>
        <v>1.959E-2</v>
      </c>
      <c r="D137" s="118">
        <f t="shared" ref="D137:D142" si="4">C137*B137</f>
        <v>0.97950000000000004</v>
      </c>
      <c r="E137" s="116"/>
      <c r="F137" s="116"/>
      <c r="G137" s="116"/>
      <c r="H137" s="7">
        <v>50</v>
      </c>
    </row>
    <row r="138" spans="1:9">
      <c r="A138" s="119" t="s">
        <v>865</v>
      </c>
      <c r="B138" s="116">
        <v>50</v>
      </c>
      <c r="C138" s="141">
        <f>COGS!J11</f>
        <v>1.959E-2</v>
      </c>
      <c r="D138" s="118">
        <f t="shared" si="4"/>
        <v>0.97950000000000004</v>
      </c>
      <c r="E138" s="116"/>
      <c r="F138" s="116"/>
      <c r="G138" s="116"/>
      <c r="H138" s="7">
        <v>50</v>
      </c>
    </row>
    <row r="139" spans="1:9">
      <c r="A139" s="119" t="s">
        <v>1069</v>
      </c>
      <c r="B139" s="116">
        <v>10</v>
      </c>
      <c r="C139" s="141">
        <f>COGS!J6</f>
        <v>5.3975000000000002E-2</v>
      </c>
      <c r="D139" s="118">
        <f t="shared" si="4"/>
        <v>0.53975000000000006</v>
      </c>
      <c r="E139" s="116"/>
      <c r="F139" s="116"/>
      <c r="G139" s="116"/>
      <c r="H139" s="7">
        <v>10</v>
      </c>
    </row>
    <row r="140" spans="1:9">
      <c r="A140" s="119" t="s">
        <v>1060</v>
      </c>
      <c r="B140" s="116">
        <v>25</v>
      </c>
      <c r="C140" s="141">
        <f>COGS!J21</f>
        <v>4.419E-2</v>
      </c>
      <c r="D140" s="118">
        <f t="shared" si="4"/>
        <v>1.1047499999999999</v>
      </c>
      <c r="E140" s="116"/>
      <c r="F140" s="116"/>
      <c r="G140" s="116"/>
      <c r="H140" s="7">
        <v>25</v>
      </c>
    </row>
    <row r="141" spans="1:9">
      <c r="A141" s="119" t="s">
        <v>1070</v>
      </c>
      <c r="B141" s="116">
        <v>10</v>
      </c>
      <c r="C141" s="141">
        <f>COGS!F104</f>
        <v>1.1083333333333334E-2</v>
      </c>
      <c r="D141" s="118">
        <f t="shared" si="4"/>
        <v>0.11083333333333334</v>
      </c>
      <c r="E141" s="116"/>
      <c r="F141" s="116"/>
      <c r="G141" s="116"/>
      <c r="H141" s="7">
        <v>25</v>
      </c>
    </row>
    <row r="142" spans="1:9">
      <c r="A142" s="119" t="s">
        <v>1071</v>
      </c>
      <c r="B142" s="116">
        <v>5</v>
      </c>
      <c r="C142" s="141">
        <f>COGS!F77</f>
        <v>4.4916666666666667E-2</v>
      </c>
      <c r="D142" s="118">
        <f t="shared" si="4"/>
        <v>0.22458333333333333</v>
      </c>
      <c r="E142" s="116"/>
      <c r="F142" s="116"/>
      <c r="G142" s="116"/>
      <c r="H142" s="7">
        <v>0</v>
      </c>
    </row>
    <row r="143" spans="1:9">
      <c r="A143" s="119"/>
      <c r="B143" s="116">
        <f>SUM(B136:B142)</f>
        <v>200</v>
      </c>
      <c r="C143" s="116"/>
      <c r="D143" s="118">
        <f>SUM(D136:D142)</f>
        <v>5.8722499999999993</v>
      </c>
      <c r="E143" s="116"/>
      <c r="F143" s="116"/>
      <c r="G143" s="116"/>
      <c r="H143" s="7">
        <v>15</v>
      </c>
    </row>
    <row r="144" spans="1:9">
      <c r="A144" s="119"/>
      <c r="B144" s="116"/>
      <c r="C144" s="116"/>
      <c r="D144" s="118"/>
      <c r="E144" s="116"/>
      <c r="F144" s="116"/>
      <c r="G144" s="116"/>
      <c r="H144" s="7">
        <v>10</v>
      </c>
      <c r="I144" s="7" t="s">
        <v>1072</v>
      </c>
    </row>
    <row r="145" spans="1:9">
      <c r="A145" s="119" t="s">
        <v>1062</v>
      </c>
      <c r="B145" s="116"/>
      <c r="C145" s="116">
        <f>COGS!F64</f>
        <v>0.12</v>
      </c>
      <c r="D145" s="118">
        <f>COGS!F97</f>
        <v>2.1666666666666667E-2</v>
      </c>
      <c r="E145" s="116"/>
      <c r="F145" s="116"/>
      <c r="G145" s="116"/>
      <c r="H145" s="7">
        <v>5</v>
      </c>
      <c r="I145" s="7" t="s">
        <v>1073</v>
      </c>
    </row>
    <row r="146" spans="1:9">
      <c r="A146" s="119" t="s">
        <v>1015</v>
      </c>
      <c r="B146" s="116"/>
      <c r="C146" s="123">
        <f>COGS!F71</f>
        <v>0.19041666666666668</v>
      </c>
      <c r="D146" s="118">
        <f>COGS!F131</f>
        <v>5.2499999999999998E-2</v>
      </c>
      <c r="E146" s="116"/>
      <c r="F146" s="116"/>
      <c r="G146" s="116"/>
    </row>
    <row r="147" spans="1:9">
      <c r="A147" s="119" t="s">
        <v>1016</v>
      </c>
      <c r="B147" s="116"/>
      <c r="C147" s="139">
        <f>0.1</f>
        <v>0.1</v>
      </c>
      <c r="D147" s="118">
        <v>0.1</v>
      </c>
      <c r="E147" s="116"/>
      <c r="F147" s="116"/>
      <c r="G147" s="116"/>
    </row>
    <row r="148" spans="1:9">
      <c r="A148" s="115" t="s">
        <v>1017</v>
      </c>
      <c r="B148" s="116"/>
      <c r="C148" s="123"/>
      <c r="D148" s="118">
        <f>SUM(D143:D147)</f>
        <v>6.0464166666666657</v>
      </c>
      <c r="E148" s="116"/>
      <c r="F148" s="116"/>
      <c r="G148" s="116"/>
    </row>
    <row r="150" spans="1:9">
      <c r="A150" s="1" t="s">
        <v>1074</v>
      </c>
      <c r="B150" s="1" t="s">
        <v>1075</v>
      </c>
      <c r="C150" s="1" t="s">
        <v>1019</v>
      </c>
      <c r="D150" s="1" t="s">
        <v>1017</v>
      </c>
    </row>
    <row r="151" spans="1:9">
      <c r="A151" s="126" t="s">
        <v>1005</v>
      </c>
      <c r="B151" s="7" t="s">
        <v>1076</v>
      </c>
    </row>
    <row r="152" spans="1:9">
      <c r="A152" s="127" t="s">
        <v>1077</v>
      </c>
      <c r="B152" s="7">
        <v>30</v>
      </c>
      <c r="C152" s="128">
        <f>COGS!J13</f>
        <v>3.1475000000000003E-2</v>
      </c>
      <c r="D152" s="124">
        <f t="shared" ref="D152:D157" si="5">C152*B152</f>
        <v>0.94425000000000003</v>
      </c>
    </row>
    <row r="153" spans="1:9">
      <c r="A153" s="129" t="s">
        <v>1078</v>
      </c>
      <c r="B153" s="7">
        <v>20</v>
      </c>
      <c r="C153" s="7">
        <f>COGS!J42</f>
        <v>0.04</v>
      </c>
      <c r="D153" s="120">
        <f t="shared" si="5"/>
        <v>0.8</v>
      </c>
    </row>
    <row r="154" spans="1:9">
      <c r="A154" s="131" t="s">
        <v>858</v>
      </c>
      <c r="B154" s="7">
        <v>20</v>
      </c>
      <c r="C154" s="7">
        <f>COGS!J4</f>
        <v>2.479E-2</v>
      </c>
      <c r="D154" s="124">
        <f t="shared" si="5"/>
        <v>0.49580000000000002</v>
      </c>
    </row>
    <row r="155" spans="1:9">
      <c r="A155" s="131" t="s">
        <v>1079</v>
      </c>
      <c r="B155" s="7">
        <v>10</v>
      </c>
      <c r="C155" s="7">
        <f>COGS!J19</f>
        <v>1.959E-2</v>
      </c>
      <c r="D155" s="124">
        <f t="shared" si="5"/>
        <v>0.19589999999999999</v>
      </c>
    </row>
    <row r="156" spans="1:9">
      <c r="A156" s="129" t="s">
        <v>1080</v>
      </c>
      <c r="B156" s="7">
        <v>20</v>
      </c>
      <c r="C156" s="7">
        <f>COGS!F92</f>
        <v>1.3916666666666666E-2</v>
      </c>
      <c r="D156" s="137">
        <f t="shared" si="5"/>
        <v>0.27833333333333332</v>
      </c>
    </row>
    <row r="157" spans="1:9">
      <c r="A157" s="129" t="s">
        <v>870</v>
      </c>
      <c r="B157" s="7">
        <v>20</v>
      </c>
      <c r="C157" s="7">
        <f>COGS!J16</f>
        <v>1.959E-2</v>
      </c>
      <c r="D157" s="137">
        <f t="shared" si="5"/>
        <v>0.39179999999999998</v>
      </c>
    </row>
    <row r="158" spans="1:9">
      <c r="A158" s="129" t="s">
        <v>1081</v>
      </c>
      <c r="B158" s="7">
        <v>3</v>
      </c>
      <c r="C158" s="7">
        <v>0.04</v>
      </c>
      <c r="D158" s="120">
        <f>B158*C158</f>
        <v>0.12</v>
      </c>
    </row>
    <row r="159" spans="1:9">
      <c r="A159" s="131"/>
      <c r="B159" s="7">
        <f>SUM(B152:B158)</f>
        <v>123</v>
      </c>
      <c r="D159" s="124">
        <f>SUM(D152:D158)</f>
        <v>3.2260833333333334</v>
      </c>
    </row>
    <row r="160" spans="1:9">
      <c r="A160" s="126" t="s">
        <v>1010</v>
      </c>
      <c r="D160" s="124"/>
    </row>
    <row r="161" spans="1:4">
      <c r="A161" s="131" t="s">
        <v>1082</v>
      </c>
      <c r="C161" s="7">
        <f>COGS!J59</f>
        <v>0</v>
      </c>
      <c r="D161" s="120">
        <f>C161*B161</f>
        <v>0</v>
      </c>
    </row>
    <row r="162" spans="1:4">
      <c r="A162" s="131" t="s">
        <v>1083</v>
      </c>
      <c r="D162" s="120"/>
    </row>
    <row r="163" spans="1:4">
      <c r="A163" s="131" t="s">
        <v>1084</v>
      </c>
      <c r="D163" s="120">
        <f>COGS!F141</f>
        <v>2</v>
      </c>
    </row>
    <row r="164" spans="1:4">
      <c r="A164" s="131" t="s">
        <v>1015</v>
      </c>
      <c r="C164" s="18"/>
      <c r="D164" s="124">
        <f>COGS!F105</f>
        <v>3.2916666666666664E-2</v>
      </c>
    </row>
    <row r="165" spans="1:4">
      <c r="A165" s="131" t="s">
        <v>1085</v>
      </c>
      <c r="C165" s="18"/>
      <c r="D165" s="120">
        <v>0.2</v>
      </c>
    </row>
    <row r="166" spans="1:4">
      <c r="A166" s="126" t="s">
        <v>1017</v>
      </c>
      <c r="D166" s="124">
        <f>SUM(D152:D165)</f>
        <v>8.685083333333333</v>
      </c>
    </row>
    <row r="168" spans="1:4">
      <c r="A168" s="1" t="s">
        <v>1074</v>
      </c>
      <c r="B168" s="1" t="s">
        <v>1086</v>
      </c>
      <c r="C168" s="1" t="s">
        <v>1019</v>
      </c>
      <c r="D168" s="1" t="s">
        <v>1017</v>
      </c>
    </row>
    <row r="169" spans="1:4">
      <c r="A169" s="126" t="s">
        <v>1005</v>
      </c>
      <c r="B169" s="7" t="s">
        <v>1087</v>
      </c>
    </row>
    <row r="170" spans="1:4">
      <c r="A170" s="127" t="s">
        <v>1077</v>
      </c>
      <c r="B170" s="7">
        <v>40</v>
      </c>
      <c r="C170" s="128">
        <f>COGS!J13</f>
        <v>3.1475000000000003E-2</v>
      </c>
      <c r="D170" s="124">
        <f t="shared" ref="D170:D175" si="6">C170*B170</f>
        <v>1.2590000000000001</v>
      </c>
    </row>
    <row r="171" spans="1:4">
      <c r="A171" s="129" t="s">
        <v>1078</v>
      </c>
      <c r="B171" s="7">
        <v>25</v>
      </c>
      <c r="C171" s="144">
        <f>COGS!F81</f>
        <v>1.5583333333333333E-2</v>
      </c>
      <c r="D171" s="120">
        <f t="shared" si="6"/>
        <v>0.38958333333333334</v>
      </c>
    </row>
    <row r="172" spans="1:4">
      <c r="A172" s="131" t="s">
        <v>858</v>
      </c>
      <c r="B172" s="7">
        <v>30</v>
      </c>
      <c r="C172" s="7">
        <f>COGS!J4</f>
        <v>2.479E-2</v>
      </c>
      <c r="D172" s="124">
        <f t="shared" si="6"/>
        <v>0.74370000000000003</v>
      </c>
    </row>
    <row r="173" spans="1:4">
      <c r="A173" s="131" t="s">
        <v>1079</v>
      </c>
      <c r="B173" s="7">
        <v>20</v>
      </c>
      <c r="C173" s="7">
        <f>A186+COGS!J19</f>
        <v>1.959E-2</v>
      </c>
      <c r="D173" s="124">
        <f t="shared" si="6"/>
        <v>0.39179999999999998</v>
      </c>
    </row>
    <row r="174" spans="1:4">
      <c r="A174" s="129" t="s">
        <v>1080</v>
      </c>
      <c r="B174" s="7">
        <v>25</v>
      </c>
      <c r="C174" s="144">
        <f>COGS!F92</f>
        <v>1.3916666666666666E-2</v>
      </c>
      <c r="D174" s="137">
        <f t="shared" si="6"/>
        <v>0.34791666666666665</v>
      </c>
    </row>
    <row r="175" spans="1:4">
      <c r="A175" s="129" t="s">
        <v>870</v>
      </c>
      <c r="B175" s="7">
        <v>30</v>
      </c>
      <c r="C175" s="7">
        <f>COGS!J16</f>
        <v>1.959E-2</v>
      </c>
      <c r="D175" s="137">
        <f t="shared" si="6"/>
        <v>0.5877</v>
      </c>
    </row>
    <row r="176" spans="1:4">
      <c r="A176" s="129" t="s">
        <v>1081</v>
      </c>
      <c r="B176" s="7">
        <v>7</v>
      </c>
      <c r="C176" s="7">
        <f>0.4</f>
        <v>0.4</v>
      </c>
      <c r="D176" s="120">
        <f>B176*C176</f>
        <v>2.8000000000000003</v>
      </c>
    </row>
    <row r="177" spans="1:4">
      <c r="A177" s="131"/>
      <c r="B177" s="7">
        <f>SUM(B170:B176)</f>
        <v>177</v>
      </c>
      <c r="D177" s="124">
        <f>SUM(D170:D176)</f>
        <v>6.5197000000000003</v>
      </c>
    </row>
    <row r="178" spans="1:4">
      <c r="A178" s="126" t="s">
        <v>1010</v>
      </c>
      <c r="D178" s="124"/>
    </row>
    <row r="179" spans="1:4">
      <c r="A179" s="131" t="s">
        <v>1082</v>
      </c>
      <c r="C179" s="7">
        <f>COGS!J78</f>
        <v>0</v>
      </c>
      <c r="D179" s="120">
        <f>C179*B179</f>
        <v>0</v>
      </c>
    </row>
    <row r="180" spans="1:4">
      <c r="A180" s="131" t="s">
        <v>1083</v>
      </c>
      <c r="D180" s="120"/>
    </row>
    <row r="181" spans="1:4">
      <c r="A181" s="126"/>
      <c r="D181" s="124"/>
    </row>
    <row r="182" spans="1:4">
      <c r="A182" s="131" t="s">
        <v>1084</v>
      </c>
      <c r="D182" s="120">
        <f>COGS!F142</f>
        <v>1.6666666666666667</v>
      </c>
    </row>
    <row r="183" spans="1:4">
      <c r="A183" s="131" t="s">
        <v>1015</v>
      </c>
      <c r="C183" s="18"/>
      <c r="D183" s="124">
        <f>COGS!F124</f>
        <v>1.8000000000000002E-2</v>
      </c>
    </row>
    <row r="184" spans="1:4">
      <c r="A184" s="131" t="s">
        <v>1016</v>
      </c>
      <c r="C184" s="18"/>
      <c r="D184" s="120">
        <v>0.2</v>
      </c>
    </row>
    <row r="185" spans="1:4">
      <c r="A185" s="126" t="s">
        <v>1017</v>
      </c>
      <c r="D185" s="120">
        <f>SUM(D170:D184)</f>
        <v>14.924066666666667</v>
      </c>
    </row>
    <row r="187" spans="1:4">
      <c r="A187" s="1" t="s">
        <v>1088</v>
      </c>
      <c r="B187" s="1" t="s">
        <v>848</v>
      </c>
      <c r="C187" s="1" t="s">
        <v>1019</v>
      </c>
      <c r="D187" s="125" t="s">
        <v>1017</v>
      </c>
    </row>
    <row r="188" spans="1:4">
      <c r="A188" s="126" t="s">
        <v>1005</v>
      </c>
      <c r="D188" s="124"/>
    </row>
    <row r="189" spans="1:4">
      <c r="A189" s="127" t="s">
        <v>1089</v>
      </c>
      <c r="B189" s="7">
        <v>2</v>
      </c>
      <c r="C189" s="128">
        <f>'[1]Oils 20152016'!F220</f>
        <v>0</v>
      </c>
      <c r="D189" s="124">
        <f>C189*B189</f>
        <v>0</v>
      </c>
    </row>
    <row r="190" spans="1:4">
      <c r="A190" s="129" t="s">
        <v>1053</v>
      </c>
      <c r="B190" s="7">
        <v>2</v>
      </c>
      <c r="C190" s="7">
        <f>COGS!J10</f>
        <v>1.959E-2</v>
      </c>
      <c r="D190" s="130">
        <f t="shared" ref="D190:D199" si="7">C190*B190</f>
        <v>3.918E-2</v>
      </c>
    </row>
    <row r="191" spans="1:4">
      <c r="A191" s="131" t="s">
        <v>1090</v>
      </c>
      <c r="B191" s="7">
        <v>3</v>
      </c>
      <c r="C191" s="7">
        <f>COGS!F127</f>
        <v>3.5000000000000003E-2</v>
      </c>
      <c r="D191" s="124">
        <f t="shared" si="7"/>
        <v>0.10500000000000001</v>
      </c>
    </row>
    <row r="192" spans="1:4">
      <c r="A192" s="131" t="s">
        <v>1072</v>
      </c>
      <c r="B192" s="7">
        <v>2</v>
      </c>
      <c r="C192" s="7">
        <f>COGS!F97</f>
        <v>2.1666666666666667E-2</v>
      </c>
      <c r="D192" s="124">
        <f t="shared" si="7"/>
        <v>4.3333333333333335E-2</v>
      </c>
    </row>
    <row r="193" spans="1:6">
      <c r="A193" s="129" t="s">
        <v>1022</v>
      </c>
      <c r="B193" s="7">
        <v>4</v>
      </c>
      <c r="C193" s="7">
        <f>COGS!J27</f>
        <v>2.2190000000000001E-2</v>
      </c>
      <c r="D193" s="130">
        <f t="shared" si="7"/>
        <v>8.8760000000000006E-2</v>
      </c>
    </row>
    <row r="194" spans="1:6">
      <c r="A194" s="129" t="s">
        <v>1091</v>
      </c>
      <c r="B194" s="7">
        <v>2</v>
      </c>
      <c r="C194" s="7">
        <f>COGS!F85</f>
        <v>2.1416666666666667E-2</v>
      </c>
      <c r="D194" s="130">
        <f t="shared" si="7"/>
        <v>4.2833333333333334E-2</v>
      </c>
    </row>
    <row r="195" spans="1:6">
      <c r="A195" s="131"/>
      <c r="B195" s="7">
        <f>SUM(B189:B194)</f>
        <v>15</v>
      </c>
      <c r="D195" s="124">
        <f t="shared" si="7"/>
        <v>0</v>
      </c>
    </row>
    <row r="196" spans="1:6">
      <c r="A196" s="126" t="s">
        <v>1010</v>
      </c>
      <c r="D196" s="124">
        <f t="shared" si="7"/>
        <v>0</v>
      </c>
    </row>
    <row r="197" spans="1:6">
      <c r="A197" s="131" t="s">
        <v>1092</v>
      </c>
      <c r="B197" s="7">
        <v>190</v>
      </c>
      <c r="C197" s="7">
        <f>COGS!J25</f>
        <v>3.5899999999999999E-3</v>
      </c>
      <c r="D197" s="130">
        <f t="shared" si="7"/>
        <v>0.68209999999999993</v>
      </c>
    </row>
    <row r="198" spans="1:6">
      <c r="A198" s="134"/>
      <c r="D198" s="130">
        <f t="shared" si="7"/>
        <v>0</v>
      </c>
    </row>
    <row r="199" spans="1:6">
      <c r="A199" s="134"/>
      <c r="D199" s="130">
        <f t="shared" si="7"/>
        <v>0</v>
      </c>
    </row>
    <row r="200" spans="1:6">
      <c r="A200" s="131"/>
      <c r="D200" s="130"/>
    </row>
    <row r="201" spans="1:6">
      <c r="A201" s="126" t="s">
        <v>1013</v>
      </c>
      <c r="D201" s="124"/>
    </row>
    <row r="202" spans="1:6">
      <c r="A202" s="131" t="s">
        <v>1014</v>
      </c>
      <c r="D202" s="124">
        <f>E202/F202</f>
        <v>0.63996000000000008</v>
      </c>
      <c r="E202" s="7">
        <v>319.98</v>
      </c>
      <c r="F202" s="7">
        <v>500</v>
      </c>
    </row>
    <row r="203" spans="1:6">
      <c r="A203" s="131" t="s">
        <v>1015</v>
      </c>
      <c r="C203" s="18"/>
      <c r="D203" s="124">
        <f>COGS!F71</f>
        <v>0.19041666666666668</v>
      </c>
    </row>
    <row r="204" spans="1:6">
      <c r="A204" s="131" t="s">
        <v>1016</v>
      </c>
      <c r="C204" s="18"/>
      <c r="D204" s="120">
        <v>0.1</v>
      </c>
    </row>
    <row r="205" spans="1:6">
      <c r="A205" s="126" t="s">
        <v>1017</v>
      </c>
      <c r="D205" s="124">
        <f>SUM(D189:D204)</f>
        <v>1.9315833333333334</v>
      </c>
    </row>
    <row r="207" spans="1:6">
      <c r="A207" s="1" t="s">
        <v>1093</v>
      </c>
      <c r="B207" s="1" t="s">
        <v>1094</v>
      </c>
      <c r="C207" s="1" t="s">
        <v>1019</v>
      </c>
      <c r="D207" s="125" t="s">
        <v>1017</v>
      </c>
    </row>
    <row r="208" spans="1:6">
      <c r="A208" s="126" t="s">
        <v>1005</v>
      </c>
      <c r="D208" s="124"/>
    </row>
    <row r="209" spans="1:6">
      <c r="A209" s="127" t="s">
        <v>1095</v>
      </c>
      <c r="B209" s="7">
        <f>COGS!J16</f>
        <v>1.959E-2</v>
      </c>
      <c r="C209" s="128">
        <f>'[1]Oils 20152016'!F240</f>
        <v>0</v>
      </c>
      <c r="D209" s="124">
        <f t="shared" ref="D209:D214" si="8">C209*B209</f>
        <v>0</v>
      </c>
    </row>
    <row r="210" spans="1:6">
      <c r="A210" s="131"/>
      <c r="D210" s="124">
        <f t="shared" si="8"/>
        <v>0</v>
      </c>
    </row>
    <row r="211" spans="1:6">
      <c r="A211" s="126" t="s">
        <v>1010</v>
      </c>
      <c r="D211" s="124">
        <f t="shared" si="8"/>
        <v>0</v>
      </c>
    </row>
    <row r="212" spans="1:6">
      <c r="A212" s="131" t="s">
        <v>1096</v>
      </c>
      <c r="B212" s="7">
        <v>190</v>
      </c>
      <c r="C212" s="7">
        <f>COGS!J45</f>
        <v>0</v>
      </c>
      <c r="D212" s="130">
        <f t="shared" si="8"/>
        <v>0</v>
      </c>
    </row>
    <row r="213" spans="1:6">
      <c r="A213" s="134"/>
      <c r="D213" s="130">
        <f t="shared" si="8"/>
        <v>0</v>
      </c>
    </row>
    <row r="214" spans="1:6">
      <c r="A214" s="134"/>
      <c r="D214" s="130">
        <f t="shared" si="8"/>
        <v>0</v>
      </c>
    </row>
    <row r="215" spans="1:6">
      <c r="A215" s="131"/>
      <c r="D215" s="130"/>
    </row>
    <row r="216" spans="1:6">
      <c r="A216" s="126" t="s">
        <v>1013</v>
      </c>
      <c r="D216" s="124"/>
    </row>
    <row r="217" spans="1:6">
      <c r="A217" s="131" t="s">
        <v>1084</v>
      </c>
      <c r="D217" s="120">
        <f>E217/F217</f>
        <v>0.63996000000000008</v>
      </c>
      <c r="E217" s="7">
        <v>319.98</v>
      </c>
      <c r="F217" s="7">
        <v>500</v>
      </c>
    </row>
    <row r="218" spans="1:6">
      <c r="A218" s="131" t="s">
        <v>1015</v>
      </c>
      <c r="C218" s="18"/>
      <c r="D218" s="124">
        <f>COGS!F91</f>
        <v>3.4083333333333334E-2</v>
      </c>
    </row>
    <row r="219" spans="1:6">
      <c r="A219" s="131" t="s">
        <v>1016</v>
      </c>
      <c r="C219" s="18"/>
      <c r="D219" s="120">
        <v>0.1</v>
      </c>
    </row>
    <row r="220" spans="1:6">
      <c r="A220" s="126" t="s">
        <v>1017</v>
      </c>
      <c r="D220" s="124">
        <f>SUM(D209:D219)</f>
        <v>0.77404333333333342</v>
      </c>
    </row>
    <row r="222" spans="1:6">
      <c r="A222" s="1" t="s">
        <v>1097</v>
      </c>
      <c r="B222" s="7" t="s">
        <v>1098</v>
      </c>
    </row>
    <row r="223" spans="1:6">
      <c r="A223" s="7" t="s">
        <v>1099</v>
      </c>
    </row>
    <row r="224" spans="1:6">
      <c r="A224" s="7" t="s">
        <v>1100</v>
      </c>
    </row>
    <row r="225" spans="1:1">
      <c r="A225" s="7" t="s">
        <v>1101</v>
      </c>
    </row>
    <row r="226" spans="1:1">
      <c r="A226" s="7" t="s">
        <v>1102</v>
      </c>
    </row>
    <row r="227" spans="1:1">
      <c r="A227" s="7" t="s">
        <v>1055</v>
      </c>
    </row>
    <row r="228" spans="1:1">
      <c r="A228" s="7" t="s">
        <v>1103</v>
      </c>
    </row>
    <row r="229" spans="1:1">
      <c r="A229" s="7" t="s">
        <v>1104</v>
      </c>
    </row>
  </sheetData>
  <pageMargins left="0.75" right="0.75" top="1" bottom="1" header="0.5" footer="0.5"/>
  <pageSetup paperSize="0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C642-E14C-BE4E-9485-723274DE545F}">
  <sheetPr published="0"/>
  <dimension ref="A1:L60"/>
  <sheetViews>
    <sheetView view="pageLayout" workbookViewId="0">
      <selection activeCell="J28" sqref="J28"/>
    </sheetView>
  </sheetViews>
  <sheetFormatPr baseColWidth="10" defaultRowHeight="13"/>
  <cols>
    <col min="1" max="1" width="4.5" customWidth="1"/>
    <col min="2" max="2" width="19.83203125" customWidth="1"/>
    <col min="3" max="3" width="10.5" bestFit="1" customWidth="1"/>
    <col min="4" max="4" width="10.83203125" style="99"/>
    <col min="7" max="7" width="15.33203125" bestFit="1" customWidth="1"/>
    <col min="8" max="8" width="13.5" bestFit="1" customWidth="1"/>
    <col min="9" max="9" width="12" bestFit="1" customWidth="1"/>
    <col min="10" max="10" width="12.1640625" bestFit="1" customWidth="1"/>
    <col min="11" max="11" width="12.6640625" bestFit="1" customWidth="1"/>
  </cols>
  <sheetData>
    <row r="1" spans="1:12" s="30" customFormat="1">
      <c r="A1" s="30" t="s">
        <v>1105</v>
      </c>
      <c r="B1" s="30" t="s">
        <v>1106</v>
      </c>
      <c r="C1" s="30" t="s">
        <v>1107</v>
      </c>
      <c r="D1" s="145" t="s">
        <v>1108</v>
      </c>
      <c r="E1" s="30" t="s">
        <v>1109</v>
      </c>
      <c r="F1" s="30" t="s">
        <v>1110</v>
      </c>
      <c r="G1" s="30" t="s">
        <v>857</v>
      </c>
      <c r="H1" s="30" t="s">
        <v>1111</v>
      </c>
      <c r="I1" s="30" t="s">
        <v>1112</v>
      </c>
      <c r="J1" s="30" t="s">
        <v>1113</v>
      </c>
      <c r="K1" s="30" t="s">
        <v>1114</v>
      </c>
      <c r="L1" s="30" t="s">
        <v>1115</v>
      </c>
    </row>
    <row r="2" spans="1:12">
      <c r="G2" s="99"/>
    </row>
    <row r="3" spans="1:12">
      <c r="A3" t="s">
        <v>1116</v>
      </c>
      <c r="B3" s="102" t="s">
        <v>1117</v>
      </c>
      <c r="C3" t="s">
        <v>1118</v>
      </c>
      <c r="D3" s="99">
        <f>'Product Cost Basis'!D18</f>
        <v>4.6100544117647058</v>
      </c>
      <c r="E3" s="146">
        <v>25</v>
      </c>
      <c r="F3" s="146"/>
      <c r="G3" s="99">
        <f>E3-D3</f>
        <v>20.389945588235292</v>
      </c>
      <c r="H3" s="147">
        <v>50</v>
      </c>
      <c r="J3" s="146">
        <f>G3*H3</f>
        <v>1019.4972794117646</v>
      </c>
      <c r="L3" s="146">
        <f>J3*52</f>
        <v>53013.858529411758</v>
      </c>
    </row>
    <row r="4" spans="1:12">
      <c r="A4" t="s">
        <v>1119</v>
      </c>
      <c r="B4" t="s">
        <v>1120</v>
      </c>
      <c r="C4" t="s">
        <v>1118</v>
      </c>
      <c r="E4" s="146"/>
      <c r="F4" s="146"/>
      <c r="G4" s="99">
        <f t="shared" ref="G4:G28" si="0">E4-D4</f>
        <v>0</v>
      </c>
      <c r="H4" s="147"/>
      <c r="J4" s="146"/>
      <c r="L4" s="146"/>
    </row>
    <row r="5" spans="1:12">
      <c r="A5" t="s">
        <v>1121</v>
      </c>
      <c r="B5" s="104" t="s">
        <v>1018</v>
      </c>
      <c r="C5" t="s">
        <v>1118</v>
      </c>
      <c r="D5" s="99">
        <v>4</v>
      </c>
      <c r="E5" s="146">
        <v>25</v>
      </c>
      <c r="F5" s="146"/>
      <c r="G5" s="99">
        <f t="shared" si="0"/>
        <v>21</v>
      </c>
      <c r="H5" s="147">
        <v>50</v>
      </c>
      <c r="J5" s="146">
        <f>G5*H5</f>
        <v>1050</v>
      </c>
      <c r="L5" s="146">
        <f>J5*52</f>
        <v>54600</v>
      </c>
    </row>
    <row r="6" spans="1:12">
      <c r="A6" t="s">
        <v>1122</v>
      </c>
      <c r="B6" t="s">
        <v>1123</v>
      </c>
      <c r="C6" t="s">
        <v>1118</v>
      </c>
      <c r="D6" s="99">
        <v>4</v>
      </c>
      <c r="E6" s="146">
        <v>25</v>
      </c>
      <c r="F6" s="146"/>
      <c r="G6" s="99">
        <f t="shared" si="0"/>
        <v>21</v>
      </c>
      <c r="H6" s="147">
        <v>50</v>
      </c>
      <c r="J6" s="146">
        <f>G6*H6</f>
        <v>1050</v>
      </c>
      <c r="L6" s="146">
        <f>J6*52</f>
        <v>54600</v>
      </c>
    </row>
    <row r="7" spans="1:12">
      <c r="A7" t="s">
        <v>1124</v>
      </c>
      <c r="B7" t="s">
        <v>1125</v>
      </c>
      <c r="C7" t="s">
        <v>1126</v>
      </c>
      <c r="D7" s="99">
        <f>'Product Cost Basis'!D70</f>
        <v>0</v>
      </c>
      <c r="G7" s="99">
        <f t="shared" si="0"/>
        <v>0</v>
      </c>
      <c r="I7" s="147"/>
    </row>
    <row r="8" spans="1:12">
      <c r="A8" t="s">
        <v>1127</v>
      </c>
      <c r="B8" s="102" t="s">
        <v>1128</v>
      </c>
      <c r="C8" t="s">
        <v>1129</v>
      </c>
      <c r="D8" s="99">
        <f>'Product Cost Basis'!D98</f>
        <v>7.9477166666666657</v>
      </c>
      <c r="E8" s="146">
        <v>35</v>
      </c>
      <c r="G8" s="99">
        <f t="shared" si="0"/>
        <v>27.052283333333335</v>
      </c>
      <c r="I8" s="147"/>
    </row>
    <row r="9" spans="1:12">
      <c r="A9" t="s">
        <v>1130</v>
      </c>
      <c r="B9" s="89" t="s">
        <v>1131</v>
      </c>
      <c r="C9" s="89" t="s">
        <v>1118</v>
      </c>
      <c r="D9" s="148"/>
      <c r="E9" s="149"/>
      <c r="F9" s="89"/>
      <c r="G9" s="148">
        <f t="shared" si="0"/>
        <v>0</v>
      </c>
      <c r="I9" s="147"/>
    </row>
    <row r="10" spans="1:12">
      <c r="A10" t="s">
        <v>1132</v>
      </c>
      <c r="B10" s="89" t="s">
        <v>1133</v>
      </c>
      <c r="C10" s="89" t="s">
        <v>1118</v>
      </c>
      <c r="D10" s="148"/>
      <c r="E10" s="149"/>
      <c r="F10" s="89"/>
      <c r="G10" s="148">
        <f t="shared" si="0"/>
        <v>0</v>
      </c>
      <c r="I10" s="147"/>
    </row>
    <row r="11" spans="1:12">
      <c r="A11" t="s">
        <v>1134</v>
      </c>
      <c r="B11" t="s">
        <v>1135</v>
      </c>
      <c r="C11" t="s">
        <v>1118</v>
      </c>
      <c r="E11" s="146"/>
      <c r="G11" s="99">
        <f t="shared" si="0"/>
        <v>0</v>
      </c>
      <c r="I11" s="147"/>
    </row>
    <row r="12" spans="1:12">
      <c r="A12" t="s">
        <v>1136</v>
      </c>
      <c r="B12" s="102" t="s">
        <v>1137</v>
      </c>
      <c r="C12" t="s">
        <v>1118</v>
      </c>
      <c r="D12" s="99">
        <f>'Product Cost Basis'!D87</f>
        <v>1.6899966666666666</v>
      </c>
      <c r="E12">
        <v>20</v>
      </c>
      <c r="G12" s="99">
        <f t="shared" si="0"/>
        <v>18.310003333333334</v>
      </c>
    </row>
    <row r="13" spans="1:12">
      <c r="A13" t="s">
        <v>1138</v>
      </c>
      <c r="B13" t="s">
        <v>1139</v>
      </c>
      <c r="C13" t="s">
        <v>1140</v>
      </c>
      <c r="G13" s="99">
        <f t="shared" si="0"/>
        <v>0</v>
      </c>
    </row>
    <row r="14" spans="1:12">
      <c r="A14" t="s">
        <v>1141</v>
      </c>
      <c r="B14" t="s">
        <v>1142</v>
      </c>
      <c r="C14" t="s">
        <v>1140</v>
      </c>
      <c r="G14" s="99">
        <f t="shared" si="0"/>
        <v>0</v>
      </c>
    </row>
    <row r="15" spans="1:12">
      <c r="A15" t="s">
        <v>1143</v>
      </c>
      <c r="B15" s="102" t="s">
        <v>1144</v>
      </c>
      <c r="C15" t="s">
        <v>1140</v>
      </c>
      <c r="D15" s="99">
        <f>'Product Cost Basis'!D114</f>
        <v>7.8411999999999997</v>
      </c>
      <c r="E15">
        <v>25</v>
      </c>
      <c r="G15" s="99">
        <f t="shared" si="0"/>
        <v>17.158799999999999</v>
      </c>
      <c r="I15" s="147"/>
    </row>
    <row r="16" spans="1:12">
      <c r="B16" s="35" t="s">
        <v>1145</v>
      </c>
      <c r="C16" t="s">
        <v>1140</v>
      </c>
      <c r="D16" s="99">
        <f>'Product Cost Basis'!D148</f>
        <v>6.0464166666666657</v>
      </c>
      <c r="E16">
        <v>25</v>
      </c>
      <c r="G16" s="99">
        <f t="shared" si="0"/>
        <v>18.953583333333334</v>
      </c>
      <c r="I16" s="147"/>
    </row>
    <row r="17" spans="1:9">
      <c r="B17" t="s">
        <v>1146</v>
      </c>
      <c r="G17" s="99">
        <f t="shared" si="0"/>
        <v>0</v>
      </c>
      <c r="I17" s="147"/>
    </row>
    <row r="18" spans="1:9">
      <c r="B18" t="s">
        <v>1147</v>
      </c>
      <c r="G18" s="99">
        <f t="shared" si="0"/>
        <v>0</v>
      </c>
      <c r="I18" s="147"/>
    </row>
    <row r="19" spans="1:9">
      <c r="B19" s="89" t="s">
        <v>1148</v>
      </c>
      <c r="C19" s="89"/>
      <c r="D19" s="148"/>
      <c r="E19" s="89"/>
      <c r="F19" s="89"/>
      <c r="G19" s="148">
        <f t="shared" si="0"/>
        <v>0</v>
      </c>
      <c r="I19" s="147"/>
    </row>
    <row r="20" spans="1:9">
      <c r="B20" s="102" t="s">
        <v>1145</v>
      </c>
      <c r="C20" t="s">
        <v>919</v>
      </c>
      <c r="D20" s="99">
        <f>'Product Cost Basis'!D148</f>
        <v>6.0464166666666657</v>
      </c>
      <c r="E20">
        <v>25</v>
      </c>
      <c r="G20" s="99">
        <f t="shared" si="0"/>
        <v>18.953583333333334</v>
      </c>
      <c r="I20" s="147"/>
    </row>
    <row r="21" spans="1:9">
      <c r="A21" t="s">
        <v>1149</v>
      </c>
      <c r="B21" s="150" t="s">
        <v>1150</v>
      </c>
      <c r="C21" t="s">
        <v>1118</v>
      </c>
      <c r="D21" s="99">
        <f>'Product Cost Basis'!D131</f>
        <v>2.3970766666666665</v>
      </c>
      <c r="E21">
        <v>20</v>
      </c>
      <c r="G21" s="99">
        <f t="shared" si="0"/>
        <v>17.602923333333333</v>
      </c>
      <c r="I21" s="147"/>
    </row>
    <row r="22" spans="1:9">
      <c r="B22" t="s">
        <v>1151</v>
      </c>
      <c r="G22" s="99">
        <f t="shared" si="0"/>
        <v>0</v>
      </c>
      <c r="I22" s="147"/>
    </row>
    <row r="23" spans="1:9">
      <c r="B23" t="s">
        <v>1152</v>
      </c>
      <c r="G23" s="99">
        <f t="shared" si="0"/>
        <v>0</v>
      </c>
      <c r="I23" s="147"/>
    </row>
    <row r="24" spans="1:9">
      <c r="B24" t="s">
        <v>1153</v>
      </c>
      <c r="G24" s="99">
        <f t="shared" si="0"/>
        <v>0</v>
      </c>
      <c r="I24" s="147"/>
    </row>
    <row r="25" spans="1:9">
      <c r="B25" t="s">
        <v>1154</v>
      </c>
      <c r="G25" s="99">
        <f t="shared" si="0"/>
        <v>0</v>
      </c>
      <c r="I25" s="147"/>
    </row>
    <row r="26" spans="1:9">
      <c r="B26" t="s">
        <v>1155</v>
      </c>
      <c r="G26" s="99">
        <f t="shared" si="0"/>
        <v>0</v>
      </c>
      <c r="I26" s="147"/>
    </row>
    <row r="27" spans="1:9">
      <c r="B27" t="s">
        <v>1156</v>
      </c>
      <c r="G27" s="99">
        <f t="shared" si="0"/>
        <v>0</v>
      </c>
      <c r="I27" s="147"/>
    </row>
    <row r="28" spans="1:9">
      <c r="B28" t="s">
        <v>1157</v>
      </c>
      <c r="G28" s="99">
        <f t="shared" si="0"/>
        <v>0</v>
      </c>
      <c r="I28" s="147"/>
    </row>
    <row r="29" spans="1:9">
      <c r="B29" s="150" t="s">
        <v>1158</v>
      </c>
      <c r="C29" t="s">
        <v>1159</v>
      </c>
      <c r="D29" s="99">
        <f>'Product Cost Basis'!D56</f>
        <v>10.277969999999998</v>
      </c>
      <c r="E29" s="146">
        <v>35</v>
      </c>
      <c r="G29" s="99">
        <f>E29-D29</f>
        <v>24.722030000000004</v>
      </c>
      <c r="I29" s="147"/>
    </row>
    <row r="30" spans="1:9">
      <c r="B30" t="s">
        <v>1160</v>
      </c>
      <c r="G30" s="99">
        <f t="shared" ref="G30:G43" si="1">E30-D30</f>
        <v>0</v>
      </c>
      <c r="I30" s="147"/>
    </row>
    <row r="31" spans="1:9">
      <c r="B31" t="s">
        <v>1161</v>
      </c>
      <c r="G31" s="99">
        <f t="shared" si="1"/>
        <v>0</v>
      </c>
      <c r="I31" s="147"/>
    </row>
    <row r="32" spans="1:9">
      <c r="B32" s="89" t="s">
        <v>1162</v>
      </c>
      <c r="C32" s="89"/>
      <c r="D32" s="148"/>
      <c r="E32" s="89"/>
      <c r="F32" s="89"/>
      <c r="G32" s="148">
        <f t="shared" si="1"/>
        <v>0</v>
      </c>
      <c r="I32" s="147"/>
    </row>
    <row r="33" spans="2:12">
      <c r="B33" s="89" t="s">
        <v>1163</v>
      </c>
      <c r="C33" s="89"/>
      <c r="D33" s="148"/>
      <c r="E33" s="89"/>
      <c r="F33" s="89"/>
      <c r="G33" s="148">
        <f t="shared" si="1"/>
        <v>0</v>
      </c>
      <c r="I33" s="147"/>
    </row>
    <row r="34" spans="2:12">
      <c r="B34" t="s">
        <v>1164</v>
      </c>
      <c r="G34" s="99">
        <f t="shared" si="1"/>
        <v>0</v>
      </c>
      <c r="I34" s="147"/>
    </row>
    <row r="35" spans="2:12">
      <c r="B35" t="s">
        <v>1165</v>
      </c>
      <c r="G35" s="99">
        <f t="shared" si="1"/>
        <v>0</v>
      </c>
      <c r="I35" s="147"/>
    </row>
    <row r="36" spans="2:12">
      <c r="B36" t="s">
        <v>1166</v>
      </c>
      <c r="G36" s="99">
        <f t="shared" si="1"/>
        <v>0</v>
      </c>
      <c r="I36" s="147"/>
    </row>
    <row r="37" spans="2:12">
      <c r="B37" t="s">
        <v>1167</v>
      </c>
      <c r="G37" s="99">
        <f t="shared" si="1"/>
        <v>0</v>
      </c>
      <c r="I37" s="147"/>
    </row>
    <row r="38" spans="2:12">
      <c r="B38" t="s">
        <v>1168</v>
      </c>
      <c r="G38" s="99">
        <f t="shared" si="1"/>
        <v>0</v>
      </c>
      <c r="I38" s="147"/>
    </row>
    <row r="39" spans="2:12">
      <c r="B39" t="s">
        <v>1169</v>
      </c>
      <c r="G39" s="99">
        <f t="shared" si="1"/>
        <v>0</v>
      </c>
      <c r="I39" s="147"/>
    </row>
    <row r="40" spans="2:12">
      <c r="B40" t="s">
        <v>1170</v>
      </c>
      <c r="G40" s="99">
        <f t="shared" si="1"/>
        <v>0</v>
      </c>
      <c r="I40" s="147"/>
    </row>
    <row r="41" spans="2:12">
      <c r="B41" t="s">
        <v>1171</v>
      </c>
      <c r="G41" s="99">
        <f t="shared" si="1"/>
        <v>0</v>
      </c>
      <c r="I41" s="147"/>
    </row>
    <row r="42" spans="2:12">
      <c r="B42" t="s">
        <v>1172</v>
      </c>
      <c r="C42" t="s">
        <v>1173</v>
      </c>
      <c r="D42" s="99">
        <f>'Product Cost Basis'!D166</f>
        <v>8.685083333333333</v>
      </c>
      <c r="E42">
        <v>25</v>
      </c>
      <c r="G42" s="99">
        <f t="shared" si="1"/>
        <v>16.314916666666669</v>
      </c>
      <c r="I42" s="147"/>
    </row>
    <row r="43" spans="2:12">
      <c r="B43" t="s">
        <v>1172</v>
      </c>
      <c r="C43" t="s">
        <v>1174</v>
      </c>
      <c r="D43" s="99">
        <f>'Product Cost Basis'!D185</f>
        <v>14.924066666666667</v>
      </c>
      <c r="E43">
        <v>40</v>
      </c>
      <c r="G43" s="99">
        <f t="shared" si="1"/>
        <v>25.075933333333332</v>
      </c>
      <c r="I43" s="147"/>
    </row>
    <row r="44" spans="2:12">
      <c r="B44" t="s">
        <v>1175</v>
      </c>
      <c r="D44" s="99">
        <v>15</v>
      </c>
      <c r="E44" s="151">
        <v>30</v>
      </c>
      <c r="F44" s="146"/>
      <c r="G44" s="99">
        <v>15</v>
      </c>
      <c r="H44" s="146"/>
      <c r="I44" s="147">
        <v>1000</v>
      </c>
      <c r="K44" s="146">
        <f>I44*G44</f>
        <v>15000</v>
      </c>
      <c r="L44" s="146">
        <f>K44*12</f>
        <v>180000</v>
      </c>
    </row>
    <row r="45" spans="2:12">
      <c r="B45" t="s">
        <v>1176</v>
      </c>
      <c r="C45" t="s">
        <v>1118</v>
      </c>
      <c r="D45" s="99">
        <f>'Product Cost Basis'!D205</f>
        <v>1.9315833333333334</v>
      </c>
      <c r="E45" s="151">
        <v>25</v>
      </c>
      <c r="F45" s="146"/>
      <c r="G45" s="99">
        <v>15</v>
      </c>
      <c r="H45" s="146"/>
      <c r="I45" s="147"/>
      <c r="K45" s="146"/>
      <c r="L45" s="146"/>
    </row>
    <row r="46" spans="2:12">
      <c r="B46" t="s">
        <v>1177</v>
      </c>
      <c r="C46" t="s">
        <v>1178</v>
      </c>
      <c r="D46" s="99">
        <f>'Product Cost Basis'!D220</f>
        <v>0.77404333333333342</v>
      </c>
      <c r="E46" s="151">
        <v>10</v>
      </c>
      <c r="F46" s="146"/>
      <c r="G46" s="99">
        <v>15</v>
      </c>
      <c r="H46" s="146"/>
      <c r="I46" s="147"/>
      <c r="K46" s="146"/>
      <c r="L46" s="146"/>
    </row>
    <row r="47" spans="2:12">
      <c r="G47" s="99"/>
      <c r="I47" s="147"/>
      <c r="L47" s="146">
        <f>SUM(L3:L44)</f>
        <v>342213.85852941172</v>
      </c>
    </row>
    <row r="48" spans="2:12">
      <c r="B48" s="30" t="s">
        <v>1179</v>
      </c>
      <c r="C48" s="30"/>
      <c r="I48" s="147"/>
    </row>
    <row r="49" spans="2:9">
      <c r="B49" t="s">
        <v>1110</v>
      </c>
      <c r="I49" s="147"/>
    </row>
    <row r="50" spans="2:9">
      <c r="B50" t="s">
        <v>1180</v>
      </c>
      <c r="I50" s="147"/>
    </row>
    <row r="51" spans="2:9">
      <c r="I51" s="147"/>
    </row>
    <row r="52" spans="2:9">
      <c r="I52" s="147"/>
    </row>
    <row r="53" spans="2:9">
      <c r="I53" s="147"/>
    </row>
    <row r="54" spans="2:9">
      <c r="B54" s="30" t="s">
        <v>1181</v>
      </c>
      <c r="C54" s="30"/>
      <c r="D54" s="152" t="s">
        <v>1182</v>
      </c>
      <c r="E54" s="153" t="s">
        <v>1183</v>
      </c>
    </row>
    <row r="55" spans="2:9">
      <c r="B55" t="s">
        <v>1184</v>
      </c>
    </row>
    <row r="56" spans="2:9">
      <c r="B56" t="s">
        <v>1185</v>
      </c>
      <c r="D56" s="99">
        <v>40</v>
      </c>
      <c r="E56">
        <f>D56*12</f>
        <v>480</v>
      </c>
    </row>
    <row r="57" spans="2:9">
      <c r="B57" t="s">
        <v>1186</v>
      </c>
      <c r="D57" s="99">
        <f>E57/12</f>
        <v>24</v>
      </c>
      <c r="E57">
        <v>288</v>
      </c>
    </row>
    <row r="58" spans="2:9">
      <c r="B58" t="s">
        <v>1187</v>
      </c>
      <c r="D58" s="99">
        <f>E58/12</f>
        <v>8</v>
      </c>
      <c r="E58">
        <v>96</v>
      </c>
    </row>
    <row r="59" spans="2:9">
      <c r="B59" t="s">
        <v>1188</v>
      </c>
    </row>
    <row r="60" spans="2:9">
      <c r="B60" t="s">
        <v>1189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346-4BA3-104F-9988-B160271D1BB1}">
  <sheetPr published="0"/>
  <dimension ref="A1:H36"/>
  <sheetViews>
    <sheetView view="pageLayout" topLeftCell="A13" zoomScaleNormal="100" workbookViewId="0">
      <selection activeCell="J28" sqref="J28"/>
    </sheetView>
  </sheetViews>
  <sheetFormatPr baseColWidth="10" defaultRowHeight="13"/>
  <cols>
    <col min="1" max="1" width="15.5" bestFit="1" customWidth="1"/>
    <col min="2" max="2" width="24.5" bestFit="1" customWidth="1"/>
    <col min="3" max="3" width="17.33203125" customWidth="1"/>
    <col min="4" max="4" width="5.5" bestFit="1" customWidth="1"/>
  </cols>
  <sheetData>
    <row r="1" spans="1:8">
      <c r="A1" s="30" t="s">
        <v>1190</v>
      </c>
      <c r="B1" s="30"/>
      <c r="C1" s="30"/>
      <c r="D1" s="30" t="s">
        <v>1191</v>
      </c>
      <c r="E1" s="30" t="s">
        <v>1192</v>
      </c>
      <c r="F1" s="30" t="s">
        <v>1193</v>
      </c>
      <c r="G1" s="30" t="s">
        <v>1194</v>
      </c>
      <c r="H1" s="30" t="s">
        <v>1195</v>
      </c>
    </row>
    <row r="2" spans="1:8">
      <c r="A2" t="s">
        <v>1196</v>
      </c>
      <c r="G2">
        <v>3</v>
      </c>
    </row>
    <row r="3" spans="1:8">
      <c r="A3" t="s">
        <v>1197</v>
      </c>
      <c r="G3">
        <v>3</v>
      </c>
    </row>
    <row r="4" spans="1:8">
      <c r="A4" t="s">
        <v>1198</v>
      </c>
      <c r="G4">
        <v>3</v>
      </c>
    </row>
    <row r="5" spans="1:8">
      <c r="A5" t="s">
        <v>1199</v>
      </c>
      <c r="G5">
        <v>3</v>
      </c>
    </row>
    <row r="6" spans="1:8">
      <c r="A6" t="s">
        <v>1200</v>
      </c>
      <c r="G6">
        <v>3</v>
      </c>
    </row>
    <row r="7" spans="1:8">
      <c r="A7" t="s">
        <v>1201</v>
      </c>
      <c r="G7">
        <v>3</v>
      </c>
    </row>
    <row r="8" spans="1:8">
      <c r="A8" t="s">
        <v>1202</v>
      </c>
      <c r="G8">
        <v>3</v>
      </c>
    </row>
    <row r="9" spans="1:8">
      <c r="A9" t="s">
        <v>1203</v>
      </c>
      <c r="G9">
        <v>3</v>
      </c>
    </row>
    <row r="10" spans="1:8">
      <c r="A10" t="s">
        <v>1204</v>
      </c>
      <c r="G10">
        <v>3</v>
      </c>
    </row>
    <row r="11" spans="1:8">
      <c r="A11" t="s">
        <v>1205</v>
      </c>
      <c r="G11">
        <v>3</v>
      </c>
    </row>
    <row r="12" spans="1:8">
      <c r="A12" t="s">
        <v>1206</v>
      </c>
      <c r="G12">
        <v>3</v>
      </c>
    </row>
    <row r="13" spans="1:8">
      <c r="A13" t="s">
        <v>1207</v>
      </c>
      <c r="B13" t="s">
        <v>1208</v>
      </c>
      <c r="G13">
        <v>3</v>
      </c>
    </row>
    <row r="14" spans="1:8">
      <c r="A14" t="s">
        <v>1209</v>
      </c>
      <c r="B14" t="s">
        <v>1210</v>
      </c>
      <c r="G14">
        <v>3</v>
      </c>
    </row>
    <row r="15" spans="1:8">
      <c r="A15" t="s">
        <v>1211</v>
      </c>
      <c r="B15" t="s">
        <v>1212</v>
      </c>
      <c r="C15" t="s">
        <v>1213</v>
      </c>
      <c r="G15">
        <v>3</v>
      </c>
    </row>
    <row r="16" spans="1:8">
      <c r="A16" t="s">
        <v>1214</v>
      </c>
      <c r="B16" t="s">
        <v>1215</v>
      </c>
      <c r="C16" t="s">
        <v>1216</v>
      </c>
      <c r="G16">
        <v>3</v>
      </c>
    </row>
    <row r="17" spans="1:7">
      <c r="A17" t="s">
        <v>1217</v>
      </c>
      <c r="G17">
        <v>3</v>
      </c>
    </row>
    <row r="18" spans="1:7">
      <c r="A18" t="s">
        <v>1218</v>
      </c>
      <c r="B18" t="s">
        <v>1054</v>
      </c>
      <c r="G18">
        <v>3</v>
      </c>
    </row>
    <row r="19" spans="1:7">
      <c r="A19" t="s">
        <v>1219</v>
      </c>
      <c r="G19">
        <v>3</v>
      </c>
    </row>
    <row r="22" spans="1:7">
      <c r="A22" t="s">
        <v>1052</v>
      </c>
      <c r="G22">
        <v>3</v>
      </c>
    </row>
    <row r="23" spans="1:7">
      <c r="A23" t="s">
        <v>870</v>
      </c>
      <c r="G23">
        <v>3</v>
      </c>
    </row>
    <row r="24" spans="1:7">
      <c r="A24" t="s">
        <v>1054</v>
      </c>
      <c r="G24">
        <v>3</v>
      </c>
    </row>
    <row r="25" spans="1:7">
      <c r="A25" t="s">
        <v>1053</v>
      </c>
      <c r="G25">
        <v>3</v>
      </c>
    </row>
    <row r="26" spans="1:7">
      <c r="A26" t="s">
        <v>1220</v>
      </c>
      <c r="G26">
        <v>3</v>
      </c>
    </row>
    <row r="27" spans="1:7">
      <c r="A27" t="s">
        <v>872</v>
      </c>
      <c r="G27">
        <v>3</v>
      </c>
    </row>
    <row r="28" spans="1:7">
      <c r="A28" t="s">
        <v>874</v>
      </c>
      <c r="G28">
        <v>3</v>
      </c>
    </row>
    <row r="29" spans="1:7">
      <c r="A29" t="s">
        <v>1221</v>
      </c>
      <c r="G29">
        <v>3</v>
      </c>
    </row>
    <row r="31" spans="1:7">
      <c r="A31" t="s">
        <v>1222</v>
      </c>
      <c r="B31" t="s">
        <v>1223</v>
      </c>
      <c r="G31">
        <v>3</v>
      </c>
    </row>
    <row r="32" spans="1:7">
      <c r="A32" t="s">
        <v>1224</v>
      </c>
      <c r="G32">
        <v>3</v>
      </c>
    </row>
    <row r="33" spans="1:7">
      <c r="A33" t="s">
        <v>1225</v>
      </c>
      <c r="G33">
        <v>3</v>
      </c>
    </row>
    <row r="36" spans="1:7">
      <c r="G36">
        <f>SUM(G2:G33)</f>
        <v>87</v>
      </c>
    </row>
  </sheetData>
  <pageMargins left="0.75" right="0.75" top="1" bottom="1" header="0.5" footer="0.5"/>
  <pageSetup paperSize="0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5967-4D3D-A049-92CD-919C77ED5DDD}">
  <sheetPr published="0"/>
  <dimension ref="A1:G122"/>
  <sheetViews>
    <sheetView view="pageLayout" topLeftCell="A14" zoomScale="150" zoomScalePageLayoutView="150" workbookViewId="0">
      <selection activeCell="C34" sqref="C34"/>
    </sheetView>
  </sheetViews>
  <sheetFormatPr baseColWidth="10" defaultRowHeight="13"/>
  <cols>
    <col min="1" max="1" width="21.5" customWidth="1"/>
  </cols>
  <sheetData>
    <row r="1" spans="1:6">
      <c r="D1" t="s">
        <v>799</v>
      </c>
    </row>
    <row r="2" spans="1:6">
      <c r="A2" t="s">
        <v>800</v>
      </c>
      <c r="B2" s="57">
        <v>14.19</v>
      </c>
      <c r="C2">
        <v>4</v>
      </c>
      <c r="D2" s="57">
        <f t="shared" ref="D2:D9" si="0">B2/C2</f>
        <v>3.5474999999999999</v>
      </c>
      <c r="E2" t="s">
        <v>801</v>
      </c>
      <c r="F2" t="s">
        <v>802</v>
      </c>
    </row>
    <row r="3" spans="1:6">
      <c r="A3" t="s">
        <v>803</v>
      </c>
      <c r="B3" s="57">
        <v>27.44</v>
      </c>
      <c r="C3">
        <v>16</v>
      </c>
      <c r="D3" s="57">
        <f t="shared" si="0"/>
        <v>1.7150000000000001</v>
      </c>
      <c r="E3" t="s">
        <v>801</v>
      </c>
      <c r="F3" t="s">
        <v>802</v>
      </c>
    </row>
    <row r="4" spans="1:6">
      <c r="A4" t="s">
        <v>804</v>
      </c>
      <c r="B4" s="57">
        <v>14.99</v>
      </c>
      <c r="C4">
        <v>16</v>
      </c>
      <c r="D4" s="57">
        <f t="shared" si="0"/>
        <v>0.93687500000000001</v>
      </c>
      <c r="E4" t="s">
        <v>801</v>
      </c>
      <c r="F4" t="s">
        <v>802</v>
      </c>
    </row>
    <row r="5" spans="1:6">
      <c r="A5" t="s">
        <v>805</v>
      </c>
      <c r="B5" s="57">
        <v>24.29</v>
      </c>
      <c r="C5">
        <v>101</v>
      </c>
      <c r="D5" s="57">
        <f t="shared" si="0"/>
        <v>0.24049504950495049</v>
      </c>
      <c r="E5" t="s">
        <v>806</v>
      </c>
      <c r="F5" t="s">
        <v>802</v>
      </c>
    </row>
    <row r="6" spans="1:6">
      <c r="A6" t="s">
        <v>807</v>
      </c>
      <c r="B6" s="57">
        <v>45.99</v>
      </c>
      <c r="C6">
        <v>4</v>
      </c>
      <c r="D6" s="57">
        <f t="shared" si="0"/>
        <v>11.4975</v>
      </c>
      <c r="E6" t="s">
        <v>801</v>
      </c>
      <c r="F6" t="s">
        <v>802</v>
      </c>
    </row>
    <row r="7" spans="1:6">
      <c r="A7" t="s">
        <v>808</v>
      </c>
      <c r="B7" s="57">
        <v>18.489999999999998</v>
      </c>
      <c r="C7">
        <v>16</v>
      </c>
      <c r="D7" s="57">
        <f t="shared" si="0"/>
        <v>1.1556249999999999</v>
      </c>
      <c r="E7" t="s">
        <v>801</v>
      </c>
      <c r="F7" t="s">
        <v>802</v>
      </c>
    </row>
    <row r="8" spans="1:6">
      <c r="A8" t="s">
        <v>809</v>
      </c>
      <c r="B8" s="57">
        <v>17.5</v>
      </c>
      <c r="C8">
        <v>64</v>
      </c>
      <c r="D8" s="57">
        <f t="shared" si="0"/>
        <v>0.2734375</v>
      </c>
      <c r="E8" t="s">
        <v>810</v>
      </c>
      <c r="F8" t="s">
        <v>802</v>
      </c>
    </row>
    <row r="9" spans="1:6">
      <c r="A9" t="s">
        <v>811</v>
      </c>
      <c r="B9" s="57">
        <v>26.9</v>
      </c>
      <c r="C9">
        <v>16</v>
      </c>
      <c r="D9" s="57">
        <f t="shared" si="0"/>
        <v>1.6812499999999999</v>
      </c>
      <c r="E9" t="s">
        <v>801</v>
      </c>
      <c r="F9" t="s">
        <v>802</v>
      </c>
    </row>
    <row r="10" spans="1:6">
      <c r="B10" s="57"/>
      <c r="D10" s="57"/>
    </row>
    <row r="11" spans="1:6">
      <c r="B11" s="57"/>
      <c r="D11" s="57"/>
    </row>
    <row r="12" spans="1:6">
      <c r="A12" s="86"/>
      <c r="B12" s="57"/>
      <c r="D12" s="57"/>
    </row>
    <row r="13" spans="1:6">
      <c r="A13" t="s">
        <v>812</v>
      </c>
      <c r="B13" s="57">
        <v>12.99</v>
      </c>
      <c r="C13">
        <v>200</v>
      </c>
      <c r="D13" s="57">
        <f>B13/C13</f>
        <v>6.4950000000000008E-2</v>
      </c>
      <c r="E13" t="s">
        <v>813</v>
      </c>
      <c r="F13" t="s">
        <v>814</v>
      </c>
    </row>
    <row r="14" spans="1:6">
      <c r="A14" t="s">
        <v>815</v>
      </c>
      <c r="B14" s="57">
        <v>10.99</v>
      </c>
      <c r="C14">
        <v>200</v>
      </c>
      <c r="D14" s="57">
        <f>B14/C14</f>
        <v>5.4949999999999999E-2</v>
      </c>
      <c r="E14" t="s">
        <v>816</v>
      </c>
      <c r="F14" t="s">
        <v>817</v>
      </c>
    </row>
    <row r="15" spans="1:6">
      <c r="A15" t="s">
        <v>818</v>
      </c>
      <c r="B15" s="57">
        <v>7.99</v>
      </c>
      <c r="C15">
        <v>200</v>
      </c>
      <c r="D15" s="57">
        <f>B15/C15</f>
        <v>3.9949999999999999E-2</v>
      </c>
      <c r="E15" t="s">
        <v>819</v>
      </c>
      <c r="F15" t="s">
        <v>820</v>
      </c>
    </row>
    <row r="16" spans="1:6">
      <c r="B16" s="57"/>
      <c r="D16" s="57"/>
    </row>
    <row r="17" spans="1:7">
      <c r="A17" t="s">
        <v>821</v>
      </c>
      <c r="B17" s="57">
        <v>19</v>
      </c>
      <c r="C17">
        <v>50</v>
      </c>
      <c r="D17" s="57">
        <f>B17/C17</f>
        <v>0.38</v>
      </c>
      <c r="F17" t="s">
        <v>822</v>
      </c>
    </row>
    <row r="18" spans="1:7">
      <c r="B18" s="57"/>
      <c r="D18" s="57"/>
    </row>
    <row r="19" spans="1:7" ht="52">
      <c r="A19" s="87" t="s">
        <v>823</v>
      </c>
      <c r="B19" s="57">
        <v>17.5</v>
      </c>
      <c r="C19">
        <f>50</f>
        <v>50</v>
      </c>
      <c r="D19" s="57">
        <f>B19/C19</f>
        <v>0.35</v>
      </c>
      <c r="F19" t="s">
        <v>822</v>
      </c>
    </row>
    <row r="20" spans="1:7">
      <c r="A20" t="s">
        <v>824</v>
      </c>
      <c r="B20" s="57">
        <v>27.5</v>
      </c>
      <c r="C20">
        <v>50</v>
      </c>
      <c r="D20" s="57">
        <f>B20/C20</f>
        <v>0.55000000000000004</v>
      </c>
      <c r="F20" t="s">
        <v>822</v>
      </c>
    </row>
    <row r="21" spans="1:7">
      <c r="B21" s="57">
        <f>SUM(B2:B20)</f>
        <v>285.76000000000005</v>
      </c>
      <c r="D21" s="57"/>
    </row>
    <row r="22" spans="1:7">
      <c r="B22" s="57"/>
      <c r="D22" s="57"/>
    </row>
    <row r="23" spans="1:7">
      <c r="B23" s="57"/>
      <c r="D23" s="57"/>
    </row>
    <row r="24" spans="1:7">
      <c r="A24" t="s">
        <v>825</v>
      </c>
      <c r="B24" s="57">
        <v>350</v>
      </c>
      <c r="C24">
        <v>100</v>
      </c>
      <c r="D24" s="57">
        <f>B24/C24</f>
        <v>3.5</v>
      </c>
      <c r="F24" t="s">
        <v>826</v>
      </c>
      <c r="G24" s="88">
        <v>41592</v>
      </c>
    </row>
    <row r="25" spans="1:7">
      <c r="A25" t="s">
        <v>827</v>
      </c>
      <c r="B25" s="57">
        <v>11.99</v>
      </c>
      <c r="C25">
        <v>24</v>
      </c>
      <c r="D25" s="57">
        <f>B25/C25</f>
        <v>0.49958333333333332</v>
      </c>
      <c r="F25" t="s">
        <v>828</v>
      </c>
      <c r="G25" s="88">
        <v>41594</v>
      </c>
    </row>
    <row r="26" spans="1:7">
      <c r="B26" s="57"/>
      <c r="D26" s="57"/>
    </row>
    <row r="27" spans="1:7">
      <c r="A27" t="s">
        <v>829</v>
      </c>
      <c r="B27" s="57">
        <v>20.58</v>
      </c>
      <c r="C27">
        <v>100</v>
      </c>
      <c r="D27" s="57">
        <f>B27/C27</f>
        <v>0.20579999999999998</v>
      </c>
      <c r="F27" t="s">
        <v>830</v>
      </c>
      <c r="G27" s="88">
        <v>41595</v>
      </c>
    </row>
    <row r="28" spans="1:7">
      <c r="B28" s="57"/>
      <c r="D28" s="57"/>
    </row>
    <row r="29" spans="1:7">
      <c r="A29" t="s">
        <v>831</v>
      </c>
      <c r="B29">
        <v>1267.42</v>
      </c>
      <c r="D29" s="57"/>
      <c r="G29" s="88">
        <v>41599</v>
      </c>
    </row>
    <row r="30" spans="1:7">
      <c r="A30" t="s">
        <v>832</v>
      </c>
      <c r="B30" s="89">
        <v>31.19</v>
      </c>
      <c r="D30" s="57"/>
      <c r="F30" t="s">
        <v>826</v>
      </c>
      <c r="G30" s="88">
        <v>41599</v>
      </c>
    </row>
    <row r="31" spans="1:7">
      <c r="A31" t="s">
        <v>833</v>
      </c>
      <c r="B31" s="90">
        <v>26</v>
      </c>
      <c r="D31" s="57"/>
      <c r="F31" t="s">
        <v>834</v>
      </c>
      <c r="G31" s="88">
        <v>41599</v>
      </c>
    </row>
    <row r="32" spans="1:7">
      <c r="A32" t="s">
        <v>835</v>
      </c>
      <c r="B32" s="89">
        <v>69</v>
      </c>
      <c r="D32" s="57"/>
      <c r="F32" t="s">
        <v>836</v>
      </c>
      <c r="G32" s="88">
        <v>41599</v>
      </c>
    </row>
    <row r="33" spans="1:4">
      <c r="D33" s="57"/>
    </row>
    <row r="34" spans="1:4">
      <c r="A34" s="56" t="s">
        <v>837</v>
      </c>
      <c r="B34">
        <v>64.489999999999995</v>
      </c>
      <c r="D34" s="57"/>
    </row>
    <row r="35" spans="1:4">
      <c r="D35" s="57"/>
    </row>
    <row r="36" spans="1:4">
      <c r="D36" s="57"/>
    </row>
    <row r="37" spans="1:4">
      <c r="D37" s="57"/>
    </row>
    <row r="38" spans="1:4">
      <c r="D38" s="57"/>
    </row>
    <row r="39" spans="1:4">
      <c r="D39" s="57"/>
    </row>
    <row r="40" spans="1:4">
      <c r="D40" s="57"/>
    </row>
    <row r="41" spans="1:4">
      <c r="D41" s="57"/>
    </row>
    <row r="42" spans="1:4">
      <c r="D42" s="57"/>
    </row>
    <row r="43" spans="1:4">
      <c r="D43" s="57"/>
    </row>
    <row r="44" spans="1:4">
      <c r="D44" s="57"/>
    </row>
    <row r="45" spans="1:4">
      <c r="D45" s="57"/>
    </row>
    <row r="46" spans="1:4">
      <c r="D46" s="57"/>
    </row>
    <row r="47" spans="1:4">
      <c r="D47" s="57"/>
    </row>
    <row r="48" spans="1:4">
      <c r="D48" s="57"/>
    </row>
    <row r="49" spans="4:4">
      <c r="D49" s="57"/>
    </row>
    <row r="50" spans="4:4">
      <c r="D50" s="57"/>
    </row>
    <row r="51" spans="4:4">
      <c r="D51" s="57"/>
    </row>
    <row r="52" spans="4:4">
      <c r="D52" s="57"/>
    </row>
    <row r="53" spans="4:4">
      <c r="D53" s="57"/>
    </row>
    <row r="54" spans="4:4">
      <c r="D54" s="57"/>
    </row>
    <row r="55" spans="4:4">
      <c r="D55" s="57"/>
    </row>
    <row r="56" spans="4:4">
      <c r="D56" s="57"/>
    </row>
    <row r="57" spans="4:4">
      <c r="D57" s="57"/>
    </row>
    <row r="58" spans="4:4">
      <c r="D58" s="57"/>
    </row>
    <row r="59" spans="4:4">
      <c r="D59" s="57"/>
    </row>
    <row r="60" spans="4:4">
      <c r="D60" s="57"/>
    </row>
    <row r="61" spans="4:4">
      <c r="D61" s="57"/>
    </row>
    <row r="62" spans="4:4">
      <c r="D62" s="57"/>
    </row>
    <row r="63" spans="4:4">
      <c r="D63" s="57"/>
    </row>
    <row r="64" spans="4:4">
      <c r="D64" s="57"/>
    </row>
    <row r="65" spans="4:4">
      <c r="D65" s="57"/>
    </row>
    <row r="66" spans="4:4">
      <c r="D66" s="57"/>
    </row>
    <row r="67" spans="4:4">
      <c r="D67" s="57"/>
    </row>
    <row r="68" spans="4:4">
      <c r="D68" s="57"/>
    </row>
    <row r="69" spans="4:4">
      <c r="D69" s="57"/>
    </row>
    <row r="70" spans="4:4">
      <c r="D70" s="57"/>
    </row>
    <row r="71" spans="4:4">
      <c r="D71" s="57"/>
    </row>
    <row r="72" spans="4:4">
      <c r="D72" s="57"/>
    </row>
    <row r="73" spans="4:4">
      <c r="D73" s="57"/>
    </row>
    <row r="74" spans="4:4">
      <c r="D74" s="57"/>
    </row>
    <row r="75" spans="4:4">
      <c r="D75" s="57"/>
    </row>
    <row r="76" spans="4:4">
      <c r="D76" s="57"/>
    </row>
    <row r="77" spans="4:4">
      <c r="D77" s="57"/>
    </row>
    <row r="78" spans="4:4">
      <c r="D78" s="57"/>
    </row>
    <row r="79" spans="4:4">
      <c r="D79" s="57"/>
    </row>
    <row r="80" spans="4:4">
      <c r="D80" s="57"/>
    </row>
    <row r="81" spans="4:4">
      <c r="D81" s="57"/>
    </row>
    <row r="82" spans="4:4">
      <c r="D82" s="57"/>
    </row>
    <row r="83" spans="4:4">
      <c r="D83" s="57"/>
    </row>
    <row r="84" spans="4:4">
      <c r="D84" s="57"/>
    </row>
    <row r="85" spans="4:4">
      <c r="D85" s="57"/>
    </row>
    <row r="86" spans="4:4">
      <c r="D86" s="57"/>
    </row>
    <row r="87" spans="4:4">
      <c r="D87" s="57"/>
    </row>
    <row r="88" spans="4:4">
      <c r="D88" s="57"/>
    </row>
    <row r="89" spans="4:4">
      <c r="D89" s="57"/>
    </row>
    <row r="90" spans="4:4">
      <c r="D90" s="57"/>
    </row>
    <row r="91" spans="4:4">
      <c r="D91" s="57"/>
    </row>
    <row r="92" spans="4:4">
      <c r="D92" s="57"/>
    </row>
    <row r="93" spans="4:4">
      <c r="D93" s="57"/>
    </row>
    <row r="94" spans="4:4">
      <c r="D94" s="57"/>
    </row>
    <row r="95" spans="4:4">
      <c r="D95" s="57"/>
    </row>
    <row r="96" spans="4:4">
      <c r="D96" s="57"/>
    </row>
    <row r="97" spans="4:4">
      <c r="D97" s="57"/>
    </row>
    <row r="98" spans="4:4">
      <c r="D98" s="57"/>
    </row>
    <row r="99" spans="4:4">
      <c r="D99" s="57"/>
    </row>
    <row r="100" spans="4:4">
      <c r="D100" s="57"/>
    </row>
    <row r="101" spans="4:4">
      <c r="D101" s="57"/>
    </row>
    <row r="102" spans="4:4">
      <c r="D102" s="57"/>
    </row>
    <row r="103" spans="4:4">
      <c r="D103" s="57"/>
    </row>
    <row r="104" spans="4:4">
      <c r="D104" s="57"/>
    </row>
    <row r="105" spans="4:4">
      <c r="D105" s="57"/>
    </row>
    <row r="106" spans="4:4">
      <c r="D106" s="57"/>
    </row>
    <row r="107" spans="4:4">
      <c r="D107" s="57"/>
    </row>
    <row r="108" spans="4:4">
      <c r="D108" s="57"/>
    </row>
    <row r="109" spans="4:4">
      <c r="D109" s="57"/>
    </row>
    <row r="110" spans="4:4">
      <c r="D110" s="57"/>
    </row>
    <row r="111" spans="4:4">
      <c r="D111" s="57"/>
    </row>
    <row r="112" spans="4:4">
      <c r="D112" s="57"/>
    </row>
    <row r="113" spans="4:4">
      <c r="D113" s="57"/>
    </row>
    <row r="114" spans="4:4">
      <c r="D114" s="57"/>
    </row>
    <row r="115" spans="4:4">
      <c r="D115" s="57"/>
    </row>
    <row r="116" spans="4:4">
      <c r="D116" s="57"/>
    </row>
    <row r="117" spans="4:4">
      <c r="D117" s="57"/>
    </row>
    <row r="118" spans="4:4">
      <c r="D118" s="57"/>
    </row>
    <row r="119" spans="4:4">
      <c r="D119" s="57"/>
    </row>
    <row r="120" spans="4:4">
      <c r="D120" s="57"/>
    </row>
    <row r="121" spans="4:4">
      <c r="D121" s="57"/>
    </row>
    <row r="122" spans="4:4">
      <c r="D122" s="57"/>
    </row>
  </sheetData>
  <pageMargins left="0.75" right="0.75" top="1" bottom="1" header="0.5" footer="0.5"/>
  <pageSetup paperSize="0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37A3-F745-CB41-9C5A-6BEDC482C530}">
  <dimension ref="A2:H43"/>
  <sheetViews>
    <sheetView workbookViewId="0">
      <selection activeCell="E29" sqref="E29"/>
    </sheetView>
  </sheetViews>
  <sheetFormatPr baseColWidth="10" defaultRowHeight="16"/>
  <cols>
    <col min="1" max="1" width="10.83203125" style="83"/>
    <col min="2" max="2" width="10.83203125" style="82"/>
    <col min="3" max="3" width="28" style="83" customWidth="1"/>
    <col min="4" max="5" width="10.83203125" style="83"/>
    <col min="6" max="6" width="3.1640625" style="83" bestFit="1" customWidth="1"/>
    <col min="7" max="7" width="12" style="83" bestFit="1" customWidth="1"/>
    <col min="8" max="16384" width="10.83203125" style="83"/>
  </cols>
  <sheetData>
    <row r="2" spans="1:8">
      <c r="A2" s="81">
        <v>43165</v>
      </c>
      <c r="C2" s="83" t="s">
        <v>766</v>
      </c>
    </row>
    <row r="3" spans="1:8">
      <c r="A3" s="81">
        <v>43164</v>
      </c>
      <c r="B3" s="83">
        <v>15</v>
      </c>
      <c r="C3" s="83" t="s">
        <v>767</v>
      </c>
      <c r="D3" s="83" t="s">
        <v>768</v>
      </c>
      <c r="G3" s="83" t="s">
        <v>769</v>
      </c>
      <c r="H3" s="83" t="s">
        <v>770</v>
      </c>
    </row>
    <row r="4" spans="1:8">
      <c r="A4" s="81">
        <v>43164</v>
      </c>
      <c r="B4" s="82">
        <v>15</v>
      </c>
      <c r="C4" s="83" t="s">
        <v>771</v>
      </c>
      <c r="D4" s="83" t="s">
        <v>768</v>
      </c>
    </row>
    <row r="5" spans="1:8">
      <c r="A5" s="81">
        <v>43164</v>
      </c>
      <c r="B5" s="82">
        <v>15</v>
      </c>
      <c r="C5" s="83" t="s">
        <v>281</v>
      </c>
      <c r="D5" s="83" t="s">
        <v>768</v>
      </c>
    </row>
    <row r="6" spans="1:8">
      <c r="A6" s="81">
        <v>43164</v>
      </c>
      <c r="B6" s="82">
        <v>15</v>
      </c>
      <c r="C6" s="83" t="s">
        <v>772</v>
      </c>
      <c r="D6" s="83" t="s">
        <v>768</v>
      </c>
    </row>
    <row r="7" spans="1:8">
      <c r="A7" s="81">
        <v>43168</v>
      </c>
      <c r="B7" s="82">
        <v>2</v>
      </c>
      <c r="C7" s="83" t="s">
        <v>773</v>
      </c>
    </row>
    <row r="8" spans="1:8">
      <c r="A8" s="81">
        <v>43170</v>
      </c>
      <c r="B8" s="83">
        <v>15</v>
      </c>
      <c r="C8" s="83" t="s">
        <v>281</v>
      </c>
      <c r="D8" s="83" t="s">
        <v>768</v>
      </c>
      <c r="G8" s="83" t="s">
        <v>769</v>
      </c>
      <c r="H8" s="83" t="s">
        <v>770</v>
      </c>
    </row>
    <row r="9" spans="1:8">
      <c r="A9" s="81"/>
    </row>
    <row r="10" spans="1:8">
      <c r="A10" s="81">
        <v>43177</v>
      </c>
      <c r="B10" s="82">
        <v>3</v>
      </c>
      <c r="C10" s="83" t="s">
        <v>774</v>
      </c>
    </row>
    <row r="11" spans="1:8">
      <c r="A11" s="81">
        <v>43177</v>
      </c>
      <c r="B11" s="82">
        <v>1</v>
      </c>
      <c r="C11" s="83" t="s">
        <v>775</v>
      </c>
      <c r="D11" s="83" t="s">
        <v>776</v>
      </c>
    </row>
    <row r="12" spans="1:8">
      <c r="A12" s="81">
        <v>43177</v>
      </c>
      <c r="B12" s="82">
        <v>15</v>
      </c>
      <c r="C12" s="83" t="s">
        <v>281</v>
      </c>
    </row>
    <row r="13" spans="1:8">
      <c r="A13" s="81">
        <v>43177</v>
      </c>
      <c r="B13" s="82">
        <v>15</v>
      </c>
      <c r="C13" s="83" t="s">
        <v>772</v>
      </c>
    </row>
    <row r="14" spans="1:8">
      <c r="A14" s="81">
        <v>43177</v>
      </c>
      <c r="B14" s="82">
        <v>15</v>
      </c>
      <c r="C14" s="83" t="s">
        <v>777</v>
      </c>
    </row>
    <row r="15" spans="1:8">
      <c r="A15" s="81">
        <v>43179</v>
      </c>
      <c r="B15" s="82">
        <v>1</v>
      </c>
      <c r="C15" s="83" t="s">
        <v>778</v>
      </c>
    </row>
    <row r="16" spans="1:8">
      <c r="A16" s="81">
        <v>43179</v>
      </c>
      <c r="B16" s="82">
        <v>1</v>
      </c>
      <c r="C16" s="83" t="s">
        <v>779</v>
      </c>
    </row>
    <row r="17" spans="1:3">
      <c r="A17" s="81">
        <v>43180</v>
      </c>
      <c r="B17" s="82">
        <v>4</v>
      </c>
      <c r="C17" s="83" t="s">
        <v>779</v>
      </c>
    </row>
    <row r="18" spans="1:3">
      <c r="A18" s="81">
        <v>43180</v>
      </c>
      <c r="B18" s="82">
        <v>1</v>
      </c>
      <c r="C18" s="83" t="s">
        <v>780</v>
      </c>
    </row>
    <row r="19" spans="1:3">
      <c r="A19" s="81">
        <v>43182</v>
      </c>
      <c r="B19" s="82">
        <v>2</v>
      </c>
      <c r="C19" s="83" t="s">
        <v>779</v>
      </c>
    </row>
    <row r="20" spans="1:3">
      <c r="A20" s="81">
        <v>43183</v>
      </c>
      <c r="B20" s="82">
        <v>1</v>
      </c>
      <c r="C20" s="83" t="s">
        <v>781</v>
      </c>
    </row>
    <row r="21" spans="1:3">
      <c r="A21" s="81">
        <v>43169</v>
      </c>
      <c r="B21" s="82">
        <v>1</v>
      </c>
      <c r="C21" s="83" t="s">
        <v>782</v>
      </c>
    </row>
    <row r="22" spans="1:3">
      <c r="A22" s="81">
        <v>43183</v>
      </c>
      <c r="B22" s="82">
        <v>2</v>
      </c>
      <c r="C22" s="83" t="s">
        <v>783</v>
      </c>
    </row>
    <row r="23" spans="1:3">
      <c r="A23" s="81">
        <v>43182</v>
      </c>
      <c r="B23" s="82">
        <v>15</v>
      </c>
      <c r="C23" s="83" t="s">
        <v>281</v>
      </c>
    </row>
    <row r="24" spans="1:3">
      <c r="A24" s="81">
        <v>43184</v>
      </c>
      <c r="B24" s="82">
        <v>1</v>
      </c>
      <c r="C24" s="83" t="s">
        <v>784</v>
      </c>
    </row>
    <row r="25" spans="1:3">
      <c r="A25" s="81">
        <v>43184</v>
      </c>
      <c r="B25" s="82">
        <v>1</v>
      </c>
      <c r="C25" s="83" t="s">
        <v>785</v>
      </c>
    </row>
    <row r="26" spans="1:3">
      <c r="A26" s="81">
        <v>43184</v>
      </c>
      <c r="B26" s="82">
        <v>5</v>
      </c>
      <c r="C26" s="83" t="s">
        <v>786</v>
      </c>
    </row>
    <row r="27" spans="1:3">
      <c r="A27" s="81">
        <v>43187</v>
      </c>
      <c r="B27" s="82">
        <v>2</v>
      </c>
      <c r="C27" s="83" t="s">
        <v>787</v>
      </c>
    </row>
    <row r="28" spans="1:3">
      <c r="A28" s="81">
        <v>43187</v>
      </c>
      <c r="B28" s="82">
        <v>5</v>
      </c>
      <c r="C28" s="83" t="s">
        <v>788</v>
      </c>
    </row>
    <row r="29" spans="1:3">
      <c r="A29" s="81">
        <v>43187</v>
      </c>
      <c r="B29" s="82">
        <v>5</v>
      </c>
      <c r="C29" s="83" t="s">
        <v>789</v>
      </c>
    </row>
    <row r="30" spans="1:3">
      <c r="A30" s="81">
        <v>43188</v>
      </c>
      <c r="B30" s="82">
        <v>1</v>
      </c>
      <c r="C30" s="83" t="s">
        <v>790</v>
      </c>
    </row>
    <row r="31" spans="1:3">
      <c r="A31" s="81">
        <v>43189</v>
      </c>
      <c r="B31" s="82">
        <v>1</v>
      </c>
      <c r="C31" s="83" t="s">
        <v>778</v>
      </c>
    </row>
    <row r="32" spans="1:3">
      <c r="A32" s="81">
        <v>43189</v>
      </c>
      <c r="B32" s="82">
        <v>1</v>
      </c>
      <c r="C32" s="83" t="s">
        <v>791</v>
      </c>
    </row>
    <row r="33" spans="1:5">
      <c r="A33" s="81">
        <v>43189</v>
      </c>
      <c r="B33" s="82">
        <v>1</v>
      </c>
      <c r="C33" s="83" t="s">
        <v>792</v>
      </c>
    </row>
    <row r="34" spans="1:5">
      <c r="A34" s="81"/>
    </row>
    <row r="35" spans="1:5">
      <c r="A35" s="81"/>
    </row>
    <row r="36" spans="1:5">
      <c r="A36" s="81"/>
    </row>
    <row r="37" spans="1:5">
      <c r="A37" s="81"/>
    </row>
    <row r="38" spans="1:5">
      <c r="A38" s="81"/>
    </row>
    <row r="39" spans="1:5">
      <c r="C39" s="83" t="s">
        <v>793</v>
      </c>
      <c r="E39" s="83">
        <v>202.46</v>
      </c>
    </row>
    <row r="41" spans="1:5">
      <c r="A41" s="84"/>
      <c r="B41" s="85"/>
      <c r="C41" s="84" t="s">
        <v>794</v>
      </c>
      <c r="D41" s="84"/>
      <c r="E41" s="84">
        <v>335</v>
      </c>
    </row>
    <row r="42" spans="1:5">
      <c r="A42" s="84">
        <v>2</v>
      </c>
      <c r="B42" s="85"/>
      <c r="C42" s="84" t="s">
        <v>795</v>
      </c>
      <c r="D42" s="84" t="s">
        <v>796</v>
      </c>
      <c r="E42" s="84">
        <v>3.99</v>
      </c>
    </row>
    <row r="43" spans="1:5">
      <c r="A43" s="84">
        <v>2</v>
      </c>
      <c r="B43" s="85"/>
      <c r="C43" s="84" t="s">
        <v>797</v>
      </c>
      <c r="D43" s="84" t="s">
        <v>798</v>
      </c>
      <c r="E43" s="84">
        <v>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317-AF6A-764D-80B2-0326A8954AEA}">
  <sheetPr published="0"/>
  <dimension ref="A1:BI234"/>
  <sheetViews>
    <sheetView topLeftCell="C1" zoomScale="200" zoomScaleNormal="200" zoomScalePageLayoutView="150" workbookViewId="0">
      <pane ySplit="1" topLeftCell="A99" activePane="bottomLeft" state="frozen"/>
      <selection activeCell="L128" sqref="L128"/>
      <selection pane="bottomLeft" activeCell="L128" sqref="L128"/>
    </sheetView>
  </sheetViews>
  <sheetFormatPr baseColWidth="10" defaultColWidth="10.6640625" defaultRowHeight="15"/>
  <cols>
    <col min="1" max="1" width="10.6640625" style="7"/>
    <col min="2" max="3" width="4.5" style="7" customWidth="1"/>
    <col min="4" max="4" width="9.1640625" style="7" bestFit="1" customWidth="1"/>
    <col min="5" max="5" width="4.5" style="23" customWidth="1"/>
    <col min="6" max="6" width="11.33203125" style="23" customWidth="1"/>
    <col min="7" max="7" width="23.5" style="7" customWidth="1"/>
    <col min="8" max="8" width="9.5" style="7" customWidth="1"/>
    <col min="9" max="9" width="10.5" style="7" customWidth="1"/>
    <col min="10" max="11" width="12.33203125" style="7" customWidth="1"/>
    <col min="12" max="12" width="7.83203125" style="7" customWidth="1"/>
    <col min="13" max="13" width="10.33203125" style="7" customWidth="1"/>
    <col min="14" max="14" width="7.5" style="7" customWidth="1"/>
    <col min="15" max="18" width="10.6640625" style="7" customWidth="1"/>
    <col min="19" max="19" width="12.33203125" style="7" bestFit="1" customWidth="1"/>
    <col min="20" max="22" width="10.6640625" style="7"/>
    <col min="23" max="23" width="7.5" style="7" customWidth="1"/>
    <col min="24" max="16384" width="10.6640625" style="7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3">
      <c r="A2" s="3" t="s">
        <v>1</v>
      </c>
      <c r="B2" s="3" t="s">
        <v>21</v>
      </c>
      <c r="C2" s="3" t="s">
        <v>21</v>
      </c>
      <c r="D2" s="3">
        <v>0</v>
      </c>
      <c r="E2" s="4" t="s">
        <v>22</v>
      </c>
      <c r="F2" s="4" t="s">
        <v>5</v>
      </c>
      <c r="G2" s="3" t="s">
        <v>23</v>
      </c>
      <c r="H2" s="3" t="s">
        <v>24</v>
      </c>
      <c r="I2" s="3">
        <v>23426</v>
      </c>
      <c r="J2" s="5">
        <v>41959</v>
      </c>
      <c r="K2" s="5">
        <v>41959</v>
      </c>
      <c r="L2" s="6">
        <v>12.5</v>
      </c>
      <c r="M2" s="3">
        <v>1</v>
      </c>
      <c r="N2" s="3">
        <v>1</v>
      </c>
      <c r="O2" s="3">
        <v>12.5</v>
      </c>
      <c r="P2" s="3">
        <v>0.25</v>
      </c>
      <c r="Q2" s="6">
        <f>O2*0.75</f>
        <v>9.375</v>
      </c>
      <c r="R2" s="6">
        <f>Q2/16</f>
        <v>0.5859375</v>
      </c>
      <c r="S2" s="6">
        <v>2</v>
      </c>
      <c r="T2" s="6">
        <f t="shared" ref="T2:T65" si="0">S2-R2</f>
        <v>1.4140625</v>
      </c>
      <c r="U2" s="6">
        <f t="shared" ref="U2:U65" si="1">T2*16</f>
        <v>22.625</v>
      </c>
    </row>
    <row r="3" spans="1:23">
      <c r="A3" s="3" t="s">
        <v>25</v>
      </c>
      <c r="B3" s="3" t="s">
        <v>26</v>
      </c>
      <c r="C3" s="3" t="s">
        <v>26</v>
      </c>
      <c r="D3" s="3">
        <v>16</v>
      </c>
      <c r="E3" s="4" t="s">
        <v>27</v>
      </c>
      <c r="F3" s="4" t="s">
        <v>28</v>
      </c>
      <c r="G3" s="3" t="s">
        <v>29</v>
      </c>
      <c r="H3" s="3" t="s">
        <v>30</v>
      </c>
      <c r="I3" s="3">
        <v>73395</v>
      </c>
      <c r="J3" s="8"/>
      <c r="K3" s="9"/>
      <c r="L3" s="10"/>
      <c r="M3" s="3">
        <v>1</v>
      </c>
      <c r="N3" s="3">
        <v>1</v>
      </c>
      <c r="O3" s="8">
        <v>30.4</v>
      </c>
      <c r="P3" s="8"/>
      <c r="Q3" s="6">
        <f>O3</f>
        <v>30.4</v>
      </c>
      <c r="R3" s="6">
        <f>O3/16</f>
        <v>1.9</v>
      </c>
      <c r="S3" s="6">
        <v>5</v>
      </c>
      <c r="T3" s="6">
        <f t="shared" si="0"/>
        <v>3.1</v>
      </c>
      <c r="U3" s="6">
        <f t="shared" si="1"/>
        <v>49.6</v>
      </c>
    </row>
    <row r="4" spans="1:23">
      <c r="A4" s="3" t="s">
        <v>31</v>
      </c>
      <c r="B4" s="3" t="s">
        <v>21</v>
      </c>
      <c r="C4" s="3" t="s">
        <v>21</v>
      </c>
      <c r="D4" s="3">
        <v>5.2</v>
      </c>
      <c r="E4" s="4" t="s">
        <v>21</v>
      </c>
      <c r="F4" s="4" t="s">
        <v>28</v>
      </c>
      <c r="G4" s="3" t="s">
        <v>29</v>
      </c>
      <c r="H4" s="3" t="s">
        <v>30</v>
      </c>
      <c r="I4" s="3">
        <v>73647</v>
      </c>
      <c r="J4" s="5" t="s">
        <v>28</v>
      </c>
      <c r="K4" s="5">
        <v>41959</v>
      </c>
      <c r="L4" s="6">
        <v>30.4</v>
      </c>
      <c r="M4" s="3">
        <v>1</v>
      </c>
      <c r="N4" s="3">
        <v>1</v>
      </c>
      <c r="O4" s="3">
        <v>30.4</v>
      </c>
      <c r="P4" s="3">
        <v>0.18</v>
      </c>
      <c r="Q4" s="6">
        <f>O4*0.82</f>
        <v>24.927999999999997</v>
      </c>
      <c r="R4" s="6">
        <f>Q4/16</f>
        <v>1.5579999999999998</v>
      </c>
      <c r="S4" s="6">
        <v>5</v>
      </c>
      <c r="T4" s="6">
        <f t="shared" si="0"/>
        <v>3.4420000000000002</v>
      </c>
      <c r="U4" s="6">
        <f t="shared" si="1"/>
        <v>55.072000000000003</v>
      </c>
    </row>
    <row r="5" spans="1:23">
      <c r="A5" s="3" t="s">
        <v>31</v>
      </c>
      <c r="B5" s="3" t="s">
        <v>21</v>
      </c>
      <c r="C5" s="3" t="s">
        <v>21</v>
      </c>
      <c r="D5" s="3">
        <v>27.3</v>
      </c>
      <c r="E5" s="4" t="s">
        <v>22</v>
      </c>
      <c r="F5" s="4" t="s">
        <v>5</v>
      </c>
      <c r="G5" s="3" t="s">
        <v>32</v>
      </c>
      <c r="H5" s="3" t="s">
        <v>33</v>
      </c>
      <c r="I5" s="3">
        <v>23497</v>
      </c>
      <c r="J5" s="5">
        <v>41959</v>
      </c>
      <c r="K5" s="5">
        <v>41959</v>
      </c>
      <c r="L5" s="6">
        <v>11</v>
      </c>
      <c r="M5" s="3">
        <v>1</v>
      </c>
      <c r="N5" s="3">
        <v>2</v>
      </c>
      <c r="O5" s="3">
        <v>11</v>
      </c>
      <c r="P5" s="3">
        <v>0.25</v>
      </c>
      <c r="Q5" s="6">
        <f>O5*0.75</f>
        <v>8.25</v>
      </c>
      <c r="R5" s="6">
        <f>Q5/16</f>
        <v>0.515625</v>
      </c>
      <c r="S5" s="6">
        <v>2</v>
      </c>
      <c r="T5" s="6">
        <f t="shared" si="0"/>
        <v>1.484375</v>
      </c>
      <c r="U5" s="6">
        <f t="shared" si="1"/>
        <v>23.75</v>
      </c>
    </row>
    <row r="6" spans="1:23">
      <c r="A6" s="3" t="s">
        <v>31</v>
      </c>
      <c r="B6" s="3" t="s">
        <v>21</v>
      </c>
      <c r="C6" s="3" t="s">
        <v>21</v>
      </c>
      <c r="D6" s="3">
        <v>2.2000000000000002</v>
      </c>
      <c r="E6" s="4" t="s">
        <v>22</v>
      </c>
      <c r="F6" s="4" t="s">
        <v>5</v>
      </c>
      <c r="G6" s="3" t="s">
        <v>34</v>
      </c>
      <c r="H6" s="3" t="s">
        <v>33</v>
      </c>
      <c r="I6" s="3">
        <v>23563</v>
      </c>
      <c r="J6" s="5">
        <v>41989</v>
      </c>
      <c r="K6" s="5">
        <v>41989</v>
      </c>
      <c r="L6" s="6">
        <v>15</v>
      </c>
      <c r="M6" s="3">
        <v>1</v>
      </c>
      <c r="N6" s="3">
        <v>1</v>
      </c>
      <c r="O6" s="3">
        <v>15</v>
      </c>
      <c r="P6" s="3">
        <v>0.22</v>
      </c>
      <c r="Q6" s="6">
        <f>O6*0.78</f>
        <v>11.700000000000001</v>
      </c>
      <c r="R6" s="6">
        <f>Q6/16</f>
        <v>0.73125000000000007</v>
      </c>
      <c r="S6" s="6">
        <v>2.5</v>
      </c>
      <c r="T6" s="6">
        <f t="shared" si="0"/>
        <v>1.7687499999999998</v>
      </c>
      <c r="U6" s="6">
        <f t="shared" si="1"/>
        <v>28.299999999999997</v>
      </c>
    </row>
    <row r="7" spans="1:23">
      <c r="A7" s="3" t="s">
        <v>31</v>
      </c>
      <c r="B7" s="3" t="s">
        <v>26</v>
      </c>
      <c r="C7" s="3" t="s">
        <v>26</v>
      </c>
      <c r="D7" s="3">
        <v>16.899999999999999</v>
      </c>
      <c r="E7" s="4" t="s">
        <v>22</v>
      </c>
      <c r="F7" s="4" t="s">
        <v>5</v>
      </c>
      <c r="G7" s="3" t="s">
        <v>35</v>
      </c>
      <c r="H7" s="3" t="s">
        <v>36</v>
      </c>
      <c r="I7" s="3">
        <v>54987</v>
      </c>
      <c r="J7" s="5">
        <v>41959</v>
      </c>
      <c r="K7" s="5">
        <v>41959</v>
      </c>
      <c r="L7" s="6">
        <v>22.08</v>
      </c>
      <c r="M7" s="3">
        <v>1</v>
      </c>
      <c r="N7" s="3">
        <v>1</v>
      </c>
      <c r="O7" s="6">
        <f>L7</f>
        <v>22.08</v>
      </c>
      <c r="P7" s="3">
        <v>0.18</v>
      </c>
      <c r="Q7" s="6">
        <f>O7*0.82</f>
        <v>18.105599999999999</v>
      </c>
      <c r="R7" s="6">
        <f>O7/16</f>
        <v>1.38</v>
      </c>
      <c r="S7" s="6">
        <v>2.5</v>
      </c>
      <c r="T7" s="6">
        <f t="shared" si="0"/>
        <v>1.1200000000000001</v>
      </c>
      <c r="U7" s="6">
        <f t="shared" si="1"/>
        <v>17.920000000000002</v>
      </c>
    </row>
    <row r="8" spans="1:23">
      <c r="A8" s="3" t="s">
        <v>31</v>
      </c>
      <c r="B8" s="3" t="s">
        <v>21</v>
      </c>
      <c r="C8" s="3"/>
      <c r="D8" s="3">
        <v>35.799999999999997</v>
      </c>
      <c r="E8" s="4" t="s">
        <v>22</v>
      </c>
      <c r="F8" s="4" t="s">
        <v>5</v>
      </c>
      <c r="G8" s="3" t="s">
        <v>37</v>
      </c>
      <c r="H8" s="3" t="s">
        <v>33</v>
      </c>
      <c r="I8" s="3" t="s">
        <v>38</v>
      </c>
      <c r="J8" s="3" t="s">
        <v>28</v>
      </c>
      <c r="K8" s="5">
        <v>41959</v>
      </c>
      <c r="L8" s="6">
        <v>40</v>
      </c>
      <c r="M8" s="3">
        <v>1</v>
      </c>
      <c r="N8" s="3">
        <v>5</v>
      </c>
      <c r="O8" s="3">
        <v>40</v>
      </c>
      <c r="P8" s="3">
        <v>0.25</v>
      </c>
      <c r="Q8" s="6">
        <f>O8*0.75</f>
        <v>30</v>
      </c>
      <c r="R8" s="6">
        <f>Q8/(5*16)</f>
        <v>0.375</v>
      </c>
      <c r="S8" s="6">
        <v>2.5</v>
      </c>
      <c r="T8" s="6">
        <f t="shared" si="0"/>
        <v>2.125</v>
      </c>
      <c r="U8" s="6">
        <f t="shared" si="1"/>
        <v>34</v>
      </c>
    </row>
    <row r="9" spans="1:23">
      <c r="A9" s="3" t="s">
        <v>31</v>
      </c>
      <c r="B9" s="3" t="s">
        <v>26</v>
      </c>
      <c r="C9" s="3" t="s">
        <v>26</v>
      </c>
      <c r="D9" s="3">
        <v>16.399999999999999</v>
      </c>
      <c r="E9" s="4" t="s">
        <v>26</v>
      </c>
      <c r="F9" s="4" t="s">
        <v>5</v>
      </c>
      <c r="G9" s="3" t="s">
        <v>39</v>
      </c>
      <c r="H9" s="3" t="s">
        <v>30</v>
      </c>
      <c r="I9" s="3">
        <v>73712</v>
      </c>
      <c r="J9" s="3" t="s">
        <v>28</v>
      </c>
      <c r="K9" s="5">
        <v>41989</v>
      </c>
      <c r="L9" s="6">
        <v>17.739999999999998</v>
      </c>
      <c r="M9" s="3">
        <v>1</v>
      </c>
      <c r="N9" s="3">
        <v>1</v>
      </c>
      <c r="O9" s="6">
        <f>L9</f>
        <v>17.739999999999998</v>
      </c>
      <c r="P9" s="3">
        <v>0</v>
      </c>
      <c r="Q9" s="6">
        <f>O9</f>
        <v>17.739999999999998</v>
      </c>
      <c r="R9" s="6">
        <f t="shared" ref="R9:R15" si="2">Q9/16</f>
        <v>1.1087499999999999</v>
      </c>
      <c r="S9" s="6">
        <v>2.5</v>
      </c>
      <c r="T9" s="6">
        <f t="shared" si="0"/>
        <v>1.3912500000000001</v>
      </c>
      <c r="U9" s="6">
        <f t="shared" si="1"/>
        <v>22.26</v>
      </c>
    </row>
    <row r="10" spans="1:23">
      <c r="A10" s="8"/>
      <c r="B10" s="8" t="s">
        <v>21</v>
      </c>
      <c r="C10" s="8"/>
      <c r="D10" s="8"/>
      <c r="E10" s="4" t="s">
        <v>21</v>
      </c>
      <c r="F10" s="4" t="s">
        <v>5</v>
      </c>
      <c r="G10" s="3" t="s">
        <v>40</v>
      </c>
      <c r="H10" s="3" t="s">
        <v>30</v>
      </c>
      <c r="I10" s="8"/>
      <c r="J10" s="3" t="s">
        <v>28</v>
      </c>
      <c r="K10" s="5">
        <v>41989</v>
      </c>
      <c r="L10" s="6">
        <v>17.739999999999998</v>
      </c>
      <c r="M10" s="3">
        <v>1</v>
      </c>
      <c r="N10" s="3">
        <v>1</v>
      </c>
      <c r="O10" s="6">
        <f>L10</f>
        <v>17.739999999999998</v>
      </c>
      <c r="P10" s="3">
        <v>0</v>
      </c>
      <c r="Q10" s="6">
        <f>O10</f>
        <v>17.739999999999998</v>
      </c>
      <c r="R10" s="6">
        <f t="shared" si="2"/>
        <v>1.1087499999999999</v>
      </c>
      <c r="S10" s="6">
        <v>2.5</v>
      </c>
      <c r="T10" s="6">
        <f t="shared" si="0"/>
        <v>1.3912500000000001</v>
      </c>
      <c r="U10" s="6">
        <f t="shared" si="1"/>
        <v>22.26</v>
      </c>
    </row>
    <row r="11" spans="1:23" s="11" customFormat="1">
      <c r="A11" s="3" t="s">
        <v>1</v>
      </c>
      <c r="B11" s="3" t="s">
        <v>21</v>
      </c>
      <c r="C11" s="3" t="s">
        <v>21</v>
      </c>
      <c r="D11" s="3">
        <v>7.3</v>
      </c>
      <c r="E11" s="4" t="s">
        <v>22</v>
      </c>
      <c r="F11" s="4" t="s">
        <v>41</v>
      </c>
      <c r="G11" s="3" t="s">
        <v>42</v>
      </c>
      <c r="H11" s="3" t="s">
        <v>33</v>
      </c>
      <c r="I11" s="3" t="s">
        <v>43</v>
      </c>
      <c r="J11" s="5">
        <v>41959</v>
      </c>
      <c r="K11" s="5">
        <v>41959</v>
      </c>
      <c r="L11" s="6">
        <v>21.5</v>
      </c>
      <c r="M11" s="3">
        <v>1</v>
      </c>
      <c r="N11" s="3">
        <v>2</v>
      </c>
      <c r="O11" s="3">
        <v>21.5</v>
      </c>
      <c r="P11" s="3">
        <v>0.25</v>
      </c>
      <c r="Q11" s="6">
        <f>O11*0.75</f>
        <v>16.125</v>
      </c>
      <c r="R11" s="6">
        <f t="shared" si="2"/>
        <v>1.0078125</v>
      </c>
      <c r="S11" s="6">
        <v>2.75</v>
      </c>
      <c r="T11" s="6">
        <f t="shared" si="0"/>
        <v>1.7421875</v>
      </c>
      <c r="U11" s="6">
        <f t="shared" si="1"/>
        <v>27.875</v>
      </c>
    </row>
    <row r="12" spans="1:23">
      <c r="A12" s="3" t="s">
        <v>31</v>
      </c>
      <c r="B12" s="3" t="s">
        <v>21</v>
      </c>
      <c r="C12" s="3"/>
      <c r="D12" s="3">
        <v>1.3</v>
      </c>
      <c r="E12" s="4" t="s">
        <v>22</v>
      </c>
      <c r="F12" s="4" t="s">
        <v>5</v>
      </c>
      <c r="G12" s="3" t="s">
        <v>44</v>
      </c>
      <c r="H12" s="3" t="s">
        <v>24</v>
      </c>
      <c r="I12" s="3">
        <v>23540</v>
      </c>
      <c r="J12" s="5">
        <v>41959</v>
      </c>
      <c r="K12" s="5">
        <v>41959</v>
      </c>
      <c r="L12" s="6">
        <v>14</v>
      </c>
      <c r="M12" s="3">
        <v>1</v>
      </c>
      <c r="N12" s="3">
        <v>1</v>
      </c>
      <c r="O12" s="3">
        <v>14</v>
      </c>
      <c r="P12" s="3">
        <v>0.25</v>
      </c>
      <c r="Q12" s="6">
        <f>O12*0.75</f>
        <v>10.5</v>
      </c>
      <c r="R12" s="6">
        <f t="shared" si="2"/>
        <v>0.65625</v>
      </c>
      <c r="S12" s="6">
        <v>2.25</v>
      </c>
      <c r="T12" s="6">
        <f t="shared" si="0"/>
        <v>1.59375</v>
      </c>
      <c r="U12" s="6">
        <f t="shared" si="1"/>
        <v>25.5</v>
      </c>
    </row>
    <row r="13" spans="1:23">
      <c r="A13" s="3" t="s">
        <v>31</v>
      </c>
      <c r="B13" s="3" t="s">
        <v>21</v>
      </c>
      <c r="C13" s="3"/>
      <c r="D13" s="3">
        <v>15.1</v>
      </c>
      <c r="E13" s="4" t="s">
        <v>22</v>
      </c>
      <c r="F13" s="4" t="s">
        <v>5</v>
      </c>
      <c r="G13" s="3" t="s">
        <v>45</v>
      </c>
      <c r="H13" s="3" t="s">
        <v>24</v>
      </c>
      <c r="I13" s="3">
        <v>23586</v>
      </c>
      <c r="J13" s="5">
        <v>41959</v>
      </c>
      <c r="K13" s="5">
        <v>41959</v>
      </c>
      <c r="L13" s="6">
        <v>24</v>
      </c>
      <c r="M13" s="3">
        <v>1</v>
      </c>
      <c r="N13" s="3">
        <v>1</v>
      </c>
      <c r="O13" s="3">
        <v>24</v>
      </c>
      <c r="P13" s="3">
        <v>0.25</v>
      </c>
      <c r="Q13" s="6">
        <f>O13*0.75</f>
        <v>18</v>
      </c>
      <c r="R13" s="6">
        <f t="shared" si="2"/>
        <v>1.125</v>
      </c>
      <c r="S13" s="6">
        <v>3.75</v>
      </c>
      <c r="T13" s="6">
        <f t="shared" si="0"/>
        <v>2.625</v>
      </c>
      <c r="U13" s="6">
        <f t="shared" si="1"/>
        <v>42</v>
      </c>
      <c r="V13" s="7" t="s">
        <v>46</v>
      </c>
      <c r="W13" s="7" t="s">
        <v>47</v>
      </c>
    </row>
    <row r="14" spans="1:23">
      <c r="A14" s="3" t="s">
        <v>31</v>
      </c>
      <c r="B14" s="3" t="s">
        <v>21</v>
      </c>
      <c r="C14" s="3" t="s">
        <v>21</v>
      </c>
      <c r="D14" s="3">
        <v>7.5</v>
      </c>
      <c r="E14" s="4" t="s">
        <v>22</v>
      </c>
      <c r="F14" s="4" t="s">
        <v>41</v>
      </c>
      <c r="G14" s="3" t="s">
        <v>48</v>
      </c>
      <c r="H14" s="3" t="s">
        <v>33</v>
      </c>
      <c r="I14" s="3" t="s">
        <v>43</v>
      </c>
      <c r="J14" s="5">
        <v>41959</v>
      </c>
      <c r="K14" s="5">
        <v>41959</v>
      </c>
      <c r="L14" s="6">
        <v>21.5</v>
      </c>
      <c r="M14" s="3">
        <v>1</v>
      </c>
      <c r="N14" s="3">
        <v>2</v>
      </c>
      <c r="O14" s="3">
        <v>21.5</v>
      </c>
      <c r="P14" s="3">
        <v>0.25</v>
      </c>
      <c r="Q14" s="6">
        <f>O14*0.75</f>
        <v>16.125</v>
      </c>
      <c r="R14" s="6">
        <f t="shared" si="2"/>
        <v>1.0078125</v>
      </c>
      <c r="S14" s="6">
        <v>3.5</v>
      </c>
      <c r="T14" s="6">
        <f t="shared" si="0"/>
        <v>2.4921875</v>
      </c>
      <c r="U14" s="6">
        <f t="shared" si="1"/>
        <v>39.875</v>
      </c>
      <c r="V14" s="7" t="s">
        <v>49</v>
      </c>
    </row>
    <row r="15" spans="1:23">
      <c r="A15" s="3" t="s">
        <v>1</v>
      </c>
      <c r="B15" s="3" t="s">
        <v>21</v>
      </c>
      <c r="C15" s="3" t="s">
        <v>21</v>
      </c>
      <c r="D15" s="3">
        <v>0</v>
      </c>
      <c r="E15" s="4" t="s">
        <v>22</v>
      </c>
      <c r="F15" s="4" t="s">
        <v>5</v>
      </c>
      <c r="G15" s="3" t="s">
        <v>50</v>
      </c>
      <c r="H15" s="3" t="s">
        <v>33</v>
      </c>
      <c r="I15" s="3" t="s">
        <v>51</v>
      </c>
      <c r="J15" s="5">
        <v>41959</v>
      </c>
      <c r="K15" s="5">
        <v>41959</v>
      </c>
      <c r="L15" s="6">
        <v>34</v>
      </c>
      <c r="M15" s="3">
        <v>1</v>
      </c>
      <c r="N15" s="3">
        <v>1</v>
      </c>
      <c r="O15" s="3">
        <v>34</v>
      </c>
      <c r="P15" s="3">
        <v>0.25</v>
      </c>
      <c r="Q15" s="6">
        <f>O15*0.75</f>
        <v>25.5</v>
      </c>
      <c r="R15" s="6">
        <f t="shared" si="2"/>
        <v>1.59375</v>
      </c>
      <c r="S15" s="6">
        <v>5.25</v>
      </c>
      <c r="T15" s="6">
        <f t="shared" si="0"/>
        <v>3.65625</v>
      </c>
      <c r="U15" s="6">
        <f t="shared" si="1"/>
        <v>58.5</v>
      </c>
      <c r="V15" s="7" t="s">
        <v>52</v>
      </c>
    </row>
    <row r="16" spans="1:23">
      <c r="A16" s="3" t="s">
        <v>31</v>
      </c>
      <c r="B16" s="3" t="s">
        <v>21</v>
      </c>
      <c r="C16" s="3" t="s">
        <v>21</v>
      </c>
      <c r="D16" s="3">
        <v>21.4</v>
      </c>
      <c r="E16" s="4" t="s">
        <v>21</v>
      </c>
      <c r="F16" s="4" t="s">
        <v>53</v>
      </c>
      <c r="G16" s="3" t="s">
        <v>54</v>
      </c>
      <c r="H16" s="3" t="s">
        <v>55</v>
      </c>
      <c r="I16" s="3">
        <v>54918</v>
      </c>
      <c r="J16" s="3" t="s">
        <v>27</v>
      </c>
      <c r="K16" s="5">
        <v>41989</v>
      </c>
      <c r="L16" s="6">
        <v>8.4600000000000009</v>
      </c>
      <c r="M16" s="3">
        <v>1</v>
      </c>
      <c r="N16" s="3">
        <v>5</v>
      </c>
      <c r="O16" s="3">
        <f>8.46/5</f>
        <v>1.6920000000000002</v>
      </c>
      <c r="P16" s="3">
        <v>0</v>
      </c>
      <c r="Q16" s="6">
        <f>L16</f>
        <v>8.4600000000000009</v>
      </c>
      <c r="R16" s="6">
        <f>L16/(5*16)</f>
        <v>0.10575000000000001</v>
      </c>
      <c r="S16" s="6">
        <v>2.75</v>
      </c>
      <c r="T16" s="6">
        <f t="shared" si="0"/>
        <v>2.64425</v>
      </c>
      <c r="U16" s="6">
        <f t="shared" si="1"/>
        <v>42.308</v>
      </c>
    </row>
    <row r="17" spans="1:22" s="11" customFormat="1">
      <c r="A17" s="3" t="s">
        <v>31</v>
      </c>
      <c r="B17" s="3" t="s">
        <v>26</v>
      </c>
      <c r="C17" s="3" t="s">
        <v>26</v>
      </c>
      <c r="D17" s="3" t="s">
        <v>56</v>
      </c>
      <c r="E17" s="4" t="s">
        <v>26</v>
      </c>
      <c r="F17" s="4" t="s">
        <v>27</v>
      </c>
      <c r="G17" s="3" t="s">
        <v>57</v>
      </c>
      <c r="H17" s="3" t="s">
        <v>24</v>
      </c>
      <c r="I17" s="3" t="s">
        <v>58</v>
      </c>
      <c r="J17" s="5">
        <v>41959</v>
      </c>
      <c r="K17" s="5">
        <v>41959</v>
      </c>
      <c r="L17" s="6">
        <v>28</v>
      </c>
      <c r="M17" s="3">
        <v>1</v>
      </c>
      <c r="N17" s="3">
        <v>5</v>
      </c>
      <c r="O17" s="6">
        <f>L17/5</f>
        <v>5.6</v>
      </c>
      <c r="P17" s="3">
        <v>0.25</v>
      </c>
      <c r="Q17" s="6">
        <f>L17*0.75</f>
        <v>21</v>
      </c>
      <c r="R17" s="6">
        <f>Q17/(5*16)</f>
        <v>0.26250000000000001</v>
      </c>
      <c r="S17" s="6">
        <v>2.75</v>
      </c>
      <c r="T17" s="6">
        <f t="shared" si="0"/>
        <v>2.4874999999999998</v>
      </c>
      <c r="U17" s="6">
        <f t="shared" si="1"/>
        <v>39.799999999999997</v>
      </c>
    </row>
    <row r="18" spans="1:22">
      <c r="A18" s="3" t="s">
        <v>1</v>
      </c>
      <c r="B18" s="3" t="s">
        <v>21</v>
      </c>
      <c r="C18" s="3" t="s">
        <v>21</v>
      </c>
      <c r="D18" s="3">
        <v>0</v>
      </c>
      <c r="E18" s="4" t="s">
        <v>22</v>
      </c>
      <c r="F18" s="4" t="s">
        <v>59</v>
      </c>
      <c r="G18" s="3" t="s">
        <v>60</v>
      </c>
      <c r="H18" s="3" t="s">
        <v>24</v>
      </c>
      <c r="I18" s="3" t="s">
        <v>61</v>
      </c>
      <c r="J18" s="5">
        <v>41959</v>
      </c>
      <c r="K18" s="5">
        <v>41959</v>
      </c>
      <c r="L18" s="6">
        <v>16.5</v>
      </c>
      <c r="M18" s="3">
        <v>1</v>
      </c>
      <c r="N18" s="3">
        <v>1</v>
      </c>
      <c r="O18" s="3">
        <v>18</v>
      </c>
      <c r="P18" s="3">
        <v>0.25</v>
      </c>
      <c r="Q18" s="6">
        <f>O18*0.75</f>
        <v>13.5</v>
      </c>
      <c r="R18" s="6">
        <f t="shared" ref="R18:R60" si="3">Q18/16</f>
        <v>0.84375</v>
      </c>
      <c r="S18" s="6">
        <v>3</v>
      </c>
      <c r="T18" s="6">
        <f t="shared" si="0"/>
        <v>2.15625</v>
      </c>
      <c r="U18" s="6">
        <f t="shared" si="1"/>
        <v>34.5</v>
      </c>
    </row>
    <row r="19" spans="1:22">
      <c r="A19" s="3" t="s">
        <v>31</v>
      </c>
      <c r="B19" s="3" t="s">
        <v>21</v>
      </c>
      <c r="C19" s="3" t="s">
        <v>21</v>
      </c>
      <c r="D19" s="3">
        <v>11.9</v>
      </c>
      <c r="E19" s="4" t="s">
        <v>22</v>
      </c>
      <c r="F19" s="4" t="s">
        <v>5</v>
      </c>
      <c r="G19" s="3" t="s">
        <v>62</v>
      </c>
      <c r="H19" s="3" t="s">
        <v>63</v>
      </c>
      <c r="I19" s="3">
        <v>72765</v>
      </c>
      <c r="J19" s="9">
        <v>41959</v>
      </c>
      <c r="K19" s="9">
        <v>41959</v>
      </c>
      <c r="L19" s="10">
        <v>19.079999999999998</v>
      </c>
      <c r="M19" s="3">
        <v>1</v>
      </c>
      <c r="N19" s="3">
        <v>1</v>
      </c>
      <c r="O19" s="3">
        <v>19.079999999999998</v>
      </c>
      <c r="P19" s="3">
        <v>0.18</v>
      </c>
      <c r="Q19" s="6">
        <f>O19*0.82</f>
        <v>15.645599999999998</v>
      </c>
      <c r="R19" s="6">
        <f t="shared" si="3"/>
        <v>0.97784999999999989</v>
      </c>
      <c r="S19" s="6">
        <v>2</v>
      </c>
      <c r="T19" s="6">
        <f t="shared" si="0"/>
        <v>1.0221500000000001</v>
      </c>
      <c r="U19" s="6">
        <f t="shared" si="1"/>
        <v>16.354400000000002</v>
      </c>
    </row>
    <row r="20" spans="1:22">
      <c r="A20" s="3" t="s">
        <v>31</v>
      </c>
      <c r="B20" s="3" t="s">
        <v>21</v>
      </c>
      <c r="C20" s="3" t="s">
        <v>21</v>
      </c>
      <c r="D20" s="3">
        <v>8.9</v>
      </c>
      <c r="E20" s="4" t="s">
        <v>22</v>
      </c>
      <c r="F20" s="4" t="s">
        <v>5</v>
      </c>
      <c r="G20" s="3" t="s">
        <v>64</v>
      </c>
      <c r="H20" s="3" t="s">
        <v>33</v>
      </c>
      <c r="I20" s="3" t="s">
        <v>65</v>
      </c>
      <c r="J20" s="5">
        <v>41989</v>
      </c>
      <c r="K20" s="5">
        <v>41989</v>
      </c>
      <c r="L20" s="6">
        <v>20</v>
      </c>
      <c r="M20" s="3">
        <v>1</v>
      </c>
      <c r="N20" s="3">
        <v>1</v>
      </c>
      <c r="O20" s="3">
        <v>20</v>
      </c>
      <c r="P20" s="3">
        <v>0.22</v>
      </c>
      <c r="Q20" s="6">
        <f>O20*0.78</f>
        <v>15.600000000000001</v>
      </c>
      <c r="R20" s="6">
        <f t="shared" si="3"/>
        <v>0.97500000000000009</v>
      </c>
      <c r="S20" s="6">
        <v>3.25</v>
      </c>
      <c r="T20" s="6">
        <f t="shared" si="0"/>
        <v>2.2749999999999999</v>
      </c>
      <c r="U20" s="6">
        <f t="shared" si="1"/>
        <v>36.4</v>
      </c>
    </row>
    <row r="21" spans="1:22">
      <c r="A21" s="3" t="s">
        <v>1</v>
      </c>
      <c r="B21" s="3" t="s">
        <v>21</v>
      </c>
      <c r="C21" s="3" t="s">
        <v>21</v>
      </c>
      <c r="D21" s="3">
        <v>0</v>
      </c>
      <c r="E21" s="4" t="s">
        <v>22</v>
      </c>
      <c r="F21" s="4" t="s">
        <v>5</v>
      </c>
      <c r="G21" s="3" t="s">
        <v>66</v>
      </c>
      <c r="H21" s="3" t="s">
        <v>24</v>
      </c>
      <c r="I21" s="3">
        <v>23541</v>
      </c>
      <c r="J21" s="5">
        <v>41959</v>
      </c>
      <c r="K21" s="5">
        <v>41959</v>
      </c>
      <c r="L21" s="6">
        <v>15</v>
      </c>
      <c r="M21" s="3">
        <v>1</v>
      </c>
      <c r="N21" s="3">
        <v>1</v>
      </c>
      <c r="O21" s="3">
        <v>15</v>
      </c>
      <c r="P21" s="3">
        <v>0.25</v>
      </c>
      <c r="Q21" s="6">
        <f>O21*0.75</f>
        <v>11.25</v>
      </c>
      <c r="R21" s="6">
        <f t="shared" si="3"/>
        <v>0.703125</v>
      </c>
      <c r="S21" s="6">
        <v>2.5</v>
      </c>
      <c r="T21" s="6">
        <f t="shared" si="0"/>
        <v>1.796875</v>
      </c>
      <c r="U21" s="6">
        <f t="shared" si="1"/>
        <v>28.75</v>
      </c>
    </row>
    <row r="22" spans="1:22">
      <c r="A22" s="3" t="s">
        <v>31</v>
      </c>
      <c r="B22" s="3" t="s">
        <v>21</v>
      </c>
      <c r="C22" s="3" t="s">
        <v>21</v>
      </c>
      <c r="D22" s="3">
        <v>19.100000000000001</v>
      </c>
      <c r="E22" s="4" t="s">
        <v>22</v>
      </c>
      <c r="F22" s="4" t="s">
        <v>5</v>
      </c>
      <c r="G22" s="3" t="s">
        <v>67</v>
      </c>
      <c r="H22" s="3" t="s">
        <v>33</v>
      </c>
      <c r="I22" s="3" t="s">
        <v>68</v>
      </c>
      <c r="J22" s="5">
        <v>41989</v>
      </c>
      <c r="K22" s="5">
        <v>41989</v>
      </c>
      <c r="L22" s="6">
        <v>14</v>
      </c>
      <c r="M22" s="3">
        <v>1</v>
      </c>
      <c r="N22" s="3">
        <v>3</v>
      </c>
      <c r="O22" s="3">
        <v>14</v>
      </c>
      <c r="P22" s="3">
        <v>0.22</v>
      </c>
      <c r="Q22" s="6">
        <f>O22*0.78</f>
        <v>10.92</v>
      </c>
      <c r="R22" s="6">
        <f t="shared" si="3"/>
        <v>0.6825</v>
      </c>
      <c r="S22" s="6">
        <v>2.25</v>
      </c>
      <c r="T22" s="6">
        <f t="shared" si="0"/>
        <v>1.5674999999999999</v>
      </c>
      <c r="U22" s="6">
        <f t="shared" si="1"/>
        <v>25.08</v>
      </c>
    </row>
    <row r="23" spans="1:22">
      <c r="A23" s="3" t="s">
        <v>1</v>
      </c>
      <c r="B23" s="3" t="s">
        <v>21</v>
      </c>
      <c r="C23" s="3" t="s">
        <v>21</v>
      </c>
      <c r="D23" s="3">
        <v>0</v>
      </c>
      <c r="E23" s="4" t="s">
        <v>22</v>
      </c>
      <c r="F23" s="4" t="s">
        <v>5</v>
      </c>
      <c r="G23" s="3" t="s">
        <v>69</v>
      </c>
      <c r="H23" s="3" t="s">
        <v>24</v>
      </c>
      <c r="I23" s="3">
        <v>23348</v>
      </c>
      <c r="J23" s="5">
        <v>41959</v>
      </c>
      <c r="K23" s="5">
        <v>41959</v>
      </c>
      <c r="L23" s="6">
        <v>23</v>
      </c>
      <c r="M23" s="3">
        <v>1</v>
      </c>
      <c r="N23" s="3">
        <v>1</v>
      </c>
      <c r="O23" s="3">
        <v>23</v>
      </c>
      <c r="P23" s="3">
        <v>0.25</v>
      </c>
      <c r="Q23" s="6">
        <f t="shared" ref="Q23:Q34" si="4">O23*0.75</f>
        <v>17.25</v>
      </c>
      <c r="R23" s="6">
        <f t="shared" si="3"/>
        <v>1.078125</v>
      </c>
      <c r="S23" s="6">
        <v>3.5</v>
      </c>
      <c r="T23" s="6">
        <f t="shared" si="0"/>
        <v>2.421875</v>
      </c>
      <c r="U23" s="6">
        <f t="shared" si="1"/>
        <v>38.75</v>
      </c>
    </row>
    <row r="24" spans="1:22">
      <c r="A24" s="3" t="s">
        <v>1</v>
      </c>
      <c r="B24" s="3" t="s">
        <v>21</v>
      </c>
      <c r="C24" s="3" t="s">
        <v>21</v>
      </c>
      <c r="D24" s="3" t="s">
        <v>26</v>
      </c>
      <c r="E24" s="4" t="s">
        <v>22</v>
      </c>
      <c r="F24" s="4" t="s">
        <v>5</v>
      </c>
      <c r="G24" s="3" t="s">
        <v>70</v>
      </c>
      <c r="H24" s="3" t="s">
        <v>24</v>
      </c>
      <c r="I24" s="3" t="s">
        <v>71</v>
      </c>
      <c r="J24" s="5">
        <v>41959</v>
      </c>
      <c r="K24" s="5">
        <v>41959</v>
      </c>
      <c r="L24" s="6">
        <v>9</v>
      </c>
      <c r="M24" s="3">
        <v>1</v>
      </c>
      <c r="N24" s="3">
        <v>1</v>
      </c>
      <c r="O24" s="3">
        <v>9</v>
      </c>
      <c r="P24" s="3">
        <v>0.25</v>
      </c>
      <c r="Q24" s="6">
        <f t="shared" si="4"/>
        <v>6.75</v>
      </c>
      <c r="R24" s="6">
        <f t="shared" si="3"/>
        <v>0.421875</v>
      </c>
      <c r="S24" s="6">
        <v>1.75</v>
      </c>
      <c r="T24" s="6">
        <f t="shared" si="0"/>
        <v>1.328125</v>
      </c>
      <c r="U24" s="6">
        <f t="shared" si="1"/>
        <v>21.25</v>
      </c>
      <c r="V24" s="7" t="s">
        <v>72</v>
      </c>
    </row>
    <row r="25" spans="1:22">
      <c r="A25" s="3" t="s">
        <v>1</v>
      </c>
      <c r="B25" s="3" t="s">
        <v>21</v>
      </c>
      <c r="C25" s="3" t="s">
        <v>21</v>
      </c>
      <c r="D25" s="3" t="s">
        <v>26</v>
      </c>
      <c r="E25" s="4" t="s">
        <v>22</v>
      </c>
      <c r="F25" s="4" t="s">
        <v>5</v>
      </c>
      <c r="G25" s="3" t="s">
        <v>73</v>
      </c>
      <c r="H25" s="3" t="s">
        <v>24</v>
      </c>
      <c r="I25" s="3">
        <v>22981</v>
      </c>
      <c r="J25" s="5">
        <v>41959</v>
      </c>
      <c r="K25" s="5">
        <v>41959</v>
      </c>
      <c r="L25" s="6">
        <v>14</v>
      </c>
      <c r="M25" s="3">
        <v>1</v>
      </c>
      <c r="N25" s="3">
        <v>1</v>
      </c>
      <c r="O25" s="3">
        <v>14</v>
      </c>
      <c r="P25" s="3">
        <v>0.25</v>
      </c>
      <c r="Q25" s="6">
        <f t="shared" si="4"/>
        <v>10.5</v>
      </c>
      <c r="R25" s="6">
        <f t="shared" si="3"/>
        <v>0.65625</v>
      </c>
      <c r="S25" s="6">
        <v>2.25</v>
      </c>
      <c r="T25" s="6">
        <f t="shared" si="0"/>
        <v>1.59375</v>
      </c>
      <c r="U25" s="6">
        <f t="shared" si="1"/>
        <v>25.5</v>
      </c>
    </row>
    <row r="26" spans="1:22">
      <c r="A26" s="3" t="s">
        <v>31</v>
      </c>
      <c r="B26" s="3" t="s">
        <v>21</v>
      </c>
      <c r="C26" s="3" t="s">
        <v>26</v>
      </c>
      <c r="D26" s="3">
        <v>16.899999999999999</v>
      </c>
      <c r="E26" s="4" t="s">
        <v>22</v>
      </c>
      <c r="F26" s="4" t="s">
        <v>5</v>
      </c>
      <c r="G26" s="3" t="s">
        <v>74</v>
      </c>
      <c r="H26" s="3" t="s">
        <v>33</v>
      </c>
      <c r="I26" s="3">
        <v>23494</v>
      </c>
      <c r="J26" s="5">
        <v>41959</v>
      </c>
      <c r="K26" s="5">
        <v>41959</v>
      </c>
      <c r="L26" s="6">
        <v>18</v>
      </c>
      <c r="M26" s="3">
        <v>1</v>
      </c>
      <c r="N26" s="3">
        <v>1</v>
      </c>
      <c r="O26" s="3">
        <v>18</v>
      </c>
      <c r="P26" s="3">
        <v>0.25</v>
      </c>
      <c r="Q26" s="6">
        <f t="shared" si="4"/>
        <v>13.5</v>
      </c>
      <c r="R26" s="6">
        <f t="shared" si="3"/>
        <v>0.84375</v>
      </c>
      <c r="S26" s="6">
        <v>3</v>
      </c>
      <c r="T26" s="6">
        <f t="shared" si="0"/>
        <v>2.15625</v>
      </c>
      <c r="U26" s="6">
        <f t="shared" si="1"/>
        <v>34.5</v>
      </c>
    </row>
    <row r="27" spans="1:22">
      <c r="A27" s="3" t="s">
        <v>31</v>
      </c>
      <c r="B27" s="3" t="s">
        <v>21</v>
      </c>
      <c r="C27" s="3" t="s">
        <v>21</v>
      </c>
      <c r="D27" s="3">
        <v>28.6</v>
      </c>
      <c r="E27" s="4" t="s">
        <v>22</v>
      </c>
      <c r="F27" s="4" t="s">
        <v>5</v>
      </c>
      <c r="G27" s="3" t="s">
        <v>74</v>
      </c>
      <c r="H27" s="3" t="s">
        <v>33</v>
      </c>
      <c r="I27" s="3">
        <v>23494</v>
      </c>
      <c r="J27" s="5">
        <v>41959</v>
      </c>
      <c r="K27" s="5">
        <v>41959</v>
      </c>
      <c r="L27" s="6">
        <v>18</v>
      </c>
      <c r="M27" s="3">
        <v>1</v>
      </c>
      <c r="N27" s="3">
        <v>2</v>
      </c>
      <c r="O27" s="3">
        <v>18</v>
      </c>
      <c r="P27" s="3">
        <v>0.25</v>
      </c>
      <c r="Q27" s="6">
        <f t="shared" si="4"/>
        <v>13.5</v>
      </c>
      <c r="R27" s="6">
        <f t="shared" si="3"/>
        <v>0.84375</v>
      </c>
      <c r="S27" s="6">
        <v>3</v>
      </c>
      <c r="T27" s="6">
        <f t="shared" si="0"/>
        <v>2.15625</v>
      </c>
      <c r="U27" s="6">
        <f t="shared" si="1"/>
        <v>34.5</v>
      </c>
    </row>
    <row r="28" spans="1:22">
      <c r="A28" s="3" t="s">
        <v>1</v>
      </c>
      <c r="B28" s="3" t="s">
        <v>21</v>
      </c>
      <c r="C28" s="3" t="s">
        <v>21</v>
      </c>
      <c r="D28" s="3">
        <v>0</v>
      </c>
      <c r="E28" s="4" t="s">
        <v>22</v>
      </c>
      <c r="F28" s="4" t="s">
        <v>5</v>
      </c>
      <c r="G28" s="3" t="s">
        <v>75</v>
      </c>
      <c r="H28" s="3" t="s">
        <v>24</v>
      </c>
      <c r="I28" s="3" t="s">
        <v>76</v>
      </c>
      <c r="J28" s="5">
        <v>41959</v>
      </c>
      <c r="K28" s="5">
        <v>41959</v>
      </c>
      <c r="L28" s="6">
        <v>9.5</v>
      </c>
      <c r="M28" s="3">
        <v>1</v>
      </c>
      <c r="N28" s="3">
        <v>1</v>
      </c>
      <c r="O28" s="3">
        <v>9.5</v>
      </c>
      <c r="P28" s="3">
        <v>0.25</v>
      </c>
      <c r="Q28" s="6">
        <f t="shared" si="4"/>
        <v>7.125</v>
      </c>
      <c r="R28" s="6">
        <f t="shared" si="3"/>
        <v>0.4453125</v>
      </c>
      <c r="S28" s="6">
        <v>2</v>
      </c>
      <c r="T28" s="6">
        <f t="shared" si="0"/>
        <v>1.5546875</v>
      </c>
      <c r="U28" s="6">
        <f t="shared" si="1"/>
        <v>24.875</v>
      </c>
      <c r="V28" s="7" t="s">
        <v>77</v>
      </c>
    </row>
    <row r="29" spans="1:22">
      <c r="A29" s="3" t="s">
        <v>31</v>
      </c>
      <c r="B29" s="3" t="s">
        <v>21</v>
      </c>
      <c r="C29" s="3" t="s">
        <v>21</v>
      </c>
      <c r="D29" s="3">
        <v>26</v>
      </c>
      <c r="E29" s="4" t="s">
        <v>22</v>
      </c>
      <c r="F29" s="4" t="s">
        <v>5</v>
      </c>
      <c r="G29" s="3" t="s">
        <v>78</v>
      </c>
      <c r="H29" s="3" t="s">
        <v>24</v>
      </c>
      <c r="I29" s="3">
        <v>23118</v>
      </c>
      <c r="J29" s="5">
        <v>41959</v>
      </c>
      <c r="K29" s="5">
        <v>41959</v>
      </c>
      <c r="L29" s="6">
        <v>23</v>
      </c>
      <c r="M29" s="3">
        <v>1</v>
      </c>
      <c r="N29" s="3">
        <v>2</v>
      </c>
      <c r="O29" s="3">
        <v>23</v>
      </c>
      <c r="P29" s="3">
        <v>0.25</v>
      </c>
      <c r="Q29" s="6">
        <f t="shared" si="4"/>
        <v>17.25</v>
      </c>
      <c r="R29" s="6">
        <f t="shared" si="3"/>
        <v>1.078125</v>
      </c>
      <c r="S29" s="6">
        <v>3.5</v>
      </c>
      <c r="T29" s="6">
        <f t="shared" si="0"/>
        <v>2.421875</v>
      </c>
      <c r="U29" s="6">
        <f t="shared" si="1"/>
        <v>38.75</v>
      </c>
      <c r="V29" s="7" t="s">
        <v>79</v>
      </c>
    </row>
    <row r="30" spans="1:22" s="11" customFormat="1">
      <c r="A30" s="3" t="s">
        <v>31</v>
      </c>
      <c r="B30" s="3" t="s">
        <v>21</v>
      </c>
      <c r="C30" s="3" t="s">
        <v>21</v>
      </c>
      <c r="D30" s="3">
        <v>8</v>
      </c>
      <c r="E30" s="4" t="s">
        <v>22</v>
      </c>
      <c r="F30" s="4" t="s">
        <v>41</v>
      </c>
      <c r="G30" s="3" t="s">
        <v>80</v>
      </c>
      <c r="H30" s="3" t="s">
        <v>33</v>
      </c>
      <c r="I30" s="3">
        <v>23498</v>
      </c>
      <c r="J30" s="5">
        <v>41989</v>
      </c>
      <c r="K30" s="5">
        <v>41989</v>
      </c>
      <c r="L30" s="6">
        <v>9.5</v>
      </c>
      <c r="M30" s="3">
        <v>1</v>
      </c>
      <c r="N30" s="3">
        <v>1</v>
      </c>
      <c r="O30" s="3">
        <v>9.5</v>
      </c>
      <c r="P30" s="3">
        <v>0.25</v>
      </c>
      <c r="Q30" s="6">
        <f t="shared" si="4"/>
        <v>7.125</v>
      </c>
      <c r="R30" s="6">
        <f t="shared" si="3"/>
        <v>0.4453125</v>
      </c>
      <c r="S30" s="6">
        <v>3.5</v>
      </c>
      <c r="T30" s="6">
        <f t="shared" si="0"/>
        <v>3.0546875</v>
      </c>
      <c r="U30" s="6">
        <f t="shared" si="1"/>
        <v>48.875</v>
      </c>
    </row>
    <row r="31" spans="1:22" s="11" customFormat="1">
      <c r="A31" s="3" t="s">
        <v>31</v>
      </c>
      <c r="B31" s="3" t="s">
        <v>26</v>
      </c>
      <c r="C31" s="3" t="s">
        <v>26</v>
      </c>
      <c r="D31" s="3">
        <v>16.3</v>
      </c>
      <c r="E31" s="4" t="s">
        <v>21</v>
      </c>
      <c r="F31" s="4" t="s">
        <v>41</v>
      </c>
      <c r="G31" s="3" t="s">
        <v>81</v>
      </c>
      <c r="H31" s="3" t="s">
        <v>24</v>
      </c>
      <c r="I31" s="3">
        <v>23498</v>
      </c>
      <c r="J31" s="5">
        <v>41959</v>
      </c>
      <c r="K31" s="5">
        <v>41959</v>
      </c>
      <c r="L31" s="6">
        <v>9.5</v>
      </c>
      <c r="M31" s="3">
        <v>1</v>
      </c>
      <c r="N31" s="3">
        <v>1</v>
      </c>
      <c r="O31" s="3">
        <v>9.5</v>
      </c>
      <c r="P31" s="3">
        <v>0.25</v>
      </c>
      <c r="Q31" s="6">
        <f t="shared" si="4"/>
        <v>7.125</v>
      </c>
      <c r="R31" s="6">
        <f t="shared" si="3"/>
        <v>0.4453125</v>
      </c>
      <c r="S31" s="6">
        <v>3.5</v>
      </c>
      <c r="T31" s="6">
        <f t="shared" si="0"/>
        <v>3.0546875</v>
      </c>
      <c r="U31" s="6">
        <f t="shared" si="1"/>
        <v>48.875</v>
      </c>
    </row>
    <row r="32" spans="1:22">
      <c r="A32" s="3" t="s">
        <v>31</v>
      </c>
      <c r="B32" s="3" t="s">
        <v>21</v>
      </c>
      <c r="C32" s="3" t="s">
        <v>21</v>
      </c>
      <c r="D32" s="3">
        <v>7</v>
      </c>
      <c r="E32" s="4" t="s">
        <v>22</v>
      </c>
      <c r="F32" s="4" t="s">
        <v>5</v>
      </c>
      <c r="G32" s="3" t="s">
        <v>82</v>
      </c>
      <c r="H32" s="3" t="s">
        <v>24</v>
      </c>
      <c r="I32" s="3" t="s">
        <v>83</v>
      </c>
      <c r="J32" s="5">
        <v>41959</v>
      </c>
      <c r="K32" s="5">
        <v>41959</v>
      </c>
      <c r="L32" s="6">
        <v>24.5</v>
      </c>
      <c r="M32" s="3">
        <v>1</v>
      </c>
      <c r="N32" s="3">
        <v>1</v>
      </c>
      <c r="O32" s="6">
        <f>L32</f>
        <v>24.5</v>
      </c>
      <c r="P32" s="3">
        <v>0.25</v>
      </c>
      <c r="Q32" s="6">
        <f t="shared" si="4"/>
        <v>18.375</v>
      </c>
      <c r="R32" s="6">
        <f t="shared" si="3"/>
        <v>1.1484375</v>
      </c>
      <c r="S32" s="6">
        <v>2</v>
      </c>
      <c r="T32" s="6">
        <f t="shared" si="0"/>
        <v>0.8515625</v>
      </c>
      <c r="U32" s="6">
        <f t="shared" si="1"/>
        <v>13.625</v>
      </c>
    </row>
    <row r="33" spans="1:23">
      <c r="A33" s="3" t="s">
        <v>1</v>
      </c>
      <c r="B33" s="3" t="s">
        <v>21</v>
      </c>
      <c r="C33" s="3" t="s">
        <v>21</v>
      </c>
      <c r="D33" s="3">
        <v>0</v>
      </c>
      <c r="E33" s="4" t="s">
        <v>22</v>
      </c>
      <c r="F33" s="4" t="s">
        <v>5</v>
      </c>
      <c r="G33" s="3" t="s">
        <v>84</v>
      </c>
      <c r="H33" s="3" t="s">
        <v>33</v>
      </c>
      <c r="I33" s="3" t="s">
        <v>85</v>
      </c>
      <c r="J33" s="5">
        <v>41989</v>
      </c>
      <c r="K33" s="5">
        <v>41989</v>
      </c>
      <c r="L33" s="6">
        <v>9</v>
      </c>
      <c r="M33" s="3">
        <v>2</v>
      </c>
      <c r="N33" s="3">
        <v>1</v>
      </c>
      <c r="O33" s="3">
        <v>9</v>
      </c>
      <c r="P33" s="3">
        <v>0.25</v>
      </c>
      <c r="Q33" s="6">
        <f t="shared" si="4"/>
        <v>6.75</v>
      </c>
      <c r="R33" s="6">
        <f t="shared" si="3"/>
        <v>0.421875</v>
      </c>
      <c r="S33" s="6">
        <v>3.25</v>
      </c>
      <c r="T33" s="6">
        <f t="shared" si="0"/>
        <v>2.828125</v>
      </c>
      <c r="U33" s="6">
        <f t="shared" si="1"/>
        <v>45.25</v>
      </c>
    </row>
    <row r="34" spans="1:23">
      <c r="A34" s="3" t="s">
        <v>31</v>
      </c>
      <c r="B34" s="3" t="s">
        <v>21</v>
      </c>
      <c r="C34" s="3" t="s">
        <v>21</v>
      </c>
      <c r="D34" s="3">
        <v>8.1999999999999993</v>
      </c>
      <c r="E34" s="4" t="s">
        <v>22</v>
      </c>
      <c r="F34" s="4" t="s">
        <v>5</v>
      </c>
      <c r="G34" s="3" t="s">
        <v>86</v>
      </c>
      <c r="H34" s="3" t="s">
        <v>24</v>
      </c>
      <c r="I34" s="3">
        <v>23484</v>
      </c>
      <c r="J34" s="5">
        <v>41959</v>
      </c>
      <c r="K34" s="5">
        <v>41959</v>
      </c>
      <c r="L34" s="6">
        <v>10.5</v>
      </c>
      <c r="M34" s="3">
        <v>1</v>
      </c>
      <c r="N34" s="3">
        <v>1</v>
      </c>
      <c r="O34" s="3">
        <v>10.5</v>
      </c>
      <c r="P34" s="3">
        <v>0.25</v>
      </c>
      <c r="Q34" s="6">
        <f t="shared" si="4"/>
        <v>7.875</v>
      </c>
      <c r="R34" s="6">
        <f t="shared" si="3"/>
        <v>0.4921875</v>
      </c>
      <c r="S34" s="6">
        <v>2</v>
      </c>
      <c r="T34" s="6">
        <f t="shared" si="0"/>
        <v>1.5078125</v>
      </c>
      <c r="U34" s="6">
        <f t="shared" si="1"/>
        <v>24.125</v>
      </c>
      <c r="W34" s="7" t="s">
        <v>87</v>
      </c>
    </row>
    <row r="35" spans="1:23">
      <c r="A35" s="3" t="s">
        <v>31</v>
      </c>
      <c r="B35" s="3" t="s">
        <v>21</v>
      </c>
      <c r="C35" s="3"/>
      <c r="D35" s="3">
        <v>7.5</v>
      </c>
      <c r="E35" s="4" t="s">
        <v>22</v>
      </c>
      <c r="F35" s="4" t="s">
        <v>5</v>
      </c>
      <c r="G35" s="3" t="s">
        <v>88</v>
      </c>
      <c r="H35" s="3" t="s">
        <v>33</v>
      </c>
      <c r="I35" s="3" t="s">
        <v>89</v>
      </c>
      <c r="J35" s="5">
        <v>41989</v>
      </c>
      <c r="K35" s="5">
        <v>41989</v>
      </c>
      <c r="L35" s="6">
        <v>23</v>
      </c>
      <c r="M35" s="3">
        <v>2</v>
      </c>
      <c r="N35" s="3">
        <v>1</v>
      </c>
      <c r="O35" s="3">
        <v>18.399999999999999</v>
      </c>
      <c r="P35" s="3">
        <v>0.25</v>
      </c>
      <c r="Q35" s="6">
        <f>L35*P35</f>
        <v>5.75</v>
      </c>
      <c r="R35" s="6">
        <f t="shared" si="3"/>
        <v>0.359375</v>
      </c>
      <c r="S35" s="6">
        <v>3.5</v>
      </c>
      <c r="T35" s="6">
        <f t="shared" si="0"/>
        <v>3.140625</v>
      </c>
      <c r="U35" s="6">
        <f t="shared" si="1"/>
        <v>50.25</v>
      </c>
    </row>
    <row r="36" spans="1:23">
      <c r="A36" s="3" t="s">
        <v>31</v>
      </c>
      <c r="B36" s="3" t="s">
        <v>26</v>
      </c>
      <c r="C36" s="3" t="s">
        <v>26</v>
      </c>
      <c r="D36" s="3">
        <v>16.399999999999999</v>
      </c>
      <c r="E36" s="4" t="s">
        <v>26</v>
      </c>
      <c r="F36" s="4" t="s">
        <v>5</v>
      </c>
      <c r="G36" s="3" t="s">
        <v>90</v>
      </c>
      <c r="H36" s="3" t="s">
        <v>24</v>
      </c>
      <c r="I36" s="3">
        <v>23338</v>
      </c>
      <c r="J36" s="5">
        <v>41959</v>
      </c>
      <c r="K36" s="5">
        <v>41959</v>
      </c>
      <c r="L36" s="6">
        <v>11.5</v>
      </c>
      <c r="M36" s="3">
        <v>1</v>
      </c>
      <c r="N36" s="3">
        <v>1</v>
      </c>
      <c r="O36" s="3">
        <v>11.5</v>
      </c>
      <c r="P36" s="3">
        <v>0.25</v>
      </c>
      <c r="Q36" s="6">
        <f>O36*0.75</f>
        <v>8.625</v>
      </c>
      <c r="R36" s="6">
        <f t="shared" si="3"/>
        <v>0.5390625</v>
      </c>
      <c r="S36" s="6">
        <v>2</v>
      </c>
      <c r="T36" s="6">
        <f t="shared" si="0"/>
        <v>1.4609375</v>
      </c>
      <c r="U36" s="6">
        <f t="shared" si="1"/>
        <v>23.375</v>
      </c>
      <c r="V36" s="7" t="s">
        <v>91</v>
      </c>
    </row>
    <row r="37" spans="1:23">
      <c r="A37" s="3" t="s">
        <v>31</v>
      </c>
      <c r="B37" s="3" t="s">
        <v>21</v>
      </c>
      <c r="C37" s="3" t="s">
        <v>21</v>
      </c>
      <c r="D37" s="3">
        <v>28.7</v>
      </c>
      <c r="E37" s="4" t="s">
        <v>21</v>
      </c>
      <c r="F37" s="4" t="s">
        <v>5</v>
      </c>
      <c r="G37" s="3" t="s">
        <v>90</v>
      </c>
      <c r="H37" s="3" t="s">
        <v>33</v>
      </c>
      <c r="I37" s="3">
        <v>23338</v>
      </c>
      <c r="J37" s="5">
        <v>41989</v>
      </c>
      <c r="K37" s="5">
        <v>41989</v>
      </c>
      <c r="L37" s="6">
        <v>11.5</v>
      </c>
      <c r="M37" s="3">
        <v>1</v>
      </c>
      <c r="N37" s="3">
        <v>2</v>
      </c>
      <c r="O37" s="3">
        <v>11.5</v>
      </c>
      <c r="P37" s="3">
        <v>0.25</v>
      </c>
      <c r="Q37" s="6">
        <f>O37*0.75</f>
        <v>8.625</v>
      </c>
      <c r="R37" s="6">
        <f t="shared" si="3"/>
        <v>0.5390625</v>
      </c>
      <c r="S37" s="6">
        <v>2</v>
      </c>
      <c r="T37" s="6">
        <f t="shared" si="0"/>
        <v>1.4609375</v>
      </c>
      <c r="U37" s="6">
        <f t="shared" si="1"/>
        <v>23.375</v>
      </c>
    </row>
    <row r="38" spans="1:23" s="11" customFormat="1">
      <c r="A38" s="3" t="s">
        <v>1</v>
      </c>
      <c r="B38" s="3" t="s">
        <v>21</v>
      </c>
      <c r="C38" s="3" t="s">
        <v>21</v>
      </c>
      <c r="D38" s="3">
        <v>0</v>
      </c>
      <c r="E38" s="4" t="s">
        <v>22</v>
      </c>
      <c r="F38" s="4" t="s">
        <v>27</v>
      </c>
      <c r="G38" s="3" t="s">
        <v>92</v>
      </c>
      <c r="H38" s="3" t="s">
        <v>93</v>
      </c>
      <c r="I38" s="3" t="s">
        <v>27</v>
      </c>
      <c r="J38" s="5">
        <v>41959</v>
      </c>
      <c r="K38" s="5">
        <v>41959</v>
      </c>
      <c r="L38" s="6">
        <v>4.7</v>
      </c>
      <c r="M38" s="3">
        <v>1</v>
      </c>
      <c r="N38" s="3">
        <v>1</v>
      </c>
      <c r="O38" s="3">
        <v>4.7</v>
      </c>
      <c r="P38" s="3">
        <v>0.18</v>
      </c>
      <c r="Q38" s="6">
        <f>O38*0.82</f>
        <v>3.8540000000000001</v>
      </c>
      <c r="R38" s="6">
        <f t="shared" si="3"/>
        <v>0.24087500000000001</v>
      </c>
      <c r="S38" s="6">
        <v>1.75</v>
      </c>
      <c r="T38" s="6">
        <f t="shared" si="0"/>
        <v>1.509125</v>
      </c>
      <c r="U38" s="6">
        <f t="shared" si="1"/>
        <v>24.146000000000001</v>
      </c>
    </row>
    <row r="39" spans="1:23">
      <c r="A39" s="3" t="s">
        <v>31</v>
      </c>
      <c r="B39" s="3" t="s">
        <v>21</v>
      </c>
      <c r="C39" s="3" t="s">
        <v>21</v>
      </c>
      <c r="D39" s="3">
        <v>15.8</v>
      </c>
      <c r="E39" s="4" t="s">
        <v>22</v>
      </c>
      <c r="F39" s="4" t="s">
        <v>5</v>
      </c>
      <c r="G39" s="3" t="s">
        <v>94</v>
      </c>
      <c r="H39" s="3" t="s">
        <v>24</v>
      </c>
      <c r="I39" s="3" t="s">
        <v>95</v>
      </c>
      <c r="J39" s="5">
        <v>41959</v>
      </c>
      <c r="K39" s="5">
        <v>41959</v>
      </c>
      <c r="L39" s="6">
        <v>30</v>
      </c>
      <c r="M39" s="3">
        <v>1</v>
      </c>
      <c r="N39" s="3">
        <v>2</v>
      </c>
      <c r="O39" s="3">
        <v>30</v>
      </c>
      <c r="P39" s="3">
        <v>0.25</v>
      </c>
      <c r="Q39" s="6">
        <f>O39*0.75</f>
        <v>22.5</v>
      </c>
      <c r="R39" s="6">
        <f t="shared" si="3"/>
        <v>1.40625</v>
      </c>
      <c r="S39" s="6">
        <v>4.75</v>
      </c>
      <c r="T39" s="6">
        <f t="shared" si="0"/>
        <v>3.34375</v>
      </c>
      <c r="U39" s="6">
        <f t="shared" si="1"/>
        <v>53.5</v>
      </c>
    </row>
    <row r="40" spans="1:23">
      <c r="A40" s="3" t="s">
        <v>31</v>
      </c>
      <c r="B40" s="3" t="s">
        <v>21</v>
      </c>
      <c r="C40" s="3" t="s">
        <v>21</v>
      </c>
      <c r="D40" s="3">
        <v>25.8</v>
      </c>
      <c r="E40" s="4" t="s">
        <v>22</v>
      </c>
      <c r="F40" s="4" t="s">
        <v>5</v>
      </c>
      <c r="G40" s="3" t="s">
        <v>96</v>
      </c>
      <c r="H40" s="3" t="s">
        <v>24</v>
      </c>
      <c r="I40" s="3" t="s">
        <v>97</v>
      </c>
      <c r="J40" s="5">
        <v>41959</v>
      </c>
      <c r="K40" s="5">
        <v>41959</v>
      </c>
      <c r="L40" s="6">
        <v>14</v>
      </c>
      <c r="M40" s="3">
        <v>1</v>
      </c>
      <c r="N40" s="3">
        <v>2</v>
      </c>
      <c r="O40" s="3">
        <v>14</v>
      </c>
      <c r="P40" s="3">
        <v>0.25</v>
      </c>
      <c r="Q40" s="6">
        <f>O40*0.75</f>
        <v>10.5</v>
      </c>
      <c r="R40" s="6">
        <f t="shared" si="3"/>
        <v>0.65625</v>
      </c>
      <c r="S40" s="6">
        <v>2.25</v>
      </c>
      <c r="T40" s="6">
        <f t="shared" si="0"/>
        <v>1.59375</v>
      </c>
      <c r="U40" s="6">
        <f t="shared" si="1"/>
        <v>25.5</v>
      </c>
    </row>
    <row r="41" spans="1:23">
      <c r="A41" s="3" t="s">
        <v>31</v>
      </c>
      <c r="B41" s="3" t="s">
        <v>21</v>
      </c>
      <c r="C41" s="3" t="s">
        <v>21</v>
      </c>
      <c r="D41" s="3">
        <v>9.6999999999999993</v>
      </c>
      <c r="E41" s="4" t="s">
        <v>22</v>
      </c>
      <c r="F41" s="4" t="s">
        <v>5</v>
      </c>
      <c r="G41" s="3" t="s">
        <v>98</v>
      </c>
      <c r="H41" s="3" t="s">
        <v>30</v>
      </c>
      <c r="I41" s="3">
        <v>73036</v>
      </c>
      <c r="J41" s="5">
        <v>41959</v>
      </c>
      <c r="K41" s="5">
        <v>41959</v>
      </c>
      <c r="L41" s="3">
        <v>25.65</v>
      </c>
      <c r="M41" s="3">
        <v>1</v>
      </c>
      <c r="N41" s="3">
        <v>1</v>
      </c>
      <c r="O41" s="6">
        <f>L41</f>
        <v>25.65</v>
      </c>
      <c r="P41" s="3">
        <v>0.18</v>
      </c>
      <c r="Q41" s="6">
        <f>O41*0.82</f>
        <v>21.032999999999998</v>
      </c>
      <c r="R41" s="6">
        <f t="shared" si="3"/>
        <v>1.3145624999999999</v>
      </c>
      <c r="S41" s="6">
        <v>2.75</v>
      </c>
      <c r="T41" s="6">
        <f t="shared" si="0"/>
        <v>1.4354375000000001</v>
      </c>
      <c r="U41" s="6">
        <f t="shared" si="1"/>
        <v>22.967000000000002</v>
      </c>
    </row>
    <row r="42" spans="1:23">
      <c r="A42" s="3" t="s">
        <v>31</v>
      </c>
      <c r="B42" s="3" t="s">
        <v>26</v>
      </c>
      <c r="C42" s="3" t="s">
        <v>99</v>
      </c>
      <c r="D42" s="3">
        <v>16.899999999999999</v>
      </c>
      <c r="E42" s="4" t="s">
        <v>21</v>
      </c>
      <c r="F42" s="4" t="s">
        <v>5</v>
      </c>
      <c r="G42" s="3" t="s">
        <v>98</v>
      </c>
      <c r="H42" s="3" t="s">
        <v>30</v>
      </c>
      <c r="I42" s="3">
        <v>71886</v>
      </c>
      <c r="J42" s="3" t="s">
        <v>28</v>
      </c>
      <c r="K42" s="5">
        <v>41989</v>
      </c>
      <c r="L42" s="3">
        <v>25.65</v>
      </c>
      <c r="M42" s="3">
        <v>1</v>
      </c>
      <c r="N42" s="3">
        <v>1</v>
      </c>
      <c r="O42" s="6">
        <v>25.65</v>
      </c>
      <c r="P42" s="3"/>
      <c r="Q42" s="6">
        <f>O42</f>
        <v>25.65</v>
      </c>
      <c r="R42" s="6">
        <f t="shared" si="3"/>
        <v>1.6031249999999999</v>
      </c>
      <c r="S42" s="6">
        <v>2.75</v>
      </c>
      <c r="T42" s="6">
        <f t="shared" si="0"/>
        <v>1.1468750000000001</v>
      </c>
      <c r="U42" s="6">
        <f t="shared" si="1"/>
        <v>18.350000000000001</v>
      </c>
      <c r="V42" s="7" t="s">
        <v>100</v>
      </c>
    </row>
    <row r="43" spans="1:23">
      <c r="A43" s="3" t="s">
        <v>1</v>
      </c>
      <c r="B43" s="3" t="s">
        <v>21</v>
      </c>
      <c r="C43" s="3" t="s">
        <v>21</v>
      </c>
      <c r="D43" s="3">
        <v>0</v>
      </c>
      <c r="E43" s="4" t="s">
        <v>22</v>
      </c>
      <c r="F43" s="4" t="s">
        <v>5</v>
      </c>
      <c r="G43" s="3" t="s">
        <v>101</v>
      </c>
      <c r="H43" s="3" t="s">
        <v>24</v>
      </c>
      <c r="I43" s="3">
        <v>23612</v>
      </c>
      <c r="J43" s="5">
        <v>41959</v>
      </c>
      <c r="K43" s="5">
        <v>41959</v>
      </c>
      <c r="L43" s="6">
        <v>20.5</v>
      </c>
      <c r="M43" s="3">
        <v>1</v>
      </c>
      <c r="N43" s="3">
        <v>1</v>
      </c>
      <c r="O43" s="3">
        <v>20.5</v>
      </c>
      <c r="P43" s="3">
        <v>0.25</v>
      </c>
      <c r="Q43" s="6">
        <f t="shared" ref="Q43:Q49" si="5">O43*0.75</f>
        <v>15.375</v>
      </c>
      <c r="R43" s="6">
        <f t="shared" si="3"/>
        <v>0.9609375</v>
      </c>
      <c r="S43" s="6">
        <v>3.25</v>
      </c>
      <c r="T43" s="6">
        <f t="shared" si="0"/>
        <v>2.2890625</v>
      </c>
      <c r="U43" s="6">
        <f t="shared" si="1"/>
        <v>36.625</v>
      </c>
      <c r="V43" s="7" t="s">
        <v>102</v>
      </c>
    </row>
    <row r="44" spans="1:23">
      <c r="A44" s="3" t="s">
        <v>1</v>
      </c>
      <c r="B44" s="3" t="s">
        <v>21</v>
      </c>
      <c r="C44" s="3" t="s">
        <v>21</v>
      </c>
      <c r="D44" s="3">
        <v>0</v>
      </c>
      <c r="E44" s="4" t="s">
        <v>22</v>
      </c>
      <c r="F44" s="4" t="s">
        <v>5</v>
      </c>
      <c r="G44" s="3" t="s">
        <v>103</v>
      </c>
      <c r="H44" s="3" t="s">
        <v>24</v>
      </c>
      <c r="I44" s="3" t="s">
        <v>104</v>
      </c>
      <c r="J44" s="5">
        <v>41959</v>
      </c>
      <c r="K44" s="5">
        <v>41959</v>
      </c>
      <c r="L44" s="6">
        <v>12</v>
      </c>
      <c r="M44" s="3">
        <v>1</v>
      </c>
      <c r="N44" s="3">
        <v>1</v>
      </c>
      <c r="O44" s="3">
        <v>12</v>
      </c>
      <c r="P44" s="3">
        <v>0.25</v>
      </c>
      <c r="Q44" s="6">
        <f t="shared" si="5"/>
        <v>9</v>
      </c>
      <c r="R44" s="6">
        <f t="shared" si="3"/>
        <v>0.5625</v>
      </c>
      <c r="S44" s="6">
        <v>2</v>
      </c>
      <c r="T44" s="6">
        <f t="shared" si="0"/>
        <v>1.4375</v>
      </c>
      <c r="U44" s="6">
        <f t="shared" si="1"/>
        <v>23</v>
      </c>
    </row>
    <row r="45" spans="1:23">
      <c r="A45" s="3" t="s">
        <v>31</v>
      </c>
      <c r="B45" s="3" t="s">
        <v>21</v>
      </c>
      <c r="C45" s="3" t="s">
        <v>21</v>
      </c>
      <c r="D45" s="3">
        <v>10</v>
      </c>
      <c r="E45" s="4" t="s">
        <v>22</v>
      </c>
      <c r="F45" s="4" t="s">
        <v>5</v>
      </c>
      <c r="G45" s="3" t="s">
        <v>105</v>
      </c>
      <c r="H45" s="3" t="s">
        <v>24</v>
      </c>
      <c r="I45" s="3">
        <v>23613</v>
      </c>
      <c r="J45" s="5">
        <v>41959</v>
      </c>
      <c r="K45" s="5">
        <v>41959</v>
      </c>
      <c r="L45" s="6">
        <v>25</v>
      </c>
      <c r="M45" s="3">
        <v>1</v>
      </c>
      <c r="N45" s="3">
        <v>2</v>
      </c>
      <c r="O45" s="6">
        <f>L45</f>
        <v>25</v>
      </c>
      <c r="P45" s="3">
        <v>0.25</v>
      </c>
      <c r="Q45" s="6">
        <f t="shared" si="5"/>
        <v>18.75</v>
      </c>
      <c r="R45" s="6">
        <f t="shared" si="3"/>
        <v>1.171875</v>
      </c>
      <c r="S45" s="6">
        <v>2</v>
      </c>
      <c r="T45" s="6">
        <f t="shared" si="0"/>
        <v>0.828125</v>
      </c>
      <c r="U45" s="6">
        <f t="shared" si="1"/>
        <v>13.25</v>
      </c>
    </row>
    <row r="46" spans="1:23">
      <c r="A46" s="3" t="s">
        <v>31</v>
      </c>
      <c r="B46" s="3" t="s">
        <v>21</v>
      </c>
      <c r="C46" s="3" t="s">
        <v>21</v>
      </c>
      <c r="D46" s="3">
        <v>7.5</v>
      </c>
      <c r="E46" s="4" t="s">
        <v>22</v>
      </c>
      <c r="F46" s="4" t="s">
        <v>5</v>
      </c>
      <c r="G46" s="3" t="s">
        <v>106</v>
      </c>
      <c r="H46" s="3" t="s">
        <v>24</v>
      </c>
      <c r="I46" s="3">
        <v>23459</v>
      </c>
      <c r="J46" s="5">
        <v>41959</v>
      </c>
      <c r="K46" s="5">
        <v>41959</v>
      </c>
      <c r="L46" s="6">
        <v>14.5</v>
      </c>
      <c r="M46" s="3">
        <v>1</v>
      </c>
      <c r="N46" s="3">
        <v>2</v>
      </c>
      <c r="O46" s="6">
        <f>L46</f>
        <v>14.5</v>
      </c>
      <c r="P46" s="3">
        <v>0.25</v>
      </c>
      <c r="Q46" s="6">
        <f t="shared" si="5"/>
        <v>10.875</v>
      </c>
      <c r="R46" s="6">
        <f t="shared" si="3"/>
        <v>0.6796875</v>
      </c>
      <c r="S46" s="6">
        <v>2.5</v>
      </c>
      <c r="T46" s="6">
        <f t="shared" si="0"/>
        <v>1.8203125</v>
      </c>
      <c r="U46" s="6">
        <f t="shared" si="1"/>
        <v>29.125</v>
      </c>
    </row>
    <row r="47" spans="1:23">
      <c r="A47" s="3" t="s">
        <v>31</v>
      </c>
      <c r="B47" s="3" t="s">
        <v>21</v>
      </c>
      <c r="C47" s="3" t="s">
        <v>21</v>
      </c>
      <c r="D47" s="3">
        <v>25.1</v>
      </c>
      <c r="E47" s="4" t="s">
        <v>22</v>
      </c>
      <c r="F47" s="4" t="s">
        <v>5</v>
      </c>
      <c r="G47" s="3" t="s">
        <v>107</v>
      </c>
      <c r="H47" s="3" t="s">
        <v>24</v>
      </c>
      <c r="I47" s="3" t="s">
        <v>108</v>
      </c>
      <c r="J47" s="5">
        <v>41959</v>
      </c>
      <c r="K47" s="5">
        <v>41959</v>
      </c>
      <c r="L47" s="6">
        <v>18.5</v>
      </c>
      <c r="M47" s="3">
        <v>1</v>
      </c>
      <c r="N47" s="3">
        <v>2</v>
      </c>
      <c r="O47" s="3">
        <v>18.5</v>
      </c>
      <c r="P47" s="3">
        <v>0.25</v>
      </c>
      <c r="Q47" s="6">
        <f t="shared" si="5"/>
        <v>13.875</v>
      </c>
      <c r="R47" s="6">
        <f t="shared" si="3"/>
        <v>0.8671875</v>
      </c>
      <c r="S47" s="6">
        <v>3</v>
      </c>
      <c r="T47" s="6">
        <f t="shared" si="0"/>
        <v>2.1328125</v>
      </c>
      <c r="U47" s="6">
        <f t="shared" si="1"/>
        <v>34.125</v>
      </c>
    </row>
    <row r="48" spans="1:23">
      <c r="A48" s="3" t="s">
        <v>31</v>
      </c>
      <c r="B48" s="3" t="s">
        <v>21</v>
      </c>
      <c r="C48" s="3" t="s">
        <v>21</v>
      </c>
      <c r="D48" s="3">
        <v>2.8</v>
      </c>
      <c r="E48" s="4" t="s">
        <v>22</v>
      </c>
      <c r="F48" s="4" t="s">
        <v>5</v>
      </c>
      <c r="G48" s="3" t="s">
        <v>109</v>
      </c>
      <c r="H48" s="3" t="s">
        <v>24</v>
      </c>
      <c r="I48" s="3" t="s">
        <v>110</v>
      </c>
      <c r="J48" s="5">
        <v>41959</v>
      </c>
      <c r="K48" s="5">
        <v>41959</v>
      </c>
      <c r="L48" s="6">
        <v>14.5</v>
      </c>
      <c r="M48" s="3">
        <v>1</v>
      </c>
      <c r="N48" s="3">
        <v>2</v>
      </c>
      <c r="O48" s="6">
        <f>L48</f>
        <v>14.5</v>
      </c>
      <c r="P48" s="3">
        <v>0.25</v>
      </c>
      <c r="Q48" s="6">
        <f t="shared" si="5"/>
        <v>10.875</v>
      </c>
      <c r="R48" s="6">
        <f t="shared" si="3"/>
        <v>0.6796875</v>
      </c>
      <c r="S48" s="6">
        <v>2.25</v>
      </c>
      <c r="T48" s="6">
        <f t="shared" si="0"/>
        <v>1.5703125</v>
      </c>
      <c r="U48" s="6">
        <f t="shared" si="1"/>
        <v>25.125</v>
      </c>
    </row>
    <row r="49" spans="1:23" ht="16">
      <c r="A49" s="3" t="s">
        <v>31</v>
      </c>
      <c r="B49" s="3" t="s">
        <v>21</v>
      </c>
      <c r="C49" s="3" t="s">
        <v>21</v>
      </c>
      <c r="D49" s="3">
        <v>17</v>
      </c>
      <c r="E49" s="4" t="s">
        <v>22</v>
      </c>
      <c r="F49" s="4" t="s">
        <v>5</v>
      </c>
      <c r="G49" s="3" t="s">
        <v>111</v>
      </c>
      <c r="H49" s="3" t="s">
        <v>24</v>
      </c>
      <c r="I49" s="3" t="s">
        <v>112</v>
      </c>
      <c r="J49" s="5">
        <v>41959</v>
      </c>
      <c r="K49" s="5">
        <v>41959</v>
      </c>
      <c r="L49" s="6">
        <v>8.5</v>
      </c>
      <c r="M49" s="12">
        <v>1</v>
      </c>
      <c r="N49" s="12">
        <v>2</v>
      </c>
      <c r="O49" s="3">
        <v>8.5</v>
      </c>
      <c r="P49" s="3">
        <v>0.25</v>
      </c>
      <c r="Q49" s="6">
        <f t="shared" si="5"/>
        <v>6.375</v>
      </c>
      <c r="R49" s="6">
        <f t="shared" si="3"/>
        <v>0.3984375</v>
      </c>
      <c r="S49" s="6">
        <v>1.75</v>
      </c>
      <c r="T49" s="6">
        <f t="shared" si="0"/>
        <v>1.3515625</v>
      </c>
      <c r="U49" s="6">
        <f t="shared" si="1"/>
        <v>21.625</v>
      </c>
    </row>
    <row r="50" spans="1:23">
      <c r="A50" s="3" t="s">
        <v>1</v>
      </c>
      <c r="B50" s="3" t="s">
        <v>21</v>
      </c>
      <c r="C50" s="3" t="s">
        <v>21</v>
      </c>
      <c r="D50" s="3">
        <v>0</v>
      </c>
      <c r="E50" s="4" t="s">
        <v>22</v>
      </c>
      <c r="F50" s="4" t="s">
        <v>5</v>
      </c>
      <c r="G50" s="3" t="s">
        <v>113</v>
      </c>
      <c r="H50" s="3" t="s">
        <v>114</v>
      </c>
      <c r="I50" s="3">
        <v>73309</v>
      </c>
      <c r="J50" s="5">
        <v>41959</v>
      </c>
      <c r="K50" s="5">
        <v>41959</v>
      </c>
      <c r="L50" s="6">
        <v>11.71</v>
      </c>
      <c r="M50" s="3">
        <v>1</v>
      </c>
      <c r="N50" s="3">
        <v>1</v>
      </c>
      <c r="O50" s="3">
        <v>11.71</v>
      </c>
      <c r="P50" s="3">
        <v>0.18</v>
      </c>
      <c r="Q50" s="6">
        <f>O50*0.82</f>
        <v>9.6021999999999998</v>
      </c>
      <c r="R50" s="6">
        <f t="shared" si="3"/>
        <v>0.60013749999999999</v>
      </c>
      <c r="S50" s="6">
        <v>1.75</v>
      </c>
      <c r="T50" s="6">
        <f t="shared" si="0"/>
        <v>1.1498625</v>
      </c>
      <c r="U50" s="6">
        <f t="shared" si="1"/>
        <v>18.3978</v>
      </c>
    </row>
    <row r="51" spans="1:23">
      <c r="A51" s="3" t="s">
        <v>1</v>
      </c>
      <c r="B51" s="3" t="s">
        <v>21</v>
      </c>
      <c r="C51" s="3" t="s">
        <v>21</v>
      </c>
      <c r="D51" s="3">
        <v>0</v>
      </c>
      <c r="E51" s="4" t="s">
        <v>22</v>
      </c>
      <c r="F51" s="4" t="s">
        <v>5</v>
      </c>
      <c r="G51" s="3" t="s">
        <v>115</v>
      </c>
      <c r="H51" s="3" t="s">
        <v>33</v>
      </c>
      <c r="I51" s="3">
        <v>23974</v>
      </c>
      <c r="J51" s="5">
        <v>41989</v>
      </c>
      <c r="K51" s="5">
        <v>41989</v>
      </c>
      <c r="L51" s="6">
        <v>6.5</v>
      </c>
      <c r="M51" s="3">
        <v>2</v>
      </c>
      <c r="N51" s="3">
        <v>1</v>
      </c>
      <c r="O51" s="6">
        <f>L51</f>
        <v>6.5</v>
      </c>
      <c r="P51" s="3">
        <v>0.25</v>
      </c>
      <c r="Q51" s="6">
        <f t="shared" ref="Q51:Q60" si="6">O51*0.75</f>
        <v>4.875</v>
      </c>
      <c r="R51" s="6">
        <f t="shared" si="3"/>
        <v>0.3046875</v>
      </c>
      <c r="S51" s="6">
        <v>1.75</v>
      </c>
      <c r="T51" s="6">
        <f t="shared" si="0"/>
        <v>1.4453125</v>
      </c>
      <c r="U51" s="6">
        <f t="shared" si="1"/>
        <v>23.125</v>
      </c>
      <c r="V51" s="7" t="s">
        <v>116</v>
      </c>
    </row>
    <row r="52" spans="1:23">
      <c r="A52" s="8"/>
      <c r="B52" s="8"/>
      <c r="C52" s="8"/>
      <c r="D52" s="8"/>
      <c r="E52" s="13" t="s">
        <v>22</v>
      </c>
      <c r="F52" s="13"/>
      <c r="G52" s="3" t="s">
        <v>117</v>
      </c>
      <c r="H52" s="3" t="s">
        <v>33</v>
      </c>
      <c r="I52" s="8"/>
      <c r="J52" s="5">
        <v>41989</v>
      </c>
      <c r="K52" s="5">
        <v>41989</v>
      </c>
      <c r="L52" s="6">
        <v>7.5</v>
      </c>
      <c r="M52" s="3">
        <v>1</v>
      </c>
      <c r="N52" s="3">
        <v>1</v>
      </c>
      <c r="O52" s="3">
        <v>7.5</v>
      </c>
      <c r="P52" s="3">
        <v>0.25</v>
      </c>
      <c r="Q52" s="6">
        <f t="shared" si="6"/>
        <v>5.625</v>
      </c>
      <c r="R52" s="6">
        <f t="shared" si="3"/>
        <v>0.3515625</v>
      </c>
      <c r="S52" s="6">
        <v>1.75</v>
      </c>
      <c r="T52" s="6">
        <f t="shared" si="0"/>
        <v>1.3984375</v>
      </c>
      <c r="U52" s="6">
        <f t="shared" si="1"/>
        <v>22.375</v>
      </c>
    </row>
    <row r="53" spans="1:23">
      <c r="A53" s="3" t="s">
        <v>31</v>
      </c>
      <c r="B53" s="3" t="s">
        <v>21</v>
      </c>
      <c r="C53" s="3" t="s">
        <v>21</v>
      </c>
      <c r="D53" s="3">
        <v>4.8</v>
      </c>
      <c r="E53" s="4" t="s">
        <v>22</v>
      </c>
      <c r="F53" s="4" t="s">
        <v>5</v>
      </c>
      <c r="G53" s="3" t="s">
        <v>118</v>
      </c>
      <c r="H53" s="3" t="s">
        <v>24</v>
      </c>
      <c r="I53" s="3" t="s">
        <v>119</v>
      </c>
      <c r="J53" s="5">
        <v>41959</v>
      </c>
      <c r="K53" s="5">
        <v>41959</v>
      </c>
      <c r="L53" s="6">
        <v>19.5</v>
      </c>
      <c r="M53" s="3">
        <v>1</v>
      </c>
      <c r="N53" s="3">
        <v>1</v>
      </c>
      <c r="O53" s="3">
        <v>19.5</v>
      </c>
      <c r="P53" s="3">
        <v>0.25</v>
      </c>
      <c r="Q53" s="6">
        <f t="shared" si="6"/>
        <v>14.625</v>
      </c>
      <c r="R53" s="6">
        <f t="shared" si="3"/>
        <v>0.9140625</v>
      </c>
      <c r="S53" s="6">
        <v>3</v>
      </c>
      <c r="T53" s="6">
        <f t="shared" si="0"/>
        <v>2.0859375</v>
      </c>
      <c r="U53" s="6">
        <f t="shared" si="1"/>
        <v>33.375</v>
      </c>
    </row>
    <row r="54" spans="1:23">
      <c r="A54" s="3" t="s">
        <v>31</v>
      </c>
      <c r="B54" s="3" t="s">
        <v>21</v>
      </c>
      <c r="C54" s="3" t="s">
        <v>21</v>
      </c>
      <c r="D54" s="3">
        <v>2</v>
      </c>
      <c r="E54" s="4" t="s">
        <v>22</v>
      </c>
      <c r="F54" s="4" t="s">
        <v>5</v>
      </c>
      <c r="G54" s="3" t="s">
        <v>120</v>
      </c>
      <c r="H54" s="3" t="s">
        <v>24</v>
      </c>
      <c r="I54" s="3" t="s">
        <v>121</v>
      </c>
      <c r="J54" s="5">
        <v>41959</v>
      </c>
      <c r="K54" s="5">
        <v>41959</v>
      </c>
      <c r="L54" s="6">
        <v>12</v>
      </c>
      <c r="M54" s="3">
        <v>1</v>
      </c>
      <c r="N54" s="3">
        <v>1</v>
      </c>
      <c r="O54" s="3">
        <v>12</v>
      </c>
      <c r="P54" s="3">
        <v>0.25</v>
      </c>
      <c r="Q54" s="6">
        <f t="shared" si="6"/>
        <v>9</v>
      </c>
      <c r="R54" s="6">
        <f t="shared" si="3"/>
        <v>0.5625</v>
      </c>
      <c r="S54" s="6">
        <v>2</v>
      </c>
      <c r="T54" s="6">
        <f t="shared" si="0"/>
        <v>1.4375</v>
      </c>
      <c r="U54" s="6">
        <f t="shared" si="1"/>
        <v>23</v>
      </c>
    </row>
    <row r="55" spans="1:23">
      <c r="A55" s="3" t="s">
        <v>1</v>
      </c>
      <c r="B55" s="3" t="s">
        <v>21</v>
      </c>
      <c r="C55" s="3" t="s">
        <v>21</v>
      </c>
      <c r="D55" s="3">
        <v>0</v>
      </c>
      <c r="E55" s="4" t="s">
        <v>22</v>
      </c>
      <c r="F55" s="4" t="s">
        <v>5</v>
      </c>
      <c r="G55" s="3" t="s">
        <v>122</v>
      </c>
      <c r="H55" s="3" t="s">
        <v>24</v>
      </c>
      <c r="I55" s="3" t="s">
        <v>123</v>
      </c>
      <c r="J55" s="5">
        <v>41959</v>
      </c>
      <c r="K55" s="5">
        <v>41959</v>
      </c>
      <c r="L55" s="6">
        <v>13</v>
      </c>
      <c r="M55" s="3">
        <v>1</v>
      </c>
      <c r="N55" s="3">
        <v>1</v>
      </c>
      <c r="O55" s="3">
        <v>13</v>
      </c>
      <c r="P55" s="3">
        <v>0.25</v>
      </c>
      <c r="Q55" s="6">
        <f t="shared" si="6"/>
        <v>9.75</v>
      </c>
      <c r="R55" s="6">
        <f t="shared" si="3"/>
        <v>0.609375</v>
      </c>
      <c r="S55" s="6">
        <v>2</v>
      </c>
      <c r="T55" s="6">
        <f t="shared" si="0"/>
        <v>1.390625</v>
      </c>
      <c r="U55" s="6">
        <f t="shared" si="1"/>
        <v>22.25</v>
      </c>
    </row>
    <row r="56" spans="1:23">
      <c r="A56" s="3" t="s">
        <v>1</v>
      </c>
      <c r="B56" s="3" t="s">
        <v>21</v>
      </c>
      <c r="C56" s="3" t="s">
        <v>21</v>
      </c>
      <c r="D56" s="3">
        <v>0</v>
      </c>
      <c r="E56" s="4" t="s">
        <v>22</v>
      </c>
      <c r="F56" s="4" t="s">
        <v>5</v>
      </c>
      <c r="G56" s="3" t="s">
        <v>124</v>
      </c>
      <c r="H56" s="3" t="s">
        <v>24</v>
      </c>
      <c r="I56" s="3" t="s">
        <v>125</v>
      </c>
      <c r="J56" s="5">
        <v>41959</v>
      </c>
      <c r="K56" s="5">
        <v>41959</v>
      </c>
      <c r="L56" s="6">
        <v>14</v>
      </c>
      <c r="M56" s="3">
        <v>1</v>
      </c>
      <c r="N56" s="3">
        <v>1</v>
      </c>
      <c r="O56" s="3">
        <v>27</v>
      </c>
      <c r="P56" s="3">
        <v>0.25</v>
      </c>
      <c r="Q56" s="6">
        <f t="shared" si="6"/>
        <v>20.25</v>
      </c>
      <c r="R56" s="6">
        <f t="shared" si="3"/>
        <v>1.265625</v>
      </c>
      <c r="S56" s="6">
        <v>2</v>
      </c>
      <c r="T56" s="6">
        <f t="shared" si="0"/>
        <v>0.734375</v>
      </c>
      <c r="U56" s="6">
        <f t="shared" si="1"/>
        <v>11.75</v>
      </c>
      <c r="W56" s="7" t="s">
        <v>126</v>
      </c>
    </row>
    <row r="57" spans="1:23">
      <c r="A57" s="3" t="s">
        <v>31</v>
      </c>
      <c r="B57" s="3" t="s">
        <v>26</v>
      </c>
      <c r="C57" s="3" t="s">
        <v>26</v>
      </c>
      <c r="D57" s="3">
        <v>47.5</v>
      </c>
      <c r="E57" s="4" t="s">
        <v>22</v>
      </c>
      <c r="F57" s="4" t="s">
        <v>5</v>
      </c>
      <c r="G57" s="3" t="s">
        <v>127</v>
      </c>
      <c r="H57" s="3" t="s">
        <v>33</v>
      </c>
      <c r="I57" s="3" t="s">
        <v>128</v>
      </c>
      <c r="J57" s="5">
        <v>41989</v>
      </c>
      <c r="K57" s="5">
        <v>41989</v>
      </c>
      <c r="L57" s="6">
        <v>12</v>
      </c>
      <c r="M57" s="3">
        <v>1</v>
      </c>
      <c r="N57" s="3">
        <v>3</v>
      </c>
      <c r="O57" s="3">
        <v>12</v>
      </c>
      <c r="P57" s="3">
        <v>0.25</v>
      </c>
      <c r="Q57" s="6">
        <f t="shared" si="6"/>
        <v>9</v>
      </c>
      <c r="R57" s="6">
        <f t="shared" si="3"/>
        <v>0.5625</v>
      </c>
      <c r="S57" s="6">
        <v>2</v>
      </c>
      <c r="T57" s="6">
        <f t="shared" si="0"/>
        <v>1.4375</v>
      </c>
      <c r="U57" s="6">
        <f t="shared" si="1"/>
        <v>23</v>
      </c>
      <c r="W57" s="7" t="s">
        <v>129</v>
      </c>
    </row>
    <row r="58" spans="1:23" s="11" customFormat="1">
      <c r="A58" s="3" t="s">
        <v>1</v>
      </c>
      <c r="B58" s="3" t="s">
        <v>21</v>
      </c>
      <c r="C58" s="3" t="s">
        <v>21</v>
      </c>
      <c r="D58" s="3">
        <v>0</v>
      </c>
      <c r="E58" s="4" t="s">
        <v>21</v>
      </c>
      <c r="F58" s="4" t="s">
        <v>5</v>
      </c>
      <c r="G58" s="3" t="s">
        <v>130</v>
      </c>
      <c r="H58" s="3" t="s">
        <v>24</v>
      </c>
      <c r="I58" s="3" t="s">
        <v>128</v>
      </c>
      <c r="J58" s="5">
        <v>41959</v>
      </c>
      <c r="K58" s="5">
        <v>41959</v>
      </c>
      <c r="L58" s="6">
        <v>12</v>
      </c>
      <c r="M58" s="3">
        <v>1</v>
      </c>
      <c r="N58" s="3">
        <v>1</v>
      </c>
      <c r="O58" s="6">
        <f>L58</f>
        <v>12</v>
      </c>
      <c r="P58" s="3">
        <v>0.25</v>
      </c>
      <c r="Q58" s="6">
        <f t="shared" si="6"/>
        <v>9</v>
      </c>
      <c r="R58" s="6">
        <f t="shared" si="3"/>
        <v>0.5625</v>
      </c>
      <c r="S58" s="6">
        <v>2</v>
      </c>
      <c r="T58" s="6">
        <f t="shared" si="0"/>
        <v>1.4375</v>
      </c>
      <c r="U58" s="6">
        <f t="shared" si="1"/>
        <v>23</v>
      </c>
    </row>
    <row r="59" spans="1:23">
      <c r="A59" s="3" t="s">
        <v>1</v>
      </c>
      <c r="B59" s="3" t="s">
        <v>21</v>
      </c>
      <c r="C59" s="3" t="s">
        <v>21</v>
      </c>
      <c r="D59" s="3"/>
      <c r="E59" s="4" t="s">
        <v>22</v>
      </c>
      <c r="F59" s="4" t="s">
        <v>5</v>
      </c>
      <c r="G59" s="3" t="s">
        <v>131</v>
      </c>
      <c r="H59" s="3" t="s">
        <v>24</v>
      </c>
      <c r="I59" s="3" t="s">
        <v>132</v>
      </c>
      <c r="J59" s="5">
        <v>41959</v>
      </c>
      <c r="K59" s="5">
        <v>41959</v>
      </c>
      <c r="L59" s="6">
        <v>13</v>
      </c>
      <c r="M59" s="3">
        <v>1</v>
      </c>
      <c r="N59" s="3">
        <v>1</v>
      </c>
      <c r="O59" s="3">
        <v>13</v>
      </c>
      <c r="P59" s="3">
        <v>0.25</v>
      </c>
      <c r="Q59" s="6">
        <f t="shared" si="6"/>
        <v>9.75</v>
      </c>
      <c r="R59" s="6">
        <f t="shared" si="3"/>
        <v>0.609375</v>
      </c>
      <c r="S59" s="6">
        <v>2</v>
      </c>
      <c r="T59" s="6">
        <f t="shared" si="0"/>
        <v>1.390625</v>
      </c>
      <c r="U59" s="6">
        <f t="shared" si="1"/>
        <v>22.25</v>
      </c>
      <c r="V59" s="7" t="s">
        <v>49</v>
      </c>
    </row>
    <row r="60" spans="1:23">
      <c r="A60" s="3" t="s">
        <v>31</v>
      </c>
      <c r="B60" s="3" t="s">
        <v>21</v>
      </c>
      <c r="C60" s="3" t="s">
        <v>21</v>
      </c>
      <c r="D60" s="3">
        <v>24.5</v>
      </c>
      <c r="E60" s="4" t="s">
        <v>22</v>
      </c>
      <c r="F60" s="4" t="s">
        <v>5</v>
      </c>
      <c r="G60" s="3" t="s">
        <v>133</v>
      </c>
      <c r="H60" s="3" t="s">
        <v>24</v>
      </c>
      <c r="I60" s="3" t="s">
        <v>134</v>
      </c>
      <c r="J60" s="5">
        <v>41959</v>
      </c>
      <c r="K60" s="5">
        <v>41959</v>
      </c>
      <c r="L60" s="6">
        <v>12.5</v>
      </c>
      <c r="M60" s="3">
        <v>1</v>
      </c>
      <c r="N60" s="3">
        <v>1</v>
      </c>
      <c r="O60" s="3">
        <v>12.5</v>
      </c>
      <c r="P60" s="3">
        <v>0.25</v>
      </c>
      <c r="Q60" s="6">
        <f t="shared" si="6"/>
        <v>9.375</v>
      </c>
      <c r="R60" s="6">
        <f t="shared" si="3"/>
        <v>0.5859375</v>
      </c>
      <c r="S60" s="6">
        <v>2</v>
      </c>
      <c r="T60" s="6">
        <f t="shared" si="0"/>
        <v>1.4140625</v>
      </c>
      <c r="U60" s="6">
        <f t="shared" si="1"/>
        <v>22.625</v>
      </c>
    </row>
    <row r="61" spans="1:23">
      <c r="A61" s="3" t="s">
        <v>1</v>
      </c>
      <c r="B61" s="3" t="s">
        <v>21</v>
      </c>
      <c r="C61" s="3" t="s">
        <v>21</v>
      </c>
      <c r="D61" s="3">
        <v>0</v>
      </c>
      <c r="E61" s="4" t="s">
        <v>22</v>
      </c>
      <c r="F61" s="4" t="s">
        <v>5</v>
      </c>
      <c r="G61" s="3" t="s">
        <v>135</v>
      </c>
      <c r="H61" s="3" t="s">
        <v>114</v>
      </c>
      <c r="I61" s="3">
        <v>73967</v>
      </c>
      <c r="J61" s="5">
        <v>41959</v>
      </c>
      <c r="K61" s="5">
        <v>41959</v>
      </c>
      <c r="L61" s="6">
        <v>52.5</v>
      </c>
      <c r="M61" s="3">
        <v>1</v>
      </c>
      <c r="N61" s="3">
        <v>0.25</v>
      </c>
      <c r="O61" s="3">
        <v>202</v>
      </c>
      <c r="P61" s="3">
        <v>0.18</v>
      </c>
      <c r="Q61" s="6">
        <f>L61*0.78</f>
        <v>40.950000000000003</v>
      </c>
      <c r="R61" s="6">
        <f>Q61/4</f>
        <v>10.237500000000001</v>
      </c>
      <c r="S61" s="6">
        <v>22</v>
      </c>
      <c r="T61" s="6">
        <f t="shared" si="0"/>
        <v>11.762499999999999</v>
      </c>
      <c r="U61" s="6">
        <f t="shared" si="1"/>
        <v>188.2</v>
      </c>
    </row>
    <row r="62" spans="1:23" s="11" customFormat="1">
      <c r="A62" s="3" t="s">
        <v>1</v>
      </c>
      <c r="B62" s="3" t="s">
        <v>21</v>
      </c>
      <c r="C62" s="3" t="s">
        <v>21</v>
      </c>
      <c r="D62" s="3"/>
      <c r="E62" s="4" t="s">
        <v>22</v>
      </c>
      <c r="F62" s="4" t="s">
        <v>5</v>
      </c>
      <c r="G62" s="3" t="s">
        <v>136</v>
      </c>
      <c r="H62" s="3" t="s">
        <v>137</v>
      </c>
      <c r="I62" s="3">
        <v>74029</v>
      </c>
      <c r="J62" s="3" t="s">
        <v>28</v>
      </c>
      <c r="K62" s="5">
        <v>41989</v>
      </c>
      <c r="L62" s="6">
        <v>8.7899999999999991</v>
      </c>
      <c r="M62" s="14">
        <v>0.25</v>
      </c>
      <c r="N62" s="3">
        <v>0.25</v>
      </c>
      <c r="O62" s="6">
        <f>L62*4</f>
        <v>35.159999999999997</v>
      </c>
      <c r="P62" s="3"/>
      <c r="Q62" s="6">
        <f>L62</f>
        <v>8.7899999999999991</v>
      </c>
      <c r="R62" s="6">
        <f t="shared" ref="R62:R82" si="7">Q62/16</f>
        <v>0.54937499999999995</v>
      </c>
      <c r="S62" s="6">
        <v>2</v>
      </c>
      <c r="T62" s="6">
        <f t="shared" si="0"/>
        <v>1.4506250000000001</v>
      </c>
      <c r="U62" s="6">
        <f t="shared" si="1"/>
        <v>23.21</v>
      </c>
    </row>
    <row r="63" spans="1:23">
      <c r="A63" s="3" t="s">
        <v>1</v>
      </c>
      <c r="B63" s="3" t="s">
        <v>21</v>
      </c>
      <c r="C63" s="3" t="s">
        <v>21</v>
      </c>
      <c r="D63" s="3">
        <v>0</v>
      </c>
      <c r="E63" s="4" t="s">
        <v>22</v>
      </c>
      <c r="F63" s="4" t="s">
        <v>138</v>
      </c>
      <c r="G63" s="3" t="s">
        <v>139</v>
      </c>
      <c r="H63" s="3" t="s">
        <v>24</v>
      </c>
      <c r="I63" s="3" t="s">
        <v>140</v>
      </c>
      <c r="J63" s="5">
        <v>41959</v>
      </c>
      <c r="K63" s="5">
        <v>41959</v>
      </c>
      <c r="L63" s="6">
        <v>22.5</v>
      </c>
      <c r="M63" s="3">
        <v>1</v>
      </c>
      <c r="N63" s="3">
        <v>1</v>
      </c>
      <c r="O63" s="3">
        <v>22.5</v>
      </c>
      <c r="P63" s="3">
        <v>0.25</v>
      </c>
      <c r="Q63" s="6">
        <f t="shared" ref="Q63:Q71" si="8">O63*0.75</f>
        <v>16.875</v>
      </c>
      <c r="R63" s="6">
        <f t="shared" si="7"/>
        <v>1.0546875</v>
      </c>
      <c r="S63" s="6">
        <v>3.5</v>
      </c>
      <c r="T63" s="6">
        <f t="shared" si="0"/>
        <v>2.4453125</v>
      </c>
      <c r="U63" s="6">
        <f t="shared" si="1"/>
        <v>39.125</v>
      </c>
    </row>
    <row r="64" spans="1:23">
      <c r="A64" s="3" t="s">
        <v>1</v>
      </c>
      <c r="B64" s="3" t="s">
        <v>21</v>
      </c>
      <c r="C64" s="3" t="s">
        <v>21</v>
      </c>
      <c r="D64" s="3">
        <v>0</v>
      </c>
      <c r="E64" s="4" t="s">
        <v>22</v>
      </c>
      <c r="F64" s="4" t="s">
        <v>5</v>
      </c>
      <c r="G64" s="3" t="s">
        <v>141</v>
      </c>
      <c r="H64" s="3" t="s">
        <v>24</v>
      </c>
      <c r="I64" s="3" t="s">
        <v>142</v>
      </c>
      <c r="J64" s="5">
        <v>41959</v>
      </c>
      <c r="K64" s="5">
        <v>41959</v>
      </c>
      <c r="L64" s="6">
        <v>10.5</v>
      </c>
      <c r="M64" s="3">
        <v>2</v>
      </c>
      <c r="N64" s="3">
        <v>1</v>
      </c>
      <c r="O64" s="3">
        <v>10.5</v>
      </c>
      <c r="P64" s="3">
        <v>0.25</v>
      </c>
      <c r="Q64" s="6">
        <f t="shared" si="8"/>
        <v>7.875</v>
      </c>
      <c r="R64" s="6">
        <f t="shared" si="7"/>
        <v>0.4921875</v>
      </c>
      <c r="S64" s="6">
        <v>2</v>
      </c>
      <c r="T64" s="6">
        <f t="shared" si="0"/>
        <v>1.5078125</v>
      </c>
      <c r="U64" s="6">
        <f t="shared" si="1"/>
        <v>24.125</v>
      </c>
    </row>
    <row r="65" spans="1:23">
      <c r="A65" s="3" t="s">
        <v>25</v>
      </c>
      <c r="B65" s="3" t="s">
        <v>26</v>
      </c>
      <c r="C65" s="3" t="s">
        <v>26</v>
      </c>
      <c r="D65" s="3">
        <v>16.5</v>
      </c>
      <c r="E65" s="4" t="s">
        <v>26</v>
      </c>
      <c r="F65" s="4" t="s">
        <v>143</v>
      </c>
      <c r="G65" s="3" t="s">
        <v>144</v>
      </c>
      <c r="H65" s="3" t="s">
        <v>145</v>
      </c>
      <c r="I65" s="3" t="s">
        <v>27</v>
      </c>
      <c r="J65" s="3" t="s">
        <v>28</v>
      </c>
      <c r="K65" s="5">
        <v>41989</v>
      </c>
      <c r="L65" s="6">
        <f>O65</f>
        <v>13.28</v>
      </c>
      <c r="M65" s="3">
        <v>1</v>
      </c>
      <c r="N65" s="3">
        <v>1</v>
      </c>
      <c r="O65" s="3">
        <v>13.28</v>
      </c>
      <c r="P65" s="3"/>
      <c r="Q65" s="6">
        <f t="shared" si="8"/>
        <v>9.9599999999999991</v>
      </c>
      <c r="R65" s="6">
        <f t="shared" si="7"/>
        <v>0.62249999999999994</v>
      </c>
      <c r="S65" s="6">
        <v>2</v>
      </c>
      <c r="T65" s="6">
        <f t="shared" si="0"/>
        <v>1.3774999999999999</v>
      </c>
      <c r="U65" s="6">
        <f t="shared" si="1"/>
        <v>22.04</v>
      </c>
    </row>
    <row r="66" spans="1:23">
      <c r="A66" s="3" t="s">
        <v>25</v>
      </c>
      <c r="B66" s="3" t="s">
        <v>26</v>
      </c>
      <c r="C66" s="3" t="s">
        <v>26</v>
      </c>
      <c r="D66" s="3">
        <v>16.3</v>
      </c>
      <c r="E66" s="4" t="s">
        <v>26</v>
      </c>
      <c r="F66" s="4" t="s">
        <v>143</v>
      </c>
      <c r="G66" s="3" t="s">
        <v>146</v>
      </c>
      <c r="H66" s="3" t="s">
        <v>147</v>
      </c>
      <c r="I66" s="3" t="s">
        <v>27</v>
      </c>
      <c r="J66" s="3" t="s">
        <v>28</v>
      </c>
      <c r="K66" s="5">
        <v>41989</v>
      </c>
      <c r="L66" s="6">
        <f>O66</f>
        <v>13.28</v>
      </c>
      <c r="M66" s="3">
        <v>1</v>
      </c>
      <c r="N66" s="3">
        <v>1</v>
      </c>
      <c r="O66" s="3">
        <v>13.28</v>
      </c>
      <c r="P66" s="3"/>
      <c r="Q66" s="6">
        <f t="shared" si="8"/>
        <v>9.9599999999999991</v>
      </c>
      <c r="R66" s="6">
        <f t="shared" si="7"/>
        <v>0.62249999999999994</v>
      </c>
      <c r="S66" s="6">
        <v>2</v>
      </c>
      <c r="T66" s="6">
        <f t="shared" ref="T66:T94" si="9">S66-R66</f>
        <v>1.3774999999999999</v>
      </c>
      <c r="U66" s="6">
        <f t="shared" ref="U66:U94" si="10">T66*16</f>
        <v>22.04</v>
      </c>
    </row>
    <row r="67" spans="1:23">
      <c r="A67" s="3" t="s">
        <v>1</v>
      </c>
      <c r="B67" s="3" t="s">
        <v>21</v>
      </c>
      <c r="C67" s="3" t="s">
        <v>21</v>
      </c>
      <c r="D67" s="3">
        <v>0</v>
      </c>
      <c r="E67" s="4" t="s">
        <v>21</v>
      </c>
      <c r="F67" s="4" t="s">
        <v>143</v>
      </c>
      <c r="G67" s="3" t="s">
        <v>146</v>
      </c>
      <c r="H67" s="3" t="s">
        <v>148</v>
      </c>
      <c r="I67" s="3" t="s">
        <v>27</v>
      </c>
      <c r="J67" s="3" t="s">
        <v>28</v>
      </c>
      <c r="K67" s="5">
        <v>41989</v>
      </c>
      <c r="L67" s="6">
        <f>O67</f>
        <v>13.28</v>
      </c>
      <c r="M67" s="3">
        <v>1</v>
      </c>
      <c r="N67" s="3">
        <v>1</v>
      </c>
      <c r="O67" s="3">
        <v>13.28</v>
      </c>
      <c r="P67" s="3"/>
      <c r="Q67" s="6">
        <f t="shared" si="8"/>
        <v>9.9599999999999991</v>
      </c>
      <c r="R67" s="6">
        <f t="shared" si="7"/>
        <v>0.62249999999999994</v>
      </c>
      <c r="S67" s="6">
        <v>2</v>
      </c>
      <c r="T67" s="6">
        <f t="shared" si="9"/>
        <v>1.3774999999999999</v>
      </c>
      <c r="U67" s="6">
        <f t="shared" si="10"/>
        <v>22.04</v>
      </c>
    </row>
    <row r="68" spans="1:23">
      <c r="A68" s="3" t="s">
        <v>31</v>
      </c>
      <c r="B68" s="3" t="s">
        <v>21</v>
      </c>
      <c r="C68" s="3" t="s">
        <v>21</v>
      </c>
      <c r="D68" s="5">
        <v>41959</v>
      </c>
      <c r="E68" s="4" t="s">
        <v>22</v>
      </c>
      <c r="F68" s="13"/>
      <c r="G68" s="3" t="s">
        <v>149</v>
      </c>
      <c r="H68" s="3" t="s">
        <v>24</v>
      </c>
      <c r="I68" s="3" t="s">
        <v>150</v>
      </c>
      <c r="J68" s="5">
        <v>41959</v>
      </c>
      <c r="K68" s="5">
        <v>41959</v>
      </c>
      <c r="L68" s="6">
        <v>10</v>
      </c>
      <c r="M68" s="3">
        <v>1</v>
      </c>
      <c r="N68" s="3">
        <v>1</v>
      </c>
      <c r="O68" s="3">
        <v>10</v>
      </c>
      <c r="P68" s="3">
        <v>0.25</v>
      </c>
      <c r="Q68" s="6">
        <f t="shared" si="8"/>
        <v>7.5</v>
      </c>
      <c r="R68" s="6">
        <f t="shared" si="7"/>
        <v>0.46875</v>
      </c>
      <c r="S68" s="6">
        <v>2</v>
      </c>
      <c r="T68" s="6">
        <f t="shared" si="9"/>
        <v>1.53125</v>
      </c>
      <c r="U68" s="6">
        <f t="shared" si="10"/>
        <v>24.5</v>
      </c>
    </row>
    <row r="69" spans="1:23">
      <c r="A69" s="3" t="s">
        <v>31</v>
      </c>
      <c r="B69" s="3" t="s">
        <v>21</v>
      </c>
      <c r="C69" s="3" t="s">
        <v>21</v>
      </c>
      <c r="D69" s="3">
        <v>15.2</v>
      </c>
      <c r="E69" s="4" t="s">
        <v>22</v>
      </c>
      <c r="F69" s="4" t="s">
        <v>5</v>
      </c>
      <c r="G69" s="3" t="s">
        <v>151</v>
      </c>
      <c r="H69" s="3" t="s">
        <v>24</v>
      </c>
      <c r="I69" s="3">
        <v>23517</v>
      </c>
      <c r="J69" s="5">
        <v>41959</v>
      </c>
      <c r="K69" s="5">
        <v>41959</v>
      </c>
      <c r="L69" s="6">
        <v>40</v>
      </c>
      <c r="M69" s="3">
        <v>1</v>
      </c>
      <c r="N69" s="3">
        <v>1</v>
      </c>
      <c r="O69" s="3">
        <v>40</v>
      </c>
      <c r="P69" s="3">
        <v>0.25</v>
      </c>
      <c r="Q69" s="6">
        <f t="shared" si="8"/>
        <v>30</v>
      </c>
      <c r="R69" s="6">
        <f t="shared" si="7"/>
        <v>1.875</v>
      </c>
      <c r="S69" s="6">
        <v>6.25</v>
      </c>
      <c r="T69" s="6">
        <f t="shared" si="9"/>
        <v>4.375</v>
      </c>
      <c r="U69" s="6">
        <f t="shared" si="10"/>
        <v>70</v>
      </c>
      <c r="V69" s="7" t="s">
        <v>79</v>
      </c>
    </row>
    <row r="70" spans="1:23">
      <c r="A70" s="3" t="s">
        <v>31</v>
      </c>
      <c r="B70" s="3" t="s">
        <v>21</v>
      </c>
      <c r="C70" s="3" t="s">
        <v>21</v>
      </c>
      <c r="D70" s="3">
        <v>8.9</v>
      </c>
      <c r="E70" s="4" t="s">
        <v>22</v>
      </c>
      <c r="F70" s="4" t="s">
        <v>5</v>
      </c>
      <c r="G70" s="3" t="s">
        <v>152</v>
      </c>
      <c r="H70" s="3" t="s">
        <v>24</v>
      </c>
      <c r="I70" s="3" t="s">
        <v>153</v>
      </c>
      <c r="J70" s="5">
        <v>41959</v>
      </c>
      <c r="K70" s="5">
        <v>41959</v>
      </c>
      <c r="L70" s="6">
        <v>12</v>
      </c>
      <c r="M70" s="3">
        <v>1</v>
      </c>
      <c r="N70" s="3">
        <v>1</v>
      </c>
      <c r="O70" s="3">
        <v>12</v>
      </c>
      <c r="P70" s="3">
        <v>0.25</v>
      </c>
      <c r="Q70" s="6">
        <f t="shared" si="8"/>
        <v>9</v>
      </c>
      <c r="R70" s="6">
        <f t="shared" si="7"/>
        <v>0.5625</v>
      </c>
      <c r="S70" s="6">
        <v>2</v>
      </c>
      <c r="T70" s="6">
        <f t="shared" si="9"/>
        <v>1.4375</v>
      </c>
      <c r="U70" s="6">
        <f t="shared" si="10"/>
        <v>23</v>
      </c>
    </row>
    <row r="71" spans="1:23">
      <c r="A71" s="3" t="s">
        <v>1</v>
      </c>
      <c r="B71" s="3" t="s">
        <v>21</v>
      </c>
      <c r="C71" s="3" t="s">
        <v>21</v>
      </c>
      <c r="D71" s="3">
        <v>0</v>
      </c>
      <c r="E71" s="4" t="s">
        <v>22</v>
      </c>
      <c r="F71" s="4" t="s">
        <v>5</v>
      </c>
      <c r="G71" s="3" t="s">
        <v>154</v>
      </c>
      <c r="H71" s="3" t="s">
        <v>24</v>
      </c>
      <c r="I71" s="3">
        <v>23268</v>
      </c>
      <c r="J71" s="5">
        <v>41959</v>
      </c>
      <c r="K71" s="5">
        <v>41959</v>
      </c>
      <c r="L71" s="6">
        <v>22.5</v>
      </c>
      <c r="M71" s="3">
        <v>2</v>
      </c>
      <c r="N71" s="3">
        <v>1</v>
      </c>
      <c r="O71" s="3">
        <v>22.5</v>
      </c>
      <c r="P71" s="3">
        <v>0.25</v>
      </c>
      <c r="Q71" s="6">
        <f t="shared" si="8"/>
        <v>16.875</v>
      </c>
      <c r="R71" s="6">
        <f t="shared" si="7"/>
        <v>1.0546875</v>
      </c>
      <c r="S71" s="6">
        <v>3.5</v>
      </c>
      <c r="T71" s="6">
        <f t="shared" si="9"/>
        <v>2.4453125</v>
      </c>
      <c r="U71" s="6">
        <f t="shared" si="10"/>
        <v>39.125</v>
      </c>
    </row>
    <row r="72" spans="1:23">
      <c r="A72" s="3" t="s">
        <v>31</v>
      </c>
      <c r="B72" s="3" t="s">
        <v>21</v>
      </c>
      <c r="C72" s="3" t="s">
        <v>21</v>
      </c>
      <c r="D72" s="3">
        <v>11</v>
      </c>
      <c r="E72" s="4" t="s">
        <v>22</v>
      </c>
      <c r="F72" s="4" t="s">
        <v>155</v>
      </c>
      <c r="G72" s="3" t="s">
        <v>156</v>
      </c>
      <c r="H72" s="3" t="s">
        <v>30</v>
      </c>
      <c r="I72" s="3">
        <v>73316</v>
      </c>
      <c r="J72" s="3" t="s">
        <v>28</v>
      </c>
      <c r="K72" s="5">
        <v>41989</v>
      </c>
      <c r="L72" s="6">
        <v>36.340000000000003</v>
      </c>
      <c r="M72" s="3">
        <v>1</v>
      </c>
      <c r="N72" s="3">
        <v>1</v>
      </c>
      <c r="O72" s="3">
        <v>36.340000000000003</v>
      </c>
      <c r="P72" s="3">
        <v>0</v>
      </c>
      <c r="Q72" s="6">
        <f>O72</f>
        <v>36.340000000000003</v>
      </c>
      <c r="R72" s="6">
        <f t="shared" si="7"/>
        <v>2.2712500000000002</v>
      </c>
      <c r="S72" s="6">
        <v>5</v>
      </c>
      <c r="T72" s="6">
        <f t="shared" si="9"/>
        <v>2.7287499999999998</v>
      </c>
      <c r="U72" s="6">
        <f t="shared" si="10"/>
        <v>43.66</v>
      </c>
      <c r="V72" s="7" t="s">
        <v>46</v>
      </c>
      <c r="W72" s="7" t="s">
        <v>47</v>
      </c>
    </row>
    <row r="73" spans="1:23">
      <c r="A73" s="3" t="s">
        <v>1</v>
      </c>
      <c r="B73" s="3" t="s">
        <v>21</v>
      </c>
      <c r="C73" s="3" t="s">
        <v>21</v>
      </c>
      <c r="D73" s="3">
        <v>0</v>
      </c>
      <c r="E73" s="4" t="s">
        <v>22</v>
      </c>
      <c r="F73" s="4" t="s">
        <v>5</v>
      </c>
      <c r="G73" s="3" t="s">
        <v>157</v>
      </c>
      <c r="H73" s="3" t="s">
        <v>24</v>
      </c>
      <c r="I73" s="3" t="s">
        <v>158</v>
      </c>
      <c r="J73" s="5">
        <v>41959</v>
      </c>
      <c r="K73" s="5">
        <v>41959</v>
      </c>
      <c r="L73" s="6">
        <v>10</v>
      </c>
      <c r="M73" s="3">
        <v>1</v>
      </c>
      <c r="N73" s="3">
        <v>1</v>
      </c>
      <c r="O73" s="3">
        <v>10</v>
      </c>
      <c r="P73" s="3">
        <v>0.25</v>
      </c>
      <c r="Q73" s="6">
        <f t="shared" ref="Q73:Q82" si="11">O73*0.75</f>
        <v>7.5</v>
      </c>
      <c r="R73" s="6">
        <f t="shared" si="7"/>
        <v>0.46875</v>
      </c>
      <c r="S73" s="6">
        <v>2</v>
      </c>
      <c r="T73" s="6">
        <f t="shared" si="9"/>
        <v>1.53125</v>
      </c>
      <c r="U73" s="6">
        <f t="shared" si="10"/>
        <v>24.5</v>
      </c>
    </row>
    <row r="74" spans="1:23" s="11" customFormat="1">
      <c r="A74" s="3" t="s">
        <v>31</v>
      </c>
      <c r="B74" s="3" t="s">
        <v>21</v>
      </c>
      <c r="C74" s="3" t="s">
        <v>21</v>
      </c>
      <c r="D74" s="3">
        <v>42</v>
      </c>
      <c r="E74" s="4" t="s">
        <v>21</v>
      </c>
      <c r="F74" s="13"/>
      <c r="G74" s="3" t="s">
        <v>159</v>
      </c>
      <c r="H74" s="3" t="s">
        <v>33</v>
      </c>
      <c r="I74" s="3" t="s">
        <v>160</v>
      </c>
      <c r="J74" s="5">
        <v>41989</v>
      </c>
      <c r="K74" s="5">
        <v>41989</v>
      </c>
      <c r="L74" s="6">
        <v>24</v>
      </c>
      <c r="M74" s="3">
        <v>1</v>
      </c>
      <c r="N74" s="3">
        <v>5</v>
      </c>
      <c r="O74" s="6">
        <f>L74/5</f>
        <v>4.8</v>
      </c>
      <c r="P74" s="3">
        <v>0.25</v>
      </c>
      <c r="Q74" s="6">
        <f t="shared" si="11"/>
        <v>3.5999999999999996</v>
      </c>
      <c r="R74" s="6">
        <f t="shared" si="7"/>
        <v>0.22499999999999998</v>
      </c>
      <c r="S74" s="6">
        <v>2</v>
      </c>
      <c r="T74" s="6">
        <f t="shared" si="9"/>
        <v>1.7749999999999999</v>
      </c>
      <c r="U74" s="6">
        <f t="shared" si="10"/>
        <v>28.4</v>
      </c>
    </row>
    <row r="75" spans="1:23">
      <c r="A75" s="3" t="s">
        <v>1</v>
      </c>
      <c r="B75" s="3" t="s">
        <v>21</v>
      </c>
      <c r="C75" s="3" t="s">
        <v>21</v>
      </c>
      <c r="D75" s="3">
        <v>0</v>
      </c>
      <c r="E75" s="4" t="s">
        <v>21</v>
      </c>
      <c r="F75" s="4" t="s">
        <v>5</v>
      </c>
      <c r="G75" s="3" t="s">
        <v>161</v>
      </c>
      <c r="H75" s="3" t="s">
        <v>24</v>
      </c>
      <c r="I75" s="3" t="s">
        <v>162</v>
      </c>
      <c r="J75" s="5">
        <v>41959</v>
      </c>
      <c r="K75" s="5">
        <v>41959</v>
      </c>
      <c r="L75" s="6">
        <v>41</v>
      </c>
      <c r="M75" s="3">
        <v>1</v>
      </c>
      <c r="N75" s="3">
        <v>1</v>
      </c>
      <c r="O75" s="3">
        <v>41</v>
      </c>
      <c r="P75" s="3">
        <v>0.25</v>
      </c>
      <c r="Q75" s="6">
        <f t="shared" si="11"/>
        <v>30.75</v>
      </c>
      <c r="R75" s="6">
        <f t="shared" si="7"/>
        <v>1.921875</v>
      </c>
      <c r="S75" s="6">
        <v>6.25</v>
      </c>
      <c r="T75" s="6">
        <f t="shared" si="9"/>
        <v>4.328125</v>
      </c>
      <c r="U75" s="6">
        <f t="shared" si="10"/>
        <v>69.25</v>
      </c>
    </row>
    <row r="76" spans="1:23">
      <c r="A76" s="3" t="s">
        <v>31</v>
      </c>
      <c r="B76" s="3" t="s">
        <v>26</v>
      </c>
      <c r="C76" s="3" t="s">
        <v>26</v>
      </c>
      <c r="D76" s="3">
        <v>16.3</v>
      </c>
      <c r="E76" s="4" t="s">
        <v>21</v>
      </c>
      <c r="F76" s="4" t="s">
        <v>5</v>
      </c>
      <c r="G76" s="3" t="s">
        <v>161</v>
      </c>
      <c r="H76" s="3" t="s">
        <v>33</v>
      </c>
      <c r="I76" s="3" t="s">
        <v>162</v>
      </c>
      <c r="J76" s="5">
        <v>41989</v>
      </c>
      <c r="K76" s="5">
        <v>41989</v>
      </c>
      <c r="L76" s="6">
        <v>41</v>
      </c>
      <c r="M76" s="3">
        <v>1</v>
      </c>
      <c r="N76" s="3">
        <v>1</v>
      </c>
      <c r="O76" s="3">
        <v>41</v>
      </c>
      <c r="P76" s="3">
        <v>0.25</v>
      </c>
      <c r="Q76" s="6">
        <f t="shared" si="11"/>
        <v>30.75</v>
      </c>
      <c r="R76" s="6">
        <f t="shared" si="7"/>
        <v>1.921875</v>
      </c>
      <c r="S76" s="6">
        <v>6.25</v>
      </c>
      <c r="T76" s="6">
        <f t="shared" si="9"/>
        <v>4.328125</v>
      </c>
      <c r="U76" s="6">
        <f t="shared" si="10"/>
        <v>69.25</v>
      </c>
    </row>
    <row r="77" spans="1:23">
      <c r="A77" s="3" t="s">
        <v>1</v>
      </c>
      <c r="B77" s="3" t="s">
        <v>21</v>
      </c>
      <c r="C77" s="3" t="s">
        <v>21</v>
      </c>
      <c r="D77" s="3">
        <v>0</v>
      </c>
      <c r="E77" s="4" t="s">
        <v>21</v>
      </c>
      <c r="F77" s="4" t="s">
        <v>5</v>
      </c>
      <c r="G77" s="3" t="s">
        <v>163</v>
      </c>
      <c r="H77" s="3" t="s">
        <v>24</v>
      </c>
      <c r="I77" s="3">
        <v>23511</v>
      </c>
      <c r="J77" s="5">
        <v>41959</v>
      </c>
      <c r="K77" s="5">
        <v>41959</v>
      </c>
      <c r="L77" s="6">
        <v>7</v>
      </c>
      <c r="M77" s="3">
        <v>1</v>
      </c>
      <c r="N77" s="3">
        <v>1</v>
      </c>
      <c r="O77" s="3">
        <v>7</v>
      </c>
      <c r="P77" s="3">
        <v>0.25</v>
      </c>
      <c r="Q77" s="6">
        <f t="shared" si="11"/>
        <v>5.25</v>
      </c>
      <c r="R77" s="6">
        <f t="shared" si="7"/>
        <v>0.328125</v>
      </c>
      <c r="S77" s="6">
        <v>6.25</v>
      </c>
      <c r="T77" s="6">
        <f t="shared" si="9"/>
        <v>5.921875</v>
      </c>
      <c r="U77" s="6">
        <f t="shared" si="10"/>
        <v>94.75</v>
      </c>
      <c r="V77" s="7" t="s">
        <v>102</v>
      </c>
    </row>
    <row r="78" spans="1:23">
      <c r="A78" s="3" t="s">
        <v>31</v>
      </c>
      <c r="B78" s="3" t="s">
        <v>21</v>
      </c>
      <c r="C78" s="3" t="s">
        <v>21</v>
      </c>
      <c r="D78" s="3">
        <v>57.8</v>
      </c>
      <c r="E78" s="4" t="s">
        <v>21</v>
      </c>
      <c r="F78" s="4" t="s">
        <v>5</v>
      </c>
      <c r="G78" s="3" t="s">
        <v>164</v>
      </c>
      <c r="H78" s="3" t="s">
        <v>24</v>
      </c>
      <c r="I78" s="3">
        <v>23576</v>
      </c>
      <c r="J78" s="5">
        <v>41959</v>
      </c>
      <c r="K78" s="5">
        <v>41959</v>
      </c>
      <c r="L78" s="6">
        <v>22</v>
      </c>
      <c r="M78" s="3">
        <v>1</v>
      </c>
      <c r="N78" s="3">
        <v>4</v>
      </c>
      <c r="O78" s="6">
        <f>L78</f>
        <v>22</v>
      </c>
      <c r="P78" s="3">
        <v>0.25</v>
      </c>
      <c r="Q78" s="6">
        <f t="shared" si="11"/>
        <v>16.5</v>
      </c>
      <c r="R78" s="6">
        <f t="shared" si="7"/>
        <v>1.03125</v>
      </c>
      <c r="S78" s="6">
        <v>4.25</v>
      </c>
      <c r="T78" s="6">
        <f t="shared" si="9"/>
        <v>3.21875</v>
      </c>
      <c r="U78" s="6">
        <f t="shared" si="10"/>
        <v>51.5</v>
      </c>
      <c r="V78" s="7" t="s">
        <v>165</v>
      </c>
    </row>
    <row r="79" spans="1:23">
      <c r="A79" s="3" t="s">
        <v>1</v>
      </c>
      <c r="B79" s="3" t="s">
        <v>21</v>
      </c>
      <c r="C79" s="3" t="s">
        <v>21</v>
      </c>
      <c r="D79" s="3">
        <v>0</v>
      </c>
      <c r="E79" s="4" t="s">
        <v>21</v>
      </c>
      <c r="F79" s="4" t="s">
        <v>5</v>
      </c>
      <c r="G79" s="3" t="s">
        <v>166</v>
      </c>
      <c r="H79" s="3" t="s">
        <v>24</v>
      </c>
      <c r="I79" s="3">
        <v>22710</v>
      </c>
      <c r="J79" s="5">
        <v>41928</v>
      </c>
      <c r="K79" s="5">
        <v>41928</v>
      </c>
      <c r="L79" s="6">
        <v>12</v>
      </c>
      <c r="M79" s="3">
        <v>1</v>
      </c>
      <c r="N79" s="3">
        <v>1</v>
      </c>
      <c r="O79" s="3">
        <v>10</v>
      </c>
      <c r="P79" s="3">
        <v>0.25</v>
      </c>
      <c r="Q79" s="6">
        <f t="shared" si="11"/>
        <v>7.5</v>
      </c>
      <c r="R79" s="6">
        <f t="shared" si="7"/>
        <v>0.46875</v>
      </c>
      <c r="S79" s="6">
        <v>3</v>
      </c>
      <c r="T79" s="6">
        <f t="shared" si="9"/>
        <v>2.53125</v>
      </c>
      <c r="U79" s="6">
        <f t="shared" si="10"/>
        <v>40.5</v>
      </c>
    </row>
    <row r="80" spans="1:23">
      <c r="A80" s="3" t="s">
        <v>31</v>
      </c>
      <c r="B80" s="3" t="s">
        <v>21</v>
      </c>
      <c r="C80" s="3" t="s">
        <v>21</v>
      </c>
      <c r="D80" s="3">
        <v>9.1999999999999993</v>
      </c>
      <c r="E80" s="4" t="s">
        <v>21</v>
      </c>
      <c r="F80" s="13"/>
      <c r="G80" s="3" t="s">
        <v>167</v>
      </c>
      <c r="H80" s="3" t="s">
        <v>33</v>
      </c>
      <c r="I80" s="3" t="s">
        <v>168</v>
      </c>
      <c r="J80" s="5">
        <v>41989</v>
      </c>
      <c r="K80" s="5">
        <v>41989</v>
      </c>
      <c r="L80" s="6">
        <v>18</v>
      </c>
      <c r="M80" s="3">
        <v>1</v>
      </c>
      <c r="N80" s="3">
        <v>1</v>
      </c>
      <c r="O80" s="3">
        <v>18</v>
      </c>
      <c r="P80" s="3">
        <v>0.25</v>
      </c>
      <c r="Q80" s="6">
        <f t="shared" si="11"/>
        <v>13.5</v>
      </c>
      <c r="R80" s="6">
        <f t="shared" si="7"/>
        <v>0.84375</v>
      </c>
      <c r="S80" s="6">
        <v>3</v>
      </c>
      <c r="T80" s="6">
        <f t="shared" si="9"/>
        <v>2.15625</v>
      </c>
      <c r="U80" s="6">
        <f t="shared" si="10"/>
        <v>34.5</v>
      </c>
    </row>
    <row r="81" spans="1:23">
      <c r="A81" s="3" t="s">
        <v>31</v>
      </c>
      <c r="B81" s="3" t="s">
        <v>21</v>
      </c>
      <c r="C81" s="3" t="s">
        <v>21</v>
      </c>
      <c r="D81" s="3">
        <v>26.7</v>
      </c>
      <c r="E81" s="4" t="s">
        <v>21</v>
      </c>
      <c r="F81" s="4" t="s">
        <v>5</v>
      </c>
      <c r="G81" s="3" t="s">
        <v>169</v>
      </c>
      <c r="H81" s="3" t="s">
        <v>24</v>
      </c>
      <c r="I81" s="3">
        <v>23400</v>
      </c>
      <c r="J81" s="5">
        <v>41959</v>
      </c>
      <c r="K81" s="5">
        <v>41959</v>
      </c>
      <c r="L81" s="6">
        <v>10.5</v>
      </c>
      <c r="M81" s="3">
        <v>1</v>
      </c>
      <c r="N81" s="3">
        <v>2</v>
      </c>
      <c r="O81" s="3">
        <v>10.5</v>
      </c>
      <c r="P81" s="3">
        <v>0.25</v>
      </c>
      <c r="Q81" s="6">
        <f t="shared" si="11"/>
        <v>7.875</v>
      </c>
      <c r="R81" s="6">
        <f t="shared" si="7"/>
        <v>0.4921875</v>
      </c>
      <c r="S81" s="6">
        <v>2</v>
      </c>
      <c r="T81" s="6">
        <f t="shared" si="9"/>
        <v>1.5078125</v>
      </c>
      <c r="U81" s="6">
        <f t="shared" si="10"/>
        <v>24.125</v>
      </c>
    </row>
    <row r="82" spans="1:23">
      <c r="A82" s="3" t="s">
        <v>1</v>
      </c>
      <c r="B82" s="3" t="s">
        <v>21</v>
      </c>
      <c r="C82" s="3" t="s">
        <v>21</v>
      </c>
      <c r="D82" s="3">
        <v>0</v>
      </c>
      <c r="E82" s="4" t="s">
        <v>21</v>
      </c>
      <c r="F82" s="4" t="s">
        <v>27</v>
      </c>
      <c r="G82" s="3" t="s">
        <v>170</v>
      </c>
      <c r="H82" s="3" t="s">
        <v>36</v>
      </c>
      <c r="I82" s="3">
        <v>71437</v>
      </c>
      <c r="J82" s="3" t="s">
        <v>27</v>
      </c>
      <c r="K82" s="5">
        <v>41959</v>
      </c>
      <c r="L82" s="8">
        <v>27.44</v>
      </c>
      <c r="M82" s="3">
        <v>1</v>
      </c>
      <c r="N82" s="3">
        <v>1</v>
      </c>
      <c r="O82" s="7">
        <v>33</v>
      </c>
      <c r="Q82" s="6">
        <f t="shared" si="11"/>
        <v>24.75</v>
      </c>
      <c r="R82" s="6">
        <f t="shared" si="7"/>
        <v>1.546875</v>
      </c>
      <c r="S82" s="6">
        <v>5.25</v>
      </c>
      <c r="T82" s="6">
        <f t="shared" si="9"/>
        <v>3.703125</v>
      </c>
      <c r="U82" s="6">
        <f t="shared" si="10"/>
        <v>59.25</v>
      </c>
      <c r="W82" s="7" t="s">
        <v>171</v>
      </c>
    </row>
    <row r="83" spans="1:23" s="11" customFormat="1">
      <c r="A83" s="8"/>
      <c r="B83" s="8"/>
      <c r="C83" s="8"/>
      <c r="D83" s="8"/>
      <c r="E83" s="13" t="s">
        <v>21</v>
      </c>
      <c r="F83" s="13"/>
      <c r="G83" s="15" t="s">
        <v>172</v>
      </c>
      <c r="H83" s="15"/>
      <c r="I83" s="15"/>
      <c r="J83" s="15"/>
      <c r="K83" s="15"/>
      <c r="L83" s="16"/>
      <c r="M83" s="15">
        <v>2</v>
      </c>
      <c r="N83" s="15">
        <v>1</v>
      </c>
      <c r="O83" s="15">
        <v>17.809999999999999</v>
      </c>
      <c r="Q83" s="17"/>
      <c r="R83" s="17"/>
      <c r="S83" s="10"/>
      <c r="T83" s="18">
        <f t="shared" si="9"/>
        <v>0</v>
      </c>
      <c r="U83" s="18">
        <f t="shared" si="10"/>
        <v>0</v>
      </c>
    </row>
    <row r="84" spans="1:23">
      <c r="A84" s="3" t="s">
        <v>31</v>
      </c>
      <c r="B84" s="3" t="s">
        <v>21</v>
      </c>
      <c r="C84" s="3" t="s">
        <v>21</v>
      </c>
      <c r="D84" s="3">
        <v>13.5</v>
      </c>
      <c r="E84" s="4" t="s">
        <v>21</v>
      </c>
      <c r="F84" s="4" t="s">
        <v>5</v>
      </c>
      <c r="G84" s="3" t="s">
        <v>173</v>
      </c>
      <c r="H84" s="3" t="s">
        <v>24</v>
      </c>
      <c r="I84" s="3">
        <v>23390</v>
      </c>
      <c r="J84" s="19">
        <v>41578</v>
      </c>
      <c r="K84" s="5">
        <v>41959</v>
      </c>
      <c r="L84" s="6">
        <v>10</v>
      </c>
      <c r="M84" s="3">
        <v>1</v>
      </c>
      <c r="N84" s="3">
        <v>1</v>
      </c>
      <c r="O84" s="3">
        <v>10</v>
      </c>
      <c r="P84" s="3">
        <v>0.25</v>
      </c>
      <c r="Q84" s="6">
        <f t="shared" ref="Q84:Q94" si="12">O84*0.75</f>
        <v>7.5</v>
      </c>
      <c r="R84" s="6">
        <f t="shared" ref="R84:R94" si="13">Q84/16</f>
        <v>0.46875</v>
      </c>
      <c r="S84" s="6">
        <v>2.75</v>
      </c>
      <c r="T84" s="6">
        <f t="shared" si="9"/>
        <v>2.28125</v>
      </c>
      <c r="U84" s="6">
        <f t="shared" si="10"/>
        <v>36.5</v>
      </c>
    </row>
    <row r="85" spans="1:23">
      <c r="A85" s="3" t="s">
        <v>31</v>
      </c>
      <c r="B85" s="3" t="s">
        <v>26</v>
      </c>
      <c r="C85" s="3" t="s">
        <v>26</v>
      </c>
      <c r="D85" s="3">
        <v>17</v>
      </c>
      <c r="E85" s="4" t="s">
        <v>21</v>
      </c>
      <c r="F85" s="4" t="s">
        <v>5</v>
      </c>
      <c r="G85" s="3" t="s">
        <v>173</v>
      </c>
      <c r="H85" s="3" t="s">
        <v>24</v>
      </c>
      <c r="I85" s="3">
        <v>23390</v>
      </c>
      <c r="J85" s="19">
        <v>41578</v>
      </c>
      <c r="K85" s="5">
        <v>41959</v>
      </c>
      <c r="L85" s="6">
        <v>10</v>
      </c>
      <c r="M85" s="3">
        <v>1</v>
      </c>
      <c r="N85" s="3">
        <v>1</v>
      </c>
      <c r="O85" s="3">
        <v>10</v>
      </c>
      <c r="P85" s="3">
        <v>0.25</v>
      </c>
      <c r="Q85" s="6">
        <f t="shared" si="12"/>
        <v>7.5</v>
      </c>
      <c r="R85" s="6">
        <f t="shared" si="13"/>
        <v>0.46875</v>
      </c>
      <c r="S85" s="6">
        <v>2.75</v>
      </c>
      <c r="T85" s="6">
        <f t="shared" si="9"/>
        <v>2.28125</v>
      </c>
      <c r="U85" s="6">
        <f t="shared" si="10"/>
        <v>36.5</v>
      </c>
    </row>
    <row r="86" spans="1:23">
      <c r="A86" s="3" t="s">
        <v>31</v>
      </c>
      <c r="B86" s="3" t="s">
        <v>21</v>
      </c>
      <c r="C86" s="3" t="s">
        <v>21</v>
      </c>
      <c r="D86" s="3">
        <v>21.2</v>
      </c>
      <c r="E86" s="4" t="s">
        <v>21</v>
      </c>
      <c r="F86" s="4" t="s">
        <v>5</v>
      </c>
      <c r="G86" s="3" t="s">
        <v>174</v>
      </c>
      <c r="H86" s="3" t="s">
        <v>24</v>
      </c>
      <c r="I86" s="3">
        <v>23700</v>
      </c>
      <c r="J86" s="5">
        <v>41959</v>
      </c>
      <c r="K86" s="5">
        <v>41959</v>
      </c>
      <c r="L86" s="6">
        <v>18</v>
      </c>
      <c r="M86" s="3">
        <v>1</v>
      </c>
      <c r="N86" s="3">
        <v>2</v>
      </c>
      <c r="O86" s="3">
        <v>18</v>
      </c>
      <c r="P86" s="3">
        <v>0.25</v>
      </c>
      <c r="Q86" s="6">
        <f t="shared" si="12"/>
        <v>13.5</v>
      </c>
      <c r="R86" s="6">
        <f t="shared" si="13"/>
        <v>0.84375</v>
      </c>
      <c r="S86" s="6">
        <v>3</v>
      </c>
      <c r="T86" s="6">
        <f t="shared" si="9"/>
        <v>2.15625</v>
      </c>
      <c r="U86" s="6">
        <f t="shared" si="10"/>
        <v>34.5</v>
      </c>
    </row>
    <row r="87" spans="1:23">
      <c r="A87" s="3" t="s">
        <v>31</v>
      </c>
      <c r="B87" s="3" t="s">
        <v>21</v>
      </c>
      <c r="C87" s="3" t="s">
        <v>21</v>
      </c>
      <c r="D87" s="3">
        <v>7.2</v>
      </c>
      <c r="E87" s="4" t="s">
        <v>21</v>
      </c>
      <c r="F87" s="13"/>
      <c r="G87" s="3" t="s">
        <v>175</v>
      </c>
      <c r="H87" s="3" t="s">
        <v>24</v>
      </c>
      <c r="I87" s="3">
        <v>23824</v>
      </c>
      <c r="J87" s="5">
        <v>41959</v>
      </c>
      <c r="K87" s="5">
        <v>41959</v>
      </c>
      <c r="L87" s="6">
        <v>16.5</v>
      </c>
      <c r="M87" s="3">
        <v>1</v>
      </c>
      <c r="N87" s="3">
        <v>1</v>
      </c>
      <c r="O87" s="3">
        <v>16.5</v>
      </c>
      <c r="P87" s="3">
        <v>0.25</v>
      </c>
      <c r="Q87" s="6">
        <f t="shared" si="12"/>
        <v>12.375</v>
      </c>
      <c r="R87" s="6">
        <f t="shared" si="13"/>
        <v>0.7734375</v>
      </c>
      <c r="S87" s="6">
        <v>4.25</v>
      </c>
      <c r="T87" s="6">
        <f t="shared" si="9"/>
        <v>3.4765625</v>
      </c>
      <c r="U87" s="6">
        <f t="shared" si="10"/>
        <v>55.625</v>
      </c>
    </row>
    <row r="88" spans="1:23">
      <c r="A88" s="3" t="s">
        <v>1</v>
      </c>
      <c r="B88" s="3" t="s">
        <v>21</v>
      </c>
      <c r="C88" s="3" t="s">
        <v>21</v>
      </c>
      <c r="D88" s="3">
        <v>0</v>
      </c>
      <c r="E88" s="4" t="s">
        <v>21</v>
      </c>
      <c r="F88" s="4" t="s">
        <v>5</v>
      </c>
      <c r="G88" s="3" t="s">
        <v>176</v>
      </c>
      <c r="H88" s="3" t="s">
        <v>24</v>
      </c>
      <c r="I88" s="3">
        <v>33906</v>
      </c>
      <c r="J88" s="5">
        <v>41959</v>
      </c>
      <c r="K88" s="5">
        <v>41959</v>
      </c>
      <c r="L88" s="6">
        <v>12.5</v>
      </c>
      <c r="M88" s="3">
        <v>2</v>
      </c>
      <c r="N88" s="3">
        <v>1</v>
      </c>
      <c r="O88" s="3">
        <v>12.5</v>
      </c>
      <c r="P88" s="3">
        <v>0.25</v>
      </c>
      <c r="Q88" s="6">
        <f t="shared" si="12"/>
        <v>9.375</v>
      </c>
      <c r="R88" s="6">
        <f t="shared" si="13"/>
        <v>0.5859375</v>
      </c>
      <c r="S88" s="6">
        <v>2</v>
      </c>
      <c r="T88" s="6">
        <f t="shared" si="9"/>
        <v>1.4140625</v>
      </c>
      <c r="U88" s="6">
        <f t="shared" si="10"/>
        <v>22.625</v>
      </c>
    </row>
    <row r="89" spans="1:23">
      <c r="A89" s="3" t="s">
        <v>1</v>
      </c>
      <c r="B89" s="3" t="s">
        <v>21</v>
      </c>
      <c r="C89" s="3" t="s">
        <v>21</v>
      </c>
      <c r="D89" s="3">
        <v>0</v>
      </c>
      <c r="E89" s="4" t="s">
        <v>21</v>
      </c>
      <c r="F89" s="4" t="s">
        <v>177</v>
      </c>
      <c r="G89" s="3" t="s">
        <v>178</v>
      </c>
      <c r="H89" s="3" t="s">
        <v>179</v>
      </c>
      <c r="I89" s="3">
        <v>56829</v>
      </c>
      <c r="J89" s="3" t="s">
        <v>143</v>
      </c>
      <c r="K89" s="3" t="s">
        <v>143</v>
      </c>
      <c r="L89" s="6">
        <v>15.51</v>
      </c>
      <c r="M89" s="3">
        <v>1</v>
      </c>
      <c r="N89" s="3">
        <v>1</v>
      </c>
      <c r="O89" s="3">
        <v>15.51</v>
      </c>
      <c r="P89" s="3"/>
      <c r="Q89" s="6">
        <f t="shared" si="12"/>
        <v>11.6325</v>
      </c>
      <c r="R89" s="6">
        <f t="shared" si="13"/>
        <v>0.72703125000000002</v>
      </c>
      <c r="S89" s="6">
        <v>2</v>
      </c>
      <c r="T89" s="6">
        <f t="shared" si="9"/>
        <v>1.27296875</v>
      </c>
      <c r="U89" s="6">
        <f t="shared" si="10"/>
        <v>20.3675</v>
      </c>
    </row>
    <row r="90" spans="1:23">
      <c r="A90" s="3" t="s">
        <v>31</v>
      </c>
      <c r="B90" s="3" t="s">
        <v>21</v>
      </c>
      <c r="C90" s="3" t="s">
        <v>21</v>
      </c>
      <c r="D90" s="3">
        <v>24.9</v>
      </c>
      <c r="E90" s="4" t="s">
        <v>21</v>
      </c>
      <c r="F90" s="4" t="s">
        <v>5</v>
      </c>
      <c r="G90" s="3" t="s">
        <v>180</v>
      </c>
      <c r="H90" s="3" t="s">
        <v>24</v>
      </c>
      <c r="I90" s="3" t="s">
        <v>181</v>
      </c>
      <c r="J90" s="5">
        <v>41959</v>
      </c>
      <c r="K90" s="5">
        <v>41959</v>
      </c>
      <c r="L90" s="6">
        <v>13.5</v>
      </c>
      <c r="M90" s="3">
        <v>1</v>
      </c>
      <c r="N90" s="3">
        <v>2</v>
      </c>
      <c r="O90" s="3">
        <v>13.5</v>
      </c>
      <c r="P90" s="3">
        <v>0.25</v>
      </c>
      <c r="Q90" s="6">
        <f t="shared" si="12"/>
        <v>10.125</v>
      </c>
      <c r="R90" s="6">
        <f t="shared" si="13"/>
        <v>0.6328125</v>
      </c>
      <c r="S90" s="6">
        <v>2.25</v>
      </c>
      <c r="T90" s="6">
        <f t="shared" si="9"/>
        <v>1.6171875</v>
      </c>
      <c r="U90" s="6">
        <f t="shared" si="10"/>
        <v>25.875</v>
      </c>
      <c r="V90" s="7" t="s">
        <v>182</v>
      </c>
    </row>
    <row r="91" spans="1:23" s="8" customFormat="1">
      <c r="B91" s="3" t="s">
        <v>21</v>
      </c>
      <c r="C91" s="3" t="s">
        <v>21</v>
      </c>
      <c r="E91" s="4" t="s">
        <v>21</v>
      </c>
      <c r="F91" s="13"/>
      <c r="G91" s="3" t="s">
        <v>183</v>
      </c>
      <c r="L91" s="10"/>
      <c r="M91" s="8">
        <v>15.99</v>
      </c>
      <c r="O91" s="8">
        <v>10.5</v>
      </c>
      <c r="Q91" s="10">
        <f t="shared" si="12"/>
        <v>7.875</v>
      </c>
      <c r="R91" s="10">
        <f t="shared" si="13"/>
        <v>0.4921875</v>
      </c>
      <c r="S91" s="6">
        <v>2</v>
      </c>
      <c r="T91" s="10">
        <f t="shared" si="9"/>
        <v>1.5078125</v>
      </c>
      <c r="U91" s="10">
        <f t="shared" si="10"/>
        <v>24.125</v>
      </c>
    </row>
    <row r="92" spans="1:23">
      <c r="A92" s="3" t="s">
        <v>1</v>
      </c>
      <c r="B92" s="3" t="s">
        <v>21</v>
      </c>
      <c r="C92" s="3" t="s">
        <v>21</v>
      </c>
      <c r="D92" s="3">
        <v>0</v>
      </c>
      <c r="E92" s="4" t="s">
        <v>21</v>
      </c>
      <c r="F92" s="4" t="s">
        <v>184</v>
      </c>
      <c r="G92" s="3" t="s">
        <v>185</v>
      </c>
      <c r="H92" s="3" t="s">
        <v>24</v>
      </c>
      <c r="I92" s="3">
        <v>23091</v>
      </c>
      <c r="J92" s="5">
        <v>41959</v>
      </c>
      <c r="K92" s="5">
        <v>41959</v>
      </c>
      <c r="L92" s="6">
        <v>28</v>
      </c>
      <c r="M92" s="3">
        <v>1</v>
      </c>
      <c r="N92" s="3">
        <v>1</v>
      </c>
      <c r="O92" s="3">
        <v>28</v>
      </c>
      <c r="P92" s="3">
        <v>0.25</v>
      </c>
      <c r="Q92" s="6">
        <f t="shared" si="12"/>
        <v>21</v>
      </c>
      <c r="R92" s="6">
        <f t="shared" si="13"/>
        <v>1.3125</v>
      </c>
      <c r="S92" s="6">
        <v>4.5</v>
      </c>
      <c r="T92" s="6">
        <f t="shared" si="9"/>
        <v>3.1875</v>
      </c>
      <c r="U92" s="6">
        <f t="shared" si="10"/>
        <v>51</v>
      </c>
      <c r="V92" s="7" t="s">
        <v>87</v>
      </c>
    </row>
    <row r="93" spans="1:23">
      <c r="A93" s="3" t="s">
        <v>31</v>
      </c>
      <c r="B93" s="3" t="s">
        <v>21</v>
      </c>
      <c r="C93" s="3" t="s">
        <v>21</v>
      </c>
      <c r="D93" s="3">
        <v>7.2</v>
      </c>
      <c r="E93" s="4" t="s">
        <v>21</v>
      </c>
      <c r="F93" s="13"/>
      <c r="G93" s="3" t="s">
        <v>186</v>
      </c>
      <c r="H93" s="3" t="s">
        <v>24</v>
      </c>
      <c r="I93" s="3">
        <v>22956</v>
      </c>
      <c r="J93" s="5">
        <v>41959</v>
      </c>
      <c r="K93" s="5">
        <v>41959</v>
      </c>
      <c r="L93" s="6">
        <v>8</v>
      </c>
      <c r="M93" s="3">
        <v>1</v>
      </c>
      <c r="N93" s="3">
        <v>1</v>
      </c>
      <c r="O93" s="3">
        <v>8</v>
      </c>
      <c r="P93" s="3">
        <v>0.25</v>
      </c>
      <c r="Q93" s="6">
        <f t="shared" si="12"/>
        <v>6</v>
      </c>
      <c r="R93" s="6">
        <f t="shared" si="13"/>
        <v>0.375</v>
      </c>
      <c r="S93" s="6">
        <v>1.75</v>
      </c>
      <c r="T93" s="6">
        <f t="shared" si="9"/>
        <v>1.375</v>
      </c>
      <c r="U93" s="6">
        <f t="shared" si="10"/>
        <v>22</v>
      </c>
    </row>
    <row r="94" spans="1:23">
      <c r="A94" s="8"/>
      <c r="B94" s="8"/>
      <c r="C94" s="8"/>
      <c r="D94" s="8"/>
      <c r="E94" s="13" t="s">
        <v>21</v>
      </c>
      <c r="F94" s="13"/>
      <c r="G94" s="8" t="s">
        <v>187</v>
      </c>
      <c r="H94" s="8"/>
      <c r="I94" s="8"/>
      <c r="J94" s="8"/>
      <c r="K94" s="8"/>
      <c r="L94" s="10"/>
      <c r="M94" s="8">
        <v>2</v>
      </c>
      <c r="N94" s="8">
        <v>1</v>
      </c>
      <c r="O94" s="8">
        <v>13</v>
      </c>
      <c r="P94" s="20"/>
      <c r="Q94" s="10">
        <f t="shared" si="12"/>
        <v>9.75</v>
      </c>
      <c r="R94" s="10">
        <f t="shared" si="13"/>
        <v>0.609375</v>
      </c>
      <c r="S94" s="10">
        <v>1.75</v>
      </c>
      <c r="T94" s="10">
        <f t="shared" si="9"/>
        <v>1.140625</v>
      </c>
      <c r="U94" s="10">
        <f t="shared" si="10"/>
        <v>18.25</v>
      </c>
    </row>
    <row r="95" spans="1:23">
      <c r="A95" s="8"/>
      <c r="B95" s="8"/>
      <c r="C95" s="8"/>
      <c r="D95" s="8"/>
      <c r="E95" s="13"/>
      <c r="F95" s="13"/>
      <c r="G95" s="8" t="s">
        <v>188</v>
      </c>
      <c r="H95" s="8" t="s">
        <v>33</v>
      </c>
      <c r="I95" s="8"/>
      <c r="J95" s="8"/>
      <c r="K95" s="8"/>
      <c r="L95" s="10"/>
      <c r="M95" s="8">
        <v>1</v>
      </c>
      <c r="N95" s="8">
        <v>1</v>
      </c>
      <c r="O95" s="8">
        <v>13</v>
      </c>
      <c r="P95" s="8"/>
      <c r="Q95" s="10"/>
      <c r="R95" s="10"/>
      <c r="S95" s="10">
        <v>1.75</v>
      </c>
      <c r="T95" s="10"/>
      <c r="U95" s="10"/>
    </row>
    <row r="96" spans="1:23">
      <c r="A96" s="3" t="s">
        <v>31</v>
      </c>
      <c r="B96" s="3" t="s">
        <v>21</v>
      </c>
      <c r="C96" s="3" t="s">
        <v>21</v>
      </c>
      <c r="D96" s="3">
        <v>28.7</v>
      </c>
      <c r="E96" s="4" t="s">
        <v>21</v>
      </c>
      <c r="F96" s="4" t="s">
        <v>5</v>
      </c>
      <c r="G96" s="3" t="s">
        <v>189</v>
      </c>
      <c r="H96" s="3" t="s">
        <v>24</v>
      </c>
      <c r="I96" s="3" t="s">
        <v>190</v>
      </c>
      <c r="J96" s="5">
        <v>41989</v>
      </c>
      <c r="K96" s="5">
        <v>41989</v>
      </c>
      <c r="L96" s="17"/>
      <c r="M96" s="3">
        <v>1</v>
      </c>
      <c r="N96" s="3">
        <v>2</v>
      </c>
      <c r="O96" s="8">
        <v>13</v>
      </c>
      <c r="P96" s="8"/>
      <c r="Q96" s="10">
        <f t="shared" ref="Q96:Q108" si="14">O96*0.75</f>
        <v>9.75</v>
      </c>
      <c r="R96" s="10">
        <f t="shared" ref="R96:R128" si="15">Q96/16</f>
        <v>0.609375</v>
      </c>
      <c r="S96" s="10">
        <v>2</v>
      </c>
      <c r="T96" s="10">
        <f t="shared" ref="T96:T127" si="16">S96-R96</f>
        <v>1.390625</v>
      </c>
      <c r="U96" s="10">
        <f t="shared" ref="U96:U127" si="17">T96*16</f>
        <v>22.25</v>
      </c>
    </row>
    <row r="97" spans="1:23">
      <c r="A97" s="3" t="s">
        <v>31</v>
      </c>
      <c r="B97" s="3" t="s">
        <v>21</v>
      </c>
      <c r="C97" s="3" t="s">
        <v>21</v>
      </c>
      <c r="D97" s="3">
        <v>8</v>
      </c>
      <c r="E97" s="4" t="s">
        <v>21</v>
      </c>
      <c r="F97" s="4" t="s">
        <v>5</v>
      </c>
      <c r="G97" s="3" t="s">
        <v>191</v>
      </c>
      <c r="H97" s="3" t="s">
        <v>33</v>
      </c>
      <c r="I97" s="3" t="s">
        <v>192</v>
      </c>
      <c r="J97" s="5">
        <v>41959</v>
      </c>
      <c r="K97" s="5">
        <v>41959</v>
      </c>
      <c r="L97" s="6">
        <v>13</v>
      </c>
      <c r="M97" s="3">
        <v>1</v>
      </c>
      <c r="N97" s="3">
        <v>1</v>
      </c>
      <c r="O97" s="3">
        <v>13</v>
      </c>
      <c r="P97" s="3">
        <v>0.25</v>
      </c>
      <c r="Q97" s="6">
        <f t="shared" si="14"/>
        <v>9.75</v>
      </c>
      <c r="R97" s="6">
        <f t="shared" si="15"/>
        <v>0.609375</v>
      </c>
      <c r="S97" s="6">
        <v>2</v>
      </c>
      <c r="T97" s="6">
        <f t="shared" si="16"/>
        <v>1.390625</v>
      </c>
      <c r="U97" s="6">
        <f t="shared" si="17"/>
        <v>22.25</v>
      </c>
    </row>
    <row r="98" spans="1:23">
      <c r="A98" s="3" t="s">
        <v>31</v>
      </c>
      <c r="B98" s="3" t="s">
        <v>21</v>
      </c>
      <c r="C98" s="3" t="s">
        <v>21</v>
      </c>
      <c r="D98" s="3">
        <v>5.3</v>
      </c>
      <c r="E98" s="4" t="s">
        <v>21</v>
      </c>
      <c r="F98" s="13"/>
      <c r="G98" s="3" t="s">
        <v>193</v>
      </c>
      <c r="H98" s="3" t="s">
        <v>24</v>
      </c>
      <c r="I98" s="3">
        <v>23785</v>
      </c>
      <c r="J98" s="5">
        <v>41959</v>
      </c>
      <c r="K98" s="5">
        <v>41959</v>
      </c>
      <c r="L98" s="6">
        <v>24.5</v>
      </c>
      <c r="M98" s="3">
        <v>1</v>
      </c>
      <c r="N98" s="3">
        <v>1</v>
      </c>
      <c r="O98" s="3">
        <v>24.5</v>
      </c>
      <c r="P98" s="3">
        <v>0.25</v>
      </c>
      <c r="Q98" s="6">
        <f t="shared" si="14"/>
        <v>18.375</v>
      </c>
      <c r="R98" s="6">
        <f t="shared" si="15"/>
        <v>1.1484375</v>
      </c>
      <c r="S98" s="6">
        <v>4</v>
      </c>
      <c r="T98" s="6">
        <f t="shared" si="16"/>
        <v>2.8515625</v>
      </c>
      <c r="U98" s="6">
        <f t="shared" si="17"/>
        <v>45.625</v>
      </c>
    </row>
    <row r="99" spans="1:23">
      <c r="A99" s="3" t="s">
        <v>1</v>
      </c>
      <c r="B99" s="3" t="s">
        <v>21</v>
      </c>
      <c r="C99" s="3" t="s">
        <v>21</v>
      </c>
      <c r="D99" s="3" t="s">
        <v>26</v>
      </c>
      <c r="E99" s="4" t="s">
        <v>21</v>
      </c>
      <c r="F99" s="4" t="s">
        <v>5</v>
      </c>
      <c r="G99" s="3" t="s">
        <v>194</v>
      </c>
      <c r="H99" s="3" t="s">
        <v>33</v>
      </c>
      <c r="I99" s="3">
        <v>23976</v>
      </c>
      <c r="J99" s="5">
        <v>41989</v>
      </c>
      <c r="K99" s="5">
        <v>41989</v>
      </c>
      <c r="L99" s="18"/>
      <c r="M99" s="3">
        <v>1</v>
      </c>
      <c r="N99" s="3">
        <v>1</v>
      </c>
      <c r="O99" s="7">
        <v>14</v>
      </c>
      <c r="Q99" s="6">
        <f t="shared" si="14"/>
        <v>10.5</v>
      </c>
      <c r="R99" s="6">
        <f t="shared" si="15"/>
        <v>0.65625</v>
      </c>
      <c r="S99" s="6">
        <v>2.25</v>
      </c>
      <c r="T99" s="6">
        <f t="shared" si="16"/>
        <v>1.59375</v>
      </c>
      <c r="U99" s="6">
        <f t="shared" si="17"/>
        <v>25.5</v>
      </c>
    </row>
    <row r="100" spans="1:23">
      <c r="A100" s="3" t="s">
        <v>31</v>
      </c>
      <c r="B100" s="3" t="s">
        <v>26</v>
      </c>
      <c r="C100" s="3" t="s">
        <v>26</v>
      </c>
      <c r="D100" s="3">
        <v>16.100000000000001</v>
      </c>
      <c r="E100" s="4" t="s">
        <v>26</v>
      </c>
      <c r="F100" s="13"/>
      <c r="G100" s="3" t="s">
        <v>194</v>
      </c>
      <c r="H100" s="3" t="s">
        <v>33</v>
      </c>
      <c r="I100" s="3">
        <v>23787</v>
      </c>
      <c r="J100" s="5">
        <v>41959</v>
      </c>
      <c r="K100" s="5">
        <v>41959</v>
      </c>
      <c r="L100" s="6">
        <v>14</v>
      </c>
      <c r="M100" s="3">
        <v>1</v>
      </c>
      <c r="N100" s="3">
        <v>1</v>
      </c>
      <c r="O100" s="3">
        <v>14</v>
      </c>
      <c r="P100" s="3">
        <v>0.25</v>
      </c>
      <c r="Q100" s="6">
        <f t="shared" si="14"/>
        <v>10.5</v>
      </c>
      <c r="R100" s="6">
        <f t="shared" si="15"/>
        <v>0.65625</v>
      </c>
      <c r="S100" s="6">
        <v>2.25</v>
      </c>
      <c r="T100" s="6">
        <f t="shared" si="16"/>
        <v>1.59375</v>
      </c>
      <c r="U100" s="6">
        <f t="shared" si="17"/>
        <v>25.5</v>
      </c>
    </row>
    <row r="101" spans="1:23">
      <c r="A101" s="3" t="s">
        <v>1</v>
      </c>
      <c r="B101" s="3" t="s">
        <v>21</v>
      </c>
      <c r="C101" s="3" t="s">
        <v>21</v>
      </c>
      <c r="D101" s="3" t="s">
        <v>26</v>
      </c>
      <c r="E101" s="4" t="s">
        <v>21</v>
      </c>
      <c r="F101" s="4" t="s">
        <v>5</v>
      </c>
      <c r="G101" s="3" t="s">
        <v>195</v>
      </c>
      <c r="H101" s="3" t="s">
        <v>24</v>
      </c>
      <c r="I101" s="3" t="s">
        <v>196</v>
      </c>
      <c r="J101" s="5">
        <v>41959</v>
      </c>
      <c r="K101" s="5">
        <v>41959</v>
      </c>
      <c r="L101" s="6">
        <v>19</v>
      </c>
      <c r="M101" s="3">
        <v>1</v>
      </c>
      <c r="N101" s="3">
        <v>1</v>
      </c>
      <c r="O101" s="3">
        <v>19</v>
      </c>
      <c r="P101" s="3">
        <v>0.25</v>
      </c>
      <c r="Q101" s="6">
        <f t="shared" si="14"/>
        <v>14.25</v>
      </c>
      <c r="R101" s="6">
        <f t="shared" si="15"/>
        <v>0.890625</v>
      </c>
      <c r="S101" s="6">
        <v>3</v>
      </c>
      <c r="T101" s="6">
        <f t="shared" si="16"/>
        <v>2.109375</v>
      </c>
      <c r="U101" s="6">
        <f t="shared" si="17"/>
        <v>33.75</v>
      </c>
      <c r="V101" s="7" t="s">
        <v>102</v>
      </c>
    </row>
    <row r="102" spans="1:23">
      <c r="A102" s="3" t="s">
        <v>1</v>
      </c>
      <c r="B102" s="3" t="s">
        <v>21</v>
      </c>
      <c r="C102" s="3" t="s">
        <v>21</v>
      </c>
      <c r="D102" s="3" t="s">
        <v>26</v>
      </c>
      <c r="E102" s="4" t="s">
        <v>21</v>
      </c>
      <c r="F102" s="4" t="s">
        <v>5</v>
      </c>
      <c r="G102" s="3" t="s">
        <v>197</v>
      </c>
      <c r="H102" s="3" t="s">
        <v>24</v>
      </c>
      <c r="I102" s="3" t="s">
        <v>198</v>
      </c>
      <c r="J102" s="5">
        <v>41959</v>
      </c>
      <c r="K102" s="5">
        <v>41959</v>
      </c>
      <c r="L102" s="6">
        <v>22.5</v>
      </c>
      <c r="M102" s="3">
        <v>1</v>
      </c>
      <c r="N102" s="3">
        <v>1</v>
      </c>
      <c r="O102" s="3">
        <v>22.5</v>
      </c>
      <c r="P102" s="3">
        <v>0.25</v>
      </c>
      <c r="Q102" s="6">
        <f t="shared" si="14"/>
        <v>16.875</v>
      </c>
      <c r="R102" s="6">
        <f t="shared" si="15"/>
        <v>1.0546875</v>
      </c>
      <c r="S102" s="6">
        <v>3.5</v>
      </c>
      <c r="T102" s="6">
        <f t="shared" si="16"/>
        <v>2.4453125</v>
      </c>
      <c r="U102" s="6">
        <f t="shared" si="17"/>
        <v>39.125</v>
      </c>
    </row>
    <row r="103" spans="1:23">
      <c r="A103" s="3" t="s">
        <v>31</v>
      </c>
      <c r="B103" s="3" t="s">
        <v>21</v>
      </c>
      <c r="C103" s="3" t="s">
        <v>21</v>
      </c>
      <c r="D103" s="3">
        <v>11.3</v>
      </c>
      <c r="E103" s="4" t="s">
        <v>21</v>
      </c>
      <c r="F103" s="13"/>
      <c r="G103" s="3" t="s">
        <v>199</v>
      </c>
      <c r="H103" s="3" t="s">
        <v>24</v>
      </c>
      <c r="I103" s="3">
        <v>23660</v>
      </c>
      <c r="J103" s="5">
        <v>41959</v>
      </c>
      <c r="K103" s="5">
        <v>41959</v>
      </c>
      <c r="L103" s="6">
        <v>13.5</v>
      </c>
      <c r="M103" s="3">
        <v>1</v>
      </c>
      <c r="N103" s="3">
        <v>1</v>
      </c>
      <c r="O103" s="3">
        <v>13.5</v>
      </c>
      <c r="P103" s="3">
        <v>0.25</v>
      </c>
      <c r="Q103" s="6">
        <f t="shared" si="14"/>
        <v>10.125</v>
      </c>
      <c r="R103" s="6">
        <f t="shared" si="15"/>
        <v>0.6328125</v>
      </c>
      <c r="S103" s="6">
        <v>2.25</v>
      </c>
      <c r="T103" s="6">
        <f t="shared" si="16"/>
        <v>1.6171875</v>
      </c>
      <c r="U103" s="6">
        <f t="shared" si="17"/>
        <v>25.875</v>
      </c>
      <c r="V103" s="7" t="s">
        <v>200</v>
      </c>
    </row>
    <row r="104" spans="1:23">
      <c r="A104" s="3" t="s">
        <v>31</v>
      </c>
      <c r="B104" s="3" t="s">
        <v>21</v>
      </c>
      <c r="C104" s="3" t="s">
        <v>21</v>
      </c>
      <c r="D104" s="3">
        <v>23.4</v>
      </c>
      <c r="E104" s="4" t="s">
        <v>21</v>
      </c>
      <c r="F104" s="13"/>
      <c r="G104" s="3" t="s">
        <v>201</v>
      </c>
      <c r="H104" s="3" t="s">
        <v>24</v>
      </c>
      <c r="I104" s="3">
        <v>23903</v>
      </c>
      <c r="J104" s="5">
        <v>41989</v>
      </c>
      <c r="K104" s="5">
        <v>41989</v>
      </c>
      <c r="L104" s="6">
        <v>17</v>
      </c>
      <c r="M104" s="3">
        <v>2</v>
      </c>
      <c r="N104" s="3">
        <v>1</v>
      </c>
      <c r="O104" s="3">
        <v>17</v>
      </c>
      <c r="P104" s="3">
        <v>0.25</v>
      </c>
      <c r="Q104" s="6">
        <f t="shared" si="14"/>
        <v>12.75</v>
      </c>
      <c r="R104" s="6">
        <f t="shared" si="15"/>
        <v>0.796875</v>
      </c>
      <c r="S104" s="6">
        <v>2.25</v>
      </c>
      <c r="T104" s="6">
        <f t="shared" si="16"/>
        <v>1.453125</v>
      </c>
      <c r="U104" s="6">
        <f t="shared" si="17"/>
        <v>23.25</v>
      </c>
    </row>
    <row r="105" spans="1:23">
      <c r="A105" s="3" t="s">
        <v>31</v>
      </c>
      <c r="B105" s="3" t="s">
        <v>21</v>
      </c>
      <c r="C105" s="3" t="s">
        <v>21</v>
      </c>
      <c r="D105" s="3">
        <v>16</v>
      </c>
      <c r="E105" s="4" t="s">
        <v>21</v>
      </c>
      <c r="F105" s="13"/>
      <c r="G105" s="3" t="s">
        <v>202</v>
      </c>
      <c r="H105" s="3" t="s">
        <v>24</v>
      </c>
      <c r="I105" s="3">
        <v>23819</v>
      </c>
      <c r="J105" s="5">
        <v>41989</v>
      </c>
      <c r="K105" s="5">
        <v>41989</v>
      </c>
      <c r="L105" s="6">
        <v>9</v>
      </c>
      <c r="M105" s="3">
        <v>1</v>
      </c>
      <c r="N105" s="3">
        <v>2</v>
      </c>
      <c r="O105" s="3">
        <v>9</v>
      </c>
      <c r="P105" s="3">
        <v>0.25</v>
      </c>
      <c r="Q105" s="6">
        <f t="shared" si="14"/>
        <v>6.75</v>
      </c>
      <c r="R105" s="6">
        <f t="shared" si="15"/>
        <v>0.421875</v>
      </c>
      <c r="S105" s="6">
        <v>2.75</v>
      </c>
      <c r="T105" s="6">
        <f t="shared" si="16"/>
        <v>2.328125</v>
      </c>
      <c r="U105" s="6">
        <f t="shared" si="17"/>
        <v>37.25</v>
      </c>
    </row>
    <row r="106" spans="1:23">
      <c r="A106" s="3" t="s">
        <v>31</v>
      </c>
      <c r="B106" s="3" t="s">
        <v>21</v>
      </c>
      <c r="C106" s="3" t="s">
        <v>21</v>
      </c>
      <c r="D106" s="3">
        <v>9.5</v>
      </c>
      <c r="E106" s="4" t="s">
        <v>21</v>
      </c>
      <c r="F106" s="13"/>
      <c r="G106" s="3" t="s">
        <v>203</v>
      </c>
      <c r="H106" s="3" t="s">
        <v>24</v>
      </c>
      <c r="I106" s="3" t="s">
        <v>204</v>
      </c>
      <c r="J106" s="5">
        <v>41959</v>
      </c>
      <c r="K106" s="5">
        <v>41959</v>
      </c>
      <c r="L106" s="6">
        <v>10</v>
      </c>
      <c r="M106" s="3">
        <v>1</v>
      </c>
      <c r="N106" s="3">
        <v>1</v>
      </c>
      <c r="O106" s="3">
        <v>10</v>
      </c>
      <c r="P106" s="3">
        <v>0.25</v>
      </c>
      <c r="Q106" s="6">
        <f t="shared" si="14"/>
        <v>7.5</v>
      </c>
      <c r="R106" s="6">
        <f t="shared" si="15"/>
        <v>0.46875</v>
      </c>
      <c r="S106" s="6">
        <v>2</v>
      </c>
      <c r="T106" s="6">
        <f t="shared" si="16"/>
        <v>1.53125</v>
      </c>
      <c r="U106" s="6">
        <f t="shared" si="17"/>
        <v>24.5</v>
      </c>
    </row>
    <row r="107" spans="1:23">
      <c r="A107" s="3" t="s">
        <v>205</v>
      </c>
      <c r="B107" s="3" t="s">
        <v>21</v>
      </c>
      <c r="C107" s="3" t="s">
        <v>21</v>
      </c>
      <c r="D107" s="3">
        <v>73.099999999999994</v>
      </c>
      <c r="E107" s="4" t="s">
        <v>21</v>
      </c>
      <c r="F107" s="13"/>
      <c r="G107" s="3" t="s">
        <v>206</v>
      </c>
      <c r="H107" s="3" t="s">
        <v>33</v>
      </c>
      <c r="I107" s="3">
        <v>23620</v>
      </c>
      <c r="J107" s="5">
        <v>41989</v>
      </c>
      <c r="K107" s="5">
        <v>41989</v>
      </c>
      <c r="L107" s="6">
        <v>13</v>
      </c>
      <c r="M107" s="3">
        <v>1</v>
      </c>
      <c r="N107" s="3">
        <v>5</v>
      </c>
      <c r="O107" s="3">
        <v>13</v>
      </c>
      <c r="P107" s="3">
        <v>0.25</v>
      </c>
      <c r="Q107" s="6">
        <f t="shared" si="14"/>
        <v>9.75</v>
      </c>
      <c r="R107" s="6">
        <f t="shared" si="15"/>
        <v>0.609375</v>
      </c>
      <c r="S107" s="6">
        <v>2</v>
      </c>
      <c r="T107" s="6">
        <f t="shared" si="16"/>
        <v>1.390625</v>
      </c>
      <c r="U107" s="6">
        <f t="shared" si="17"/>
        <v>22.25</v>
      </c>
      <c r="W107" s="7" t="s">
        <v>207</v>
      </c>
    </row>
    <row r="108" spans="1:23">
      <c r="A108" s="3" t="s">
        <v>31</v>
      </c>
      <c r="B108" s="3" t="s">
        <v>21</v>
      </c>
      <c r="C108" s="3" t="s">
        <v>21</v>
      </c>
      <c r="D108" s="3">
        <v>18.7</v>
      </c>
      <c r="E108" s="4" t="s">
        <v>21</v>
      </c>
      <c r="F108" s="13"/>
      <c r="G108" s="3" t="s">
        <v>208</v>
      </c>
      <c r="H108" s="3" t="s">
        <v>33</v>
      </c>
      <c r="I108" s="3" t="s">
        <v>209</v>
      </c>
      <c r="J108" s="5">
        <v>41989</v>
      </c>
      <c r="K108" s="5">
        <v>41989</v>
      </c>
      <c r="L108" s="16"/>
      <c r="M108" s="3">
        <v>1</v>
      </c>
      <c r="N108" s="3">
        <v>2</v>
      </c>
      <c r="O108" s="15">
        <v>10</v>
      </c>
      <c r="Q108" s="18">
        <f t="shared" si="14"/>
        <v>7.5</v>
      </c>
      <c r="R108" s="18">
        <f t="shared" si="15"/>
        <v>0.46875</v>
      </c>
      <c r="S108" s="18">
        <v>2</v>
      </c>
      <c r="T108" s="18">
        <f t="shared" si="16"/>
        <v>1.53125</v>
      </c>
      <c r="U108" s="18">
        <f t="shared" si="17"/>
        <v>24.5</v>
      </c>
    </row>
    <row r="109" spans="1:23">
      <c r="A109" s="3" t="s">
        <v>31</v>
      </c>
      <c r="B109" s="3" t="s">
        <v>21</v>
      </c>
      <c r="C109" s="3" t="s">
        <v>26</v>
      </c>
      <c r="D109" s="3">
        <v>16.2</v>
      </c>
      <c r="E109" s="4" t="s">
        <v>21</v>
      </c>
      <c r="F109" s="13"/>
      <c r="G109" s="3" t="s">
        <v>210</v>
      </c>
      <c r="H109" s="3" t="s">
        <v>30</v>
      </c>
      <c r="I109" s="3">
        <v>51667</v>
      </c>
      <c r="J109" s="3" t="s">
        <v>27</v>
      </c>
      <c r="K109" s="5">
        <v>41989</v>
      </c>
      <c r="L109" s="3">
        <v>21.21</v>
      </c>
      <c r="M109" s="3">
        <v>1</v>
      </c>
      <c r="N109" s="3">
        <v>1</v>
      </c>
      <c r="O109" s="3">
        <v>21.21</v>
      </c>
      <c r="P109" s="3">
        <v>0</v>
      </c>
      <c r="Q109" s="6">
        <f>O109</f>
        <v>21.21</v>
      </c>
      <c r="R109" s="6">
        <f t="shared" si="15"/>
        <v>1.3256250000000001</v>
      </c>
      <c r="S109" s="6">
        <v>3</v>
      </c>
      <c r="T109" s="6">
        <f t="shared" si="16"/>
        <v>1.6743749999999999</v>
      </c>
      <c r="U109" s="6">
        <f t="shared" si="17"/>
        <v>26.79</v>
      </c>
    </row>
    <row r="110" spans="1:23">
      <c r="A110" s="3" t="s">
        <v>31</v>
      </c>
      <c r="B110" s="3" t="s">
        <v>21</v>
      </c>
      <c r="C110" s="3" t="s">
        <v>21</v>
      </c>
      <c r="D110" s="3">
        <v>8.1999999999999993</v>
      </c>
      <c r="E110" s="4" t="s">
        <v>21</v>
      </c>
      <c r="F110" s="13"/>
      <c r="G110" s="3" t="s">
        <v>211</v>
      </c>
      <c r="H110" s="3" t="s">
        <v>30</v>
      </c>
      <c r="I110" s="3">
        <v>51667</v>
      </c>
      <c r="J110" s="3" t="s">
        <v>27</v>
      </c>
      <c r="K110" s="5">
        <v>41989</v>
      </c>
      <c r="L110" s="3">
        <v>21.21</v>
      </c>
      <c r="M110" s="3">
        <v>1</v>
      </c>
      <c r="N110" s="3">
        <v>1</v>
      </c>
      <c r="O110" s="3">
        <v>21.21</v>
      </c>
      <c r="P110" s="3">
        <v>0</v>
      </c>
      <c r="Q110" s="6">
        <f>O110</f>
        <v>21.21</v>
      </c>
      <c r="R110" s="6">
        <f t="shared" si="15"/>
        <v>1.3256250000000001</v>
      </c>
      <c r="S110" s="6">
        <v>3</v>
      </c>
      <c r="T110" s="6">
        <f t="shared" si="16"/>
        <v>1.6743749999999999</v>
      </c>
      <c r="U110" s="6">
        <f t="shared" si="17"/>
        <v>26.79</v>
      </c>
    </row>
    <row r="111" spans="1:23">
      <c r="A111" s="3" t="s">
        <v>31</v>
      </c>
      <c r="B111" s="3" t="s">
        <v>21</v>
      </c>
      <c r="C111" s="3" t="s">
        <v>21</v>
      </c>
      <c r="D111" s="3">
        <v>28</v>
      </c>
      <c r="E111" s="4" t="s">
        <v>21</v>
      </c>
      <c r="F111" s="4" t="s">
        <v>5</v>
      </c>
      <c r="G111" s="3" t="s">
        <v>212</v>
      </c>
      <c r="H111" s="3" t="s">
        <v>33</v>
      </c>
      <c r="I111" s="3">
        <v>23702</v>
      </c>
      <c r="J111" s="5">
        <v>41959</v>
      </c>
      <c r="K111" s="5">
        <v>41959</v>
      </c>
      <c r="L111" s="6">
        <v>14</v>
      </c>
      <c r="M111" s="3">
        <v>1</v>
      </c>
      <c r="N111" s="3">
        <v>2</v>
      </c>
      <c r="O111" s="3">
        <v>14</v>
      </c>
      <c r="P111" s="3"/>
      <c r="Q111" s="6">
        <f>O111*0.75</f>
        <v>10.5</v>
      </c>
      <c r="R111" s="6">
        <f t="shared" si="15"/>
        <v>0.65625</v>
      </c>
      <c r="S111" s="6">
        <v>3.5</v>
      </c>
      <c r="T111" s="6">
        <f t="shared" si="16"/>
        <v>2.84375</v>
      </c>
      <c r="U111" s="6">
        <f t="shared" si="17"/>
        <v>45.5</v>
      </c>
    </row>
    <row r="112" spans="1:23">
      <c r="A112" s="3" t="s">
        <v>31</v>
      </c>
      <c r="B112" s="3" t="s">
        <v>21</v>
      </c>
      <c r="C112" s="3" t="s">
        <v>21</v>
      </c>
      <c r="D112" s="3">
        <v>13.7</v>
      </c>
      <c r="E112" s="4" t="s">
        <v>21</v>
      </c>
      <c r="F112" s="4" t="s">
        <v>5</v>
      </c>
      <c r="G112" s="3" t="s">
        <v>213</v>
      </c>
      <c r="H112" s="3" t="s">
        <v>24</v>
      </c>
      <c r="I112" s="3">
        <v>23516</v>
      </c>
      <c r="J112" s="5">
        <v>41959</v>
      </c>
      <c r="K112" s="5">
        <v>41959</v>
      </c>
      <c r="L112" s="6">
        <v>22</v>
      </c>
      <c r="M112" s="3"/>
      <c r="N112" s="3">
        <v>1</v>
      </c>
      <c r="O112" s="3">
        <v>22</v>
      </c>
      <c r="P112" s="3">
        <v>0.25</v>
      </c>
      <c r="Q112" s="6">
        <f>O112*0.75</f>
        <v>16.5</v>
      </c>
      <c r="R112" s="6">
        <f t="shared" si="15"/>
        <v>1.03125</v>
      </c>
      <c r="S112" s="6">
        <v>3.5</v>
      </c>
      <c r="T112" s="6">
        <f t="shared" si="16"/>
        <v>2.46875</v>
      </c>
      <c r="U112" s="6">
        <f t="shared" si="17"/>
        <v>39.5</v>
      </c>
      <c r="V112" s="7" t="s">
        <v>214</v>
      </c>
    </row>
    <row r="113" spans="1:23">
      <c r="A113" s="3" t="s">
        <v>31</v>
      </c>
      <c r="B113" s="3" t="s">
        <v>21</v>
      </c>
      <c r="C113" s="3" t="s">
        <v>21</v>
      </c>
      <c r="D113" s="3">
        <v>9.8000000000000007</v>
      </c>
      <c r="E113" s="4" t="s">
        <v>21</v>
      </c>
      <c r="F113" s="4" t="s">
        <v>5</v>
      </c>
      <c r="G113" s="3" t="s">
        <v>215</v>
      </c>
      <c r="H113" s="3" t="s">
        <v>24</v>
      </c>
      <c r="I113" s="3" t="s">
        <v>216</v>
      </c>
      <c r="J113" s="5">
        <v>41959</v>
      </c>
      <c r="K113" s="5">
        <v>41959</v>
      </c>
      <c r="L113" s="6">
        <v>40</v>
      </c>
      <c r="M113" s="3">
        <v>1</v>
      </c>
      <c r="N113" s="3">
        <v>1</v>
      </c>
      <c r="O113" s="3">
        <v>40</v>
      </c>
      <c r="P113" s="3">
        <v>0.25</v>
      </c>
      <c r="Q113" s="6">
        <f>O113*0.75</f>
        <v>30</v>
      </c>
      <c r="R113" s="6">
        <f t="shared" si="15"/>
        <v>1.875</v>
      </c>
      <c r="S113" s="6">
        <v>6.25</v>
      </c>
      <c r="T113" s="6">
        <f t="shared" si="16"/>
        <v>4.375</v>
      </c>
      <c r="U113" s="6">
        <f t="shared" si="17"/>
        <v>70</v>
      </c>
    </row>
    <row r="114" spans="1:23">
      <c r="A114" s="3" t="s">
        <v>1</v>
      </c>
      <c r="B114" s="3" t="s">
        <v>21</v>
      </c>
      <c r="C114" s="3" t="s">
        <v>21</v>
      </c>
      <c r="D114" s="3">
        <v>0</v>
      </c>
      <c r="E114" s="4" t="s">
        <v>21</v>
      </c>
      <c r="F114" s="4" t="s">
        <v>5</v>
      </c>
      <c r="G114" s="3" t="s">
        <v>217</v>
      </c>
      <c r="H114" s="3" t="s">
        <v>24</v>
      </c>
      <c r="I114" s="3">
        <v>23238</v>
      </c>
      <c r="J114" s="5">
        <v>41959</v>
      </c>
      <c r="K114" s="5">
        <v>41959</v>
      </c>
      <c r="L114" s="6">
        <v>10.5</v>
      </c>
      <c r="M114" s="3">
        <v>2</v>
      </c>
      <c r="N114" s="3">
        <v>1</v>
      </c>
      <c r="O114" s="3">
        <v>10.5</v>
      </c>
      <c r="P114" s="3">
        <v>0.25</v>
      </c>
      <c r="Q114" s="6">
        <f>O114*0.75</f>
        <v>7.875</v>
      </c>
      <c r="R114" s="6">
        <f t="shared" si="15"/>
        <v>0.4921875</v>
      </c>
      <c r="S114" s="6">
        <v>2</v>
      </c>
      <c r="T114" s="6">
        <f t="shared" si="16"/>
        <v>1.5078125</v>
      </c>
      <c r="U114" s="6">
        <f t="shared" si="17"/>
        <v>24.125</v>
      </c>
    </row>
    <row r="115" spans="1:23">
      <c r="A115" s="3" t="s">
        <v>31</v>
      </c>
      <c r="B115" s="3" t="s">
        <v>21</v>
      </c>
      <c r="C115" s="3" t="s">
        <v>21</v>
      </c>
      <c r="D115" s="3">
        <v>34.6</v>
      </c>
      <c r="E115" s="4" t="s">
        <v>21</v>
      </c>
      <c r="F115" s="4" t="s">
        <v>5</v>
      </c>
      <c r="G115" s="3" t="s">
        <v>218</v>
      </c>
      <c r="H115" s="3" t="s">
        <v>24</v>
      </c>
      <c r="I115" s="3" t="s">
        <v>219</v>
      </c>
      <c r="J115" s="5">
        <v>41959</v>
      </c>
      <c r="K115" s="5">
        <v>41959</v>
      </c>
      <c r="L115" s="6">
        <v>10</v>
      </c>
      <c r="M115" s="3">
        <v>1</v>
      </c>
      <c r="N115" s="3">
        <v>3</v>
      </c>
      <c r="O115" s="3">
        <v>10</v>
      </c>
      <c r="P115" s="3">
        <v>0.25</v>
      </c>
      <c r="Q115" s="6">
        <f>O115*0.75</f>
        <v>7.5</v>
      </c>
      <c r="R115" s="6">
        <f t="shared" si="15"/>
        <v>0.46875</v>
      </c>
      <c r="S115" s="6">
        <v>2</v>
      </c>
      <c r="T115" s="6">
        <f t="shared" si="16"/>
        <v>1.53125</v>
      </c>
      <c r="U115" s="6">
        <f t="shared" si="17"/>
        <v>24.5</v>
      </c>
      <c r="V115" s="7" t="s">
        <v>79</v>
      </c>
    </row>
    <row r="116" spans="1:23">
      <c r="A116" s="3" t="s">
        <v>31</v>
      </c>
      <c r="B116" s="3" t="s">
        <v>21</v>
      </c>
      <c r="C116" s="3" t="s">
        <v>21</v>
      </c>
      <c r="D116" s="3">
        <v>12.4</v>
      </c>
      <c r="E116" s="4" t="s">
        <v>21</v>
      </c>
      <c r="F116" s="13"/>
      <c r="G116" s="3" t="s">
        <v>220</v>
      </c>
      <c r="H116" s="3" t="s">
        <v>114</v>
      </c>
      <c r="I116" s="3">
        <v>71551</v>
      </c>
      <c r="J116" s="5">
        <v>41959</v>
      </c>
      <c r="K116" s="5">
        <v>41959</v>
      </c>
      <c r="L116" s="6">
        <v>41.56</v>
      </c>
      <c r="M116" s="3">
        <v>1</v>
      </c>
      <c r="N116" s="3">
        <v>1</v>
      </c>
      <c r="O116" s="3">
        <v>41.56</v>
      </c>
      <c r="P116" s="3">
        <v>0.18</v>
      </c>
      <c r="Q116" s="6">
        <f>O116*0.82</f>
        <v>34.0792</v>
      </c>
      <c r="R116" s="6">
        <f t="shared" si="15"/>
        <v>2.12995</v>
      </c>
      <c r="S116" s="6">
        <v>3.5</v>
      </c>
      <c r="T116" s="6">
        <f t="shared" si="16"/>
        <v>1.37005</v>
      </c>
      <c r="U116" s="6">
        <f t="shared" si="17"/>
        <v>21.9208</v>
      </c>
      <c r="V116" s="7" t="s">
        <v>79</v>
      </c>
      <c r="W116" s="7" t="s">
        <v>221</v>
      </c>
    </row>
    <row r="117" spans="1:23">
      <c r="A117" s="3" t="s">
        <v>31</v>
      </c>
      <c r="B117" s="3" t="s">
        <v>21</v>
      </c>
      <c r="C117" s="3" t="s">
        <v>21</v>
      </c>
      <c r="D117" s="3">
        <v>8.9</v>
      </c>
      <c r="E117" s="4" t="s">
        <v>21</v>
      </c>
      <c r="F117" s="13"/>
      <c r="G117" s="3" t="s">
        <v>222</v>
      </c>
      <c r="H117" s="3" t="s">
        <v>223</v>
      </c>
      <c r="I117" s="3">
        <v>73041</v>
      </c>
      <c r="J117" s="8"/>
      <c r="K117" s="8"/>
      <c r="L117" s="10"/>
      <c r="M117" s="3">
        <v>1</v>
      </c>
      <c r="N117" s="3">
        <v>1</v>
      </c>
      <c r="O117" s="15">
        <v>17.97</v>
      </c>
      <c r="P117" s="21"/>
      <c r="Q117" s="22">
        <f>O117*0.67</f>
        <v>12.039899999999999</v>
      </c>
      <c r="R117" s="18">
        <f t="shared" si="15"/>
        <v>0.75249374999999996</v>
      </c>
      <c r="S117" s="17">
        <v>2.75</v>
      </c>
      <c r="T117" s="18">
        <f t="shared" si="16"/>
        <v>1.99750625</v>
      </c>
      <c r="U117" s="18">
        <f t="shared" si="17"/>
        <v>31.960100000000001</v>
      </c>
    </row>
    <row r="118" spans="1:23">
      <c r="A118" s="3" t="s">
        <v>1</v>
      </c>
      <c r="B118" s="3" t="s">
        <v>21</v>
      </c>
      <c r="C118" s="3" t="s">
        <v>21</v>
      </c>
      <c r="D118" s="3" t="s">
        <v>59</v>
      </c>
      <c r="E118" s="4" t="s">
        <v>21</v>
      </c>
      <c r="F118" s="13"/>
      <c r="G118" s="3" t="s">
        <v>224</v>
      </c>
      <c r="H118" s="3" t="s">
        <v>24</v>
      </c>
      <c r="I118" s="3" t="s">
        <v>225</v>
      </c>
      <c r="J118" s="5">
        <v>41959</v>
      </c>
      <c r="K118" s="5">
        <v>41959</v>
      </c>
      <c r="L118" s="6">
        <v>29</v>
      </c>
      <c r="M118" s="3">
        <v>1</v>
      </c>
      <c r="N118" s="3">
        <v>1</v>
      </c>
      <c r="O118" s="3">
        <v>29</v>
      </c>
      <c r="P118" s="3">
        <v>0.25</v>
      </c>
      <c r="Q118" s="6">
        <f>O118*0.75</f>
        <v>21.75</v>
      </c>
      <c r="R118" s="6">
        <f t="shared" si="15"/>
        <v>1.359375</v>
      </c>
      <c r="S118" s="6">
        <v>4.5</v>
      </c>
      <c r="T118" s="6">
        <f t="shared" si="16"/>
        <v>3.140625</v>
      </c>
      <c r="U118" s="6">
        <f t="shared" si="17"/>
        <v>50.25</v>
      </c>
    </row>
    <row r="119" spans="1:23">
      <c r="A119" s="3" t="s">
        <v>1</v>
      </c>
      <c r="B119" s="3" t="s">
        <v>21</v>
      </c>
      <c r="C119" s="3" t="s">
        <v>21</v>
      </c>
      <c r="D119" s="3">
        <v>0</v>
      </c>
      <c r="E119" s="4" t="s">
        <v>21</v>
      </c>
      <c r="F119" s="4" t="s">
        <v>5</v>
      </c>
      <c r="G119" s="3" t="s">
        <v>226</v>
      </c>
      <c r="H119" s="3" t="s">
        <v>114</v>
      </c>
      <c r="I119" s="3">
        <v>71271</v>
      </c>
      <c r="J119" s="5">
        <v>41959</v>
      </c>
      <c r="K119" s="5">
        <v>41959</v>
      </c>
      <c r="L119" s="6">
        <v>53.6</v>
      </c>
      <c r="M119" s="3">
        <v>1</v>
      </c>
      <c r="N119" s="3">
        <v>1</v>
      </c>
      <c r="O119" s="6">
        <f>L119</f>
        <v>53.6</v>
      </c>
      <c r="P119" s="3">
        <v>0.18</v>
      </c>
      <c r="Q119" s="6">
        <f>O119*0.82</f>
        <v>43.951999999999998</v>
      </c>
      <c r="R119" s="6">
        <f t="shared" si="15"/>
        <v>2.7469999999999999</v>
      </c>
      <c r="S119" s="6">
        <v>4.5</v>
      </c>
      <c r="T119" s="6">
        <f t="shared" si="16"/>
        <v>1.7530000000000001</v>
      </c>
      <c r="U119" s="6">
        <f t="shared" si="17"/>
        <v>28.048000000000002</v>
      </c>
    </row>
    <row r="120" spans="1:23">
      <c r="A120" s="3" t="s">
        <v>31</v>
      </c>
      <c r="B120" s="3" t="s">
        <v>21</v>
      </c>
      <c r="C120" s="3" t="s">
        <v>21</v>
      </c>
      <c r="D120" s="3">
        <v>10.1</v>
      </c>
      <c r="E120" s="4" t="s">
        <v>21</v>
      </c>
      <c r="F120" s="13"/>
      <c r="G120" s="3" t="s">
        <v>227</v>
      </c>
      <c r="H120" s="3" t="s">
        <v>24</v>
      </c>
      <c r="I120" s="3" t="s">
        <v>228</v>
      </c>
      <c r="J120" s="5">
        <v>41959</v>
      </c>
      <c r="K120" s="5">
        <v>41959</v>
      </c>
      <c r="L120" s="6">
        <v>7</v>
      </c>
      <c r="M120" s="3">
        <v>1</v>
      </c>
      <c r="N120" s="3">
        <v>1</v>
      </c>
      <c r="O120" s="3">
        <v>7</v>
      </c>
      <c r="P120" s="3">
        <v>0.25</v>
      </c>
      <c r="Q120" s="6">
        <f t="shared" ref="Q120:Q126" si="18">O120*0.75</f>
        <v>5.25</v>
      </c>
      <c r="R120" s="6">
        <f t="shared" si="15"/>
        <v>0.328125</v>
      </c>
      <c r="S120" s="6">
        <v>1.75</v>
      </c>
      <c r="T120" s="6">
        <f t="shared" si="16"/>
        <v>1.421875</v>
      </c>
      <c r="U120" s="6">
        <f t="shared" si="17"/>
        <v>22.75</v>
      </c>
    </row>
    <row r="121" spans="1:23">
      <c r="A121" s="3" t="s">
        <v>1</v>
      </c>
      <c r="B121" s="3" t="s">
        <v>21</v>
      </c>
      <c r="C121" s="3" t="s">
        <v>21</v>
      </c>
      <c r="D121" s="3">
        <v>0</v>
      </c>
      <c r="E121" s="4" t="s">
        <v>21</v>
      </c>
      <c r="F121" s="4" t="s">
        <v>5</v>
      </c>
      <c r="G121" s="3" t="s">
        <v>229</v>
      </c>
      <c r="H121" s="3" t="s">
        <v>24</v>
      </c>
      <c r="I121" s="3" t="s">
        <v>230</v>
      </c>
      <c r="J121" s="5">
        <v>41959</v>
      </c>
      <c r="K121" s="5">
        <v>41959</v>
      </c>
      <c r="L121" s="6">
        <v>10</v>
      </c>
      <c r="M121" s="3">
        <v>1</v>
      </c>
      <c r="N121" s="3">
        <v>1</v>
      </c>
      <c r="O121" s="3">
        <v>10</v>
      </c>
      <c r="P121" s="3">
        <v>0.25</v>
      </c>
      <c r="Q121" s="6">
        <f t="shared" si="18"/>
        <v>7.5</v>
      </c>
      <c r="R121" s="6">
        <f t="shared" si="15"/>
        <v>0.46875</v>
      </c>
      <c r="S121" s="6">
        <v>2</v>
      </c>
      <c r="T121" s="6">
        <f t="shared" si="16"/>
        <v>1.53125</v>
      </c>
      <c r="U121" s="6">
        <f t="shared" si="17"/>
        <v>24.5</v>
      </c>
    </row>
    <row r="122" spans="1:23">
      <c r="A122" s="3" t="s">
        <v>31</v>
      </c>
      <c r="B122" s="3" t="s">
        <v>21</v>
      </c>
      <c r="C122" s="3"/>
      <c r="D122" s="3">
        <v>10</v>
      </c>
      <c r="E122" s="4" t="s">
        <v>21</v>
      </c>
      <c r="F122" s="4" t="s">
        <v>5</v>
      </c>
      <c r="G122" s="3" t="s">
        <v>231</v>
      </c>
      <c r="H122" s="3" t="s">
        <v>24</v>
      </c>
      <c r="I122" s="3" t="s">
        <v>232</v>
      </c>
      <c r="J122" s="5">
        <v>41959</v>
      </c>
      <c r="K122" s="5">
        <v>41959</v>
      </c>
      <c r="L122" s="6">
        <v>9</v>
      </c>
      <c r="M122" s="3">
        <v>1</v>
      </c>
      <c r="N122" s="3">
        <v>1</v>
      </c>
      <c r="O122" s="3">
        <v>9</v>
      </c>
      <c r="P122" s="3">
        <v>0.25</v>
      </c>
      <c r="Q122" s="6">
        <f t="shared" si="18"/>
        <v>6.75</v>
      </c>
      <c r="R122" s="6">
        <f t="shared" si="15"/>
        <v>0.421875</v>
      </c>
      <c r="S122" s="6">
        <v>1.75</v>
      </c>
      <c r="T122" s="6">
        <f t="shared" si="16"/>
        <v>1.328125</v>
      </c>
      <c r="U122" s="6">
        <f t="shared" si="17"/>
        <v>21.25</v>
      </c>
    </row>
    <row r="123" spans="1:23">
      <c r="A123" s="3" t="s">
        <v>31</v>
      </c>
      <c r="B123" s="3" t="s">
        <v>21</v>
      </c>
      <c r="C123" s="3" t="s">
        <v>21</v>
      </c>
      <c r="D123" s="3">
        <v>10.7</v>
      </c>
      <c r="E123" s="4" t="s">
        <v>21</v>
      </c>
      <c r="F123" s="4" t="s">
        <v>5</v>
      </c>
      <c r="G123" s="3" t="s">
        <v>233</v>
      </c>
      <c r="H123" s="3" t="s">
        <v>24</v>
      </c>
      <c r="I123" s="3">
        <v>23492</v>
      </c>
      <c r="J123" s="5">
        <v>41959</v>
      </c>
      <c r="K123" s="5">
        <v>41959</v>
      </c>
      <c r="L123" s="6">
        <v>27</v>
      </c>
      <c r="M123" s="3">
        <v>1</v>
      </c>
      <c r="N123" s="3">
        <v>1</v>
      </c>
      <c r="O123" s="3">
        <v>27</v>
      </c>
      <c r="P123" s="3">
        <v>0.25</v>
      </c>
      <c r="Q123" s="6">
        <f t="shared" si="18"/>
        <v>20.25</v>
      </c>
      <c r="R123" s="6">
        <f t="shared" si="15"/>
        <v>1.265625</v>
      </c>
      <c r="S123" s="6">
        <v>4.25</v>
      </c>
      <c r="T123" s="6">
        <f t="shared" si="16"/>
        <v>2.984375</v>
      </c>
      <c r="U123" s="6">
        <f t="shared" si="17"/>
        <v>47.75</v>
      </c>
    </row>
    <row r="124" spans="1:23">
      <c r="A124" s="3" t="s">
        <v>1</v>
      </c>
      <c r="B124" s="3" t="s">
        <v>21</v>
      </c>
      <c r="C124" s="3" t="s">
        <v>21</v>
      </c>
      <c r="D124" s="3" t="s">
        <v>26</v>
      </c>
      <c r="E124" s="4" t="s">
        <v>21</v>
      </c>
      <c r="F124" s="4" t="s">
        <v>41</v>
      </c>
      <c r="G124" s="3" t="s">
        <v>234</v>
      </c>
      <c r="H124" s="3" t="s">
        <v>24</v>
      </c>
      <c r="I124" s="3" t="s">
        <v>235</v>
      </c>
      <c r="J124" s="5">
        <v>41959</v>
      </c>
      <c r="K124" s="5">
        <v>41959</v>
      </c>
      <c r="L124" s="6">
        <v>55</v>
      </c>
      <c r="M124" s="3">
        <v>1</v>
      </c>
      <c r="N124" s="3">
        <v>1</v>
      </c>
      <c r="O124" s="3">
        <v>55</v>
      </c>
      <c r="P124" s="3">
        <v>0.25</v>
      </c>
      <c r="Q124" s="6">
        <f t="shared" si="18"/>
        <v>41.25</v>
      </c>
      <c r="R124" s="6">
        <f t="shared" si="15"/>
        <v>2.578125</v>
      </c>
      <c r="S124" s="6">
        <v>8.5</v>
      </c>
      <c r="T124" s="6">
        <f t="shared" si="16"/>
        <v>5.921875</v>
      </c>
      <c r="U124" s="6">
        <f t="shared" si="17"/>
        <v>94.75</v>
      </c>
    </row>
    <row r="125" spans="1:23">
      <c r="A125" s="3" t="s">
        <v>205</v>
      </c>
      <c r="B125" s="3" t="s">
        <v>21</v>
      </c>
      <c r="C125" s="3"/>
      <c r="D125" s="3">
        <v>44.4</v>
      </c>
      <c r="E125" s="4" t="s">
        <v>21</v>
      </c>
      <c r="F125" s="4"/>
      <c r="G125" s="3" t="s">
        <v>236</v>
      </c>
      <c r="H125" s="3" t="s">
        <v>33</v>
      </c>
      <c r="I125" s="3">
        <v>23261</v>
      </c>
      <c r="J125" s="5">
        <v>41989</v>
      </c>
      <c r="K125" s="5">
        <v>41989</v>
      </c>
      <c r="L125" s="16"/>
      <c r="M125" s="3">
        <v>3</v>
      </c>
      <c r="N125" s="3">
        <v>1</v>
      </c>
      <c r="O125" s="15">
        <v>14</v>
      </c>
      <c r="Q125" s="18">
        <f t="shared" si="18"/>
        <v>10.5</v>
      </c>
      <c r="R125" s="18">
        <f t="shared" si="15"/>
        <v>0.65625</v>
      </c>
      <c r="S125" s="18">
        <v>2.25</v>
      </c>
      <c r="T125" s="18">
        <f t="shared" si="16"/>
        <v>1.59375</v>
      </c>
      <c r="U125" s="18">
        <f t="shared" si="17"/>
        <v>25.5</v>
      </c>
    </row>
    <row r="126" spans="1:23">
      <c r="A126" s="7" t="s">
        <v>25</v>
      </c>
      <c r="B126" s="7" t="s">
        <v>26</v>
      </c>
      <c r="E126" s="23" t="s">
        <v>21</v>
      </c>
      <c r="F126" s="13"/>
      <c r="G126" s="7" t="s">
        <v>237</v>
      </c>
      <c r="L126" s="18">
        <f>36.26*0.82</f>
        <v>29.733199999999997</v>
      </c>
      <c r="M126" s="7">
        <v>1</v>
      </c>
      <c r="N126" s="7">
        <v>1</v>
      </c>
      <c r="O126" s="7">
        <v>26</v>
      </c>
      <c r="Q126" s="18">
        <f t="shared" si="18"/>
        <v>19.5</v>
      </c>
      <c r="R126" s="18">
        <f t="shared" si="15"/>
        <v>1.21875</v>
      </c>
      <c r="S126" s="18">
        <v>4</v>
      </c>
      <c r="T126" s="18">
        <f t="shared" si="16"/>
        <v>2.78125</v>
      </c>
      <c r="U126" s="18">
        <f t="shared" si="17"/>
        <v>44.5</v>
      </c>
    </row>
    <row r="127" spans="1:23">
      <c r="A127" s="3" t="s">
        <v>1</v>
      </c>
      <c r="B127" s="3" t="s">
        <v>21</v>
      </c>
      <c r="C127" s="3" t="s">
        <v>26</v>
      </c>
      <c r="D127" s="3">
        <v>16</v>
      </c>
      <c r="E127" s="4" t="s">
        <v>26</v>
      </c>
      <c r="F127" s="4"/>
      <c r="G127" s="3" t="s">
        <v>238</v>
      </c>
      <c r="H127" s="3" t="s">
        <v>36</v>
      </c>
      <c r="I127" s="3">
        <v>73595</v>
      </c>
      <c r="J127" s="5">
        <v>41959</v>
      </c>
      <c r="K127" s="5">
        <v>41959</v>
      </c>
      <c r="L127" s="6">
        <v>36.26</v>
      </c>
      <c r="M127" s="3">
        <v>1</v>
      </c>
      <c r="N127" s="3">
        <v>1</v>
      </c>
      <c r="O127" s="6">
        <f>L127</f>
        <v>36.26</v>
      </c>
      <c r="P127" s="3">
        <v>0.18</v>
      </c>
      <c r="Q127" s="6">
        <f>L127*0.82</f>
        <v>29.733199999999997</v>
      </c>
      <c r="R127" s="6">
        <f t="shared" si="15"/>
        <v>1.8583249999999998</v>
      </c>
      <c r="S127" s="6">
        <v>4</v>
      </c>
      <c r="T127" s="6">
        <f t="shared" si="16"/>
        <v>2.1416750000000002</v>
      </c>
      <c r="U127" s="6">
        <f t="shared" si="17"/>
        <v>34.266800000000003</v>
      </c>
    </row>
    <row r="128" spans="1:23">
      <c r="A128" s="3" t="s">
        <v>1</v>
      </c>
      <c r="B128" s="3" t="s">
        <v>21</v>
      </c>
      <c r="C128" s="3" t="s">
        <v>21</v>
      </c>
      <c r="D128" s="3">
        <v>0</v>
      </c>
      <c r="E128" s="4" t="s">
        <v>21</v>
      </c>
      <c r="F128" s="4" t="s">
        <v>5</v>
      </c>
      <c r="G128" s="3" t="s">
        <v>238</v>
      </c>
      <c r="H128" s="3" t="s">
        <v>24</v>
      </c>
      <c r="I128" s="3">
        <v>23645</v>
      </c>
      <c r="J128" s="5">
        <v>41959</v>
      </c>
      <c r="K128" s="5">
        <v>41959</v>
      </c>
      <c r="L128" s="6">
        <v>26</v>
      </c>
      <c r="M128" s="3">
        <v>1</v>
      </c>
      <c r="N128" s="3">
        <v>1</v>
      </c>
      <c r="O128" s="6">
        <v>26</v>
      </c>
      <c r="P128" s="3">
        <v>0.25</v>
      </c>
      <c r="Q128" s="6">
        <f>L128*0.75</f>
        <v>19.5</v>
      </c>
      <c r="R128" s="6">
        <f t="shared" si="15"/>
        <v>1.21875</v>
      </c>
      <c r="S128" s="6">
        <v>4</v>
      </c>
      <c r="T128" s="6">
        <v>2.1416750000000002</v>
      </c>
      <c r="U128" s="6">
        <v>34.266800000000003</v>
      </c>
    </row>
    <row r="129" spans="1:25">
      <c r="E129" s="23" t="s">
        <v>21</v>
      </c>
      <c r="F129" s="13"/>
      <c r="G129" s="7" t="s">
        <v>239</v>
      </c>
      <c r="H129" s="7" t="s">
        <v>137</v>
      </c>
      <c r="L129" s="7">
        <v>22.08</v>
      </c>
      <c r="M129" s="18">
        <v>1</v>
      </c>
      <c r="N129" s="7">
        <v>1</v>
      </c>
      <c r="O129" s="21"/>
      <c r="Q129" s="17">
        <f>L129*0.82</f>
        <v>18.105599999999999</v>
      </c>
      <c r="R129" s="18"/>
      <c r="S129" s="6">
        <v>4</v>
      </c>
      <c r="T129" s="6">
        <v>2.1416750000000002</v>
      </c>
      <c r="U129" s="6">
        <v>34.266800000000003</v>
      </c>
    </row>
    <row r="130" spans="1:25">
      <c r="A130" s="3" t="s">
        <v>31</v>
      </c>
      <c r="B130" s="3" t="s">
        <v>21</v>
      </c>
      <c r="C130" s="3"/>
      <c r="D130" s="3">
        <v>25.8</v>
      </c>
      <c r="E130" s="4" t="s">
        <v>21</v>
      </c>
      <c r="F130" s="4" t="s">
        <v>5</v>
      </c>
      <c r="G130" s="3" t="s">
        <v>240</v>
      </c>
      <c r="H130" s="3" t="s">
        <v>24</v>
      </c>
      <c r="I130" s="3" t="s">
        <v>241</v>
      </c>
      <c r="J130" s="5">
        <v>41959</v>
      </c>
      <c r="K130" s="5">
        <v>41959</v>
      </c>
      <c r="L130" s="6">
        <v>11</v>
      </c>
      <c r="M130" s="3">
        <v>2</v>
      </c>
      <c r="N130" s="3">
        <v>1</v>
      </c>
      <c r="O130" s="3">
        <v>11</v>
      </c>
      <c r="P130" s="3">
        <v>0.25</v>
      </c>
      <c r="Q130" s="6">
        <f t="shared" ref="Q130:Q141" si="19">O130*0.75</f>
        <v>8.25</v>
      </c>
      <c r="R130" s="6">
        <f t="shared" ref="R130:R146" si="20">Q130/16</f>
        <v>0.515625</v>
      </c>
      <c r="S130" s="6">
        <v>2</v>
      </c>
      <c r="T130" s="6">
        <f t="shared" ref="T130:T141" si="21">S130-R130</f>
        <v>1.484375</v>
      </c>
      <c r="U130" s="6">
        <f t="shared" ref="U130:U141" si="22">T130*16</f>
        <v>23.75</v>
      </c>
    </row>
    <row r="131" spans="1:25">
      <c r="A131" s="3" t="s">
        <v>27</v>
      </c>
      <c r="B131" s="3" t="s">
        <v>21</v>
      </c>
      <c r="C131" s="3" t="s">
        <v>21</v>
      </c>
      <c r="D131" s="3" t="s">
        <v>26</v>
      </c>
      <c r="E131" s="4" t="s">
        <v>21</v>
      </c>
      <c r="F131" s="4" t="s">
        <v>5</v>
      </c>
      <c r="G131" s="3" t="s">
        <v>242</v>
      </c>
      <c r="H131" s="3" t="s">
        <v>24</v>
      </c>
      <c r="I131" s="3">
        <v>23589</v>
      </c>
      <c r="J131" s="5">
        <v>41959</v>
      </c>
      <c r="K131" s="5">
        <v>41959</v>
      </c>
      <c r="L131" s="6">
        <v>13</v>
      </c>
      <c r="M131" s="3">
        <v>1</v>
      </c>
      <c r="N131" s="3">
        <v>1</v>
      </c>
      <c r="O131" s="3">
        <v>13</v>
      </c>
      <c r="P131" s="3">
        <v>0.25</v>
      </c>
      <c r="Q131" s="6">
        <f t="shared" si="19"/>
        <v>9.75</v>
      </c>
      <c r="R131" s="6">
        <f t="shared" si="20"/>
        <v>0.609375</v>
      </c>
      <c r="S131" s="6">
        <v>2</v>
      </c>
      <c r="T131" s="6">
        <f t="shared" si="21"/>
        <v>1.390625</v>
      </c>
      <c r="U131" s="6">
        <f t="shared" si="22"/>
        <v>22.25</v>
      </c>
      <c r="V131" s="7" t="s">
        <v>243</v>
      </c>
      <c r="W131" s="7" t="s">
        <v>47</v>
      </c>
      <c r="X131" s="7" t="s">
        <v>244</v>
      </c>
      <c r="Y131" s="7" t="s">
        <v>245</v>
      </c>
    </row>
    <row r="132" spans="1:25" s="11" customFormat="1">
      <c r="E132" s="24" t="s">
        <v>21</v>
      </c>
      <c r="F132" s="13"/>
      <c r="G132" s="11" t="s">
        <v>246</v>
      </c>
      <c r="H132" s="11" t="s">
        <v>145</v>
      </c>
      <c r="L132" s="17"/>
      <c r="M132" s="11">
        <v>1</v>
      </c>
      <c r="N132" s="11">
        <v>1</v>
      </c>
      <c r="O132" s="11">
        <v>10</v>
      </c>
      <c r="Q132" s="17">
        <f t="shared" si="19"/>
        <v>7.5</v>
      </c>
      <c r="R132" s="17">
        <f t="shared" si="20"/>
        <v>0.46875</v>
      </c>
      <c r="S132" s="17">
        <v>2</v>
      </c>
      <c r="T132" s="17">
        <f t="shared" si="21"/>
        <v>1.53125</v>
      </c>
      <c r="U132" s="17">
        <f t="shared" si="22"/>
        <v>24.5</v>
      </c>
    </row>
    <row r="133" spans="1:25">
      <c r="A133" s="3" t="s">
        <v>1</v>
      </c>
      <c r="B133" s="3" t="s">
        <v>21</v>
      </c>
      <c r="C133" s="3" t="s">
        <v>21</v>
      </c>
      <c r="D133" s="3">
        <v>0</v>
      </c>
      <c r="E133" s="4" t="s">
        <v>21</v>
      </c>
      <c r="F133" s="4" t="s">
        <v>5</v>
      </c>
      <c r="G133" s="3" t="s">
        <v>247</v>
      </c>
      <c r="H133" s="3" t="s">
        <v>24</v>
      </c>
      <c r="I133" s="3" t="s">
        <v>248</v>
      </c>
      <c r="J133" s="5">
        <v>41959</v>
      </c>
      <c r="K133" s="5">
        <v>41959</v>
      </c>
      <c r="L133" s="6">
        <v>10</v>
      </c>
      <c r="M133" s="3">
        <v>1</v>
      </c>
      <c r="N133" s="3">
        <v>2</v>
      </c>
      <c r="O133" s="3">
        <v>10</v>
      </c>
      <c r="P133" s="3">
        <v>0.25</v>
      </c>
      <c r="Q133" s="6">
        <f t="shared" si="19"/>
        <v>7.5</v>
      </c>
      <c r="R133" s="6">
        <f t="shared" si="20"/>
        <v>0.46875</v>
      </c>
      <c r="S133" s="6">
        <v>3</v>
      </c>
      <c r="T133" s="6">
        <f t="shared" si="21"/>
        <v>2.53125</v>
      </c>
      <c r="U133" s="6">
        <f t="shared" si="22"/>
        <v>40.5</v>
      </c>
    </row>
    <row r="134" spans="1:25">
      <c r="A134" s="3" t="s">
        <v>25</v>
      </c>
      <c r="B134" s="3" t="s">
        <v>26</v>
      </c>
      <c r="C134" s="3" t="s">
        <v>26</v>
      </c>
      <c r="D134" s="3" t="s">
        <v>249</v>
      </c>
      <c r="E134" s="4" t="s">
        <v>26</v>
      </c>
      <c r="F134" s="4" t="s">
        <v>5</v>
      </c>
      <c r="G134" s="3" t="s">
        <v>250</v>
      </c>
      <c r="H134" s="3" t="s">
        <v>33</v>
      </c>
      <c r="I134" s="3" t="s">
        <v>248</v>
      </c>
      <c r="J134" s="5">
        <v>41989</v>
      </c>
      <c r="K134" s="5">
        <v>41989</v>
      </c>
      <c r="L134" s="6">
        <v>10</v>
      </c>
      <c r="M134" s="3">
        <v>1</v>
      </c>
      <c r="N134" s="3">
        <v>3</v>
      </c>
      <c r="O134" s="3">
        <v>10</v>
      </c>
      <c r="P134" s="3">
        <v>0.25</v>
      </c>
      <c r="Q134" s="6">
        <f t="shared" si="19"/>
        <v>7.5</v>
      </c>
      <c r="R134" s="6">
        <f t="shared" si="20"/>
        <v>0.46875</v>
      </c>
      <c r="S134" s="6">
        <v>2</v>
      </c>
      <c r="T134" s="6">
        <f t="shared" si="21"/>
        <v>1.53125</v>
      </c>
      <c r="U134" s="6">
        <f t="shared" si="22"/>
        <v>24.5</v>
      </c>
    </row>
    <row r="135" spans="1:25">
      <c r="A135" s="3" t="s">
        <v>1</v>
      </c>
      <c r="B135" s="3" t="s">
        <v>21</v>
      </c>
      <c r="C135" s="3" t="s">
        <v>21</v>
      </c>
      <c r="D135" s="3">
        <v>0</v>
      </c>
      <c r="E135" s="4" t="s">
        <v>21</v>
      </c>
      <c r="F135" s="4" t="s">
        <v>5</v>
      </c>
      <c r="G135" s="3" t="s">
        <v>251</v>
      </c>
      <c r="H135" s="3" t="s">
        <v>24</v>
      </c>
      <c r="I135" s="3">
        <v>23538</v>
      </c>
      <c r="J135" s="5">
        <v>41959</v>
      </c>
      <c r="K135" s="5">
        <v>41959</v>
      </c>
      <c r="L135" s="6">
        <v>27</v>
      </c>
      <c r="M135" s="3">
        <v>1</v>
      </c>
      <c r="N135" s="3">
        <v>1</v>
      </c>
      <c r="O135" s="3">
        <v>27</v>
      </c>
      <c r="P135" s="3">
        <v>0.25</v>
      </c>
      <c r="Q135" s="6">
        <f t="shared" si="19"/>
        <v>20.25</v>
      </c>
      <c r="R135" s="6">
        <f t="shared" si="20"/>
        <v>1.265625</v>
      </c>
      <c r="S135" s="6">
        <v>4.25</v>
      </c>
      <c r="T135" s="6">
        <f t="shared" si="21"/>
        <v>2.984375</v>
      </c>
      <c r="U135" s="6">
        <f t="shared" si="22"/>
        <v>47.75</v>
      </c>
    </row>
    <row r="136" spans="1:25">
      <c r="A136" s="3" t="s">
        <v>1</v>
      </c>
      <c r="B136" s="3" t="s">
        <v>21</v>
      </c>
      <c r="C136" s="3" t="s">
        <v>21</v>
      </c>
      <c r="D136" s="3" t="s">
        <v>26</v>
      </c>
      <c r="E136" s="4" t="s">
        <v>21</v>
      </c>
      <c r="F136" s="4" t="s">
        <v>5</v>
      </c>
      <c r="G136" s="3" t="s">
        <v>252</v>
      </c>
      <c r="H136" s="3" t="s">
        <v>24</v>
      </c>
      <c r="I136" s="3">
        <v>23590</v>
      </c>
      <c r="J136" s="5">
        <v>41959</v>
      </c>
      <c r="K136" s="5">
        <v>41959</v>
      </c>
      <c r="L136" s="6">
        <v>9</v>
      </c>
      <c r="M136" s="3">
        <v>1</v>
      </c>
      <c r="N136" s="3">
        <v>1</v>
      </c>
      <c r="O136" s="3">
        <v>9</v>
      </c>
      <c r="P136" s="3">
        <v>0.25</v>
      </c>
      <c r="Q136" s="6">
        <f t="shared" si="19"/>
        <v>6.75</v>
      </c>
      <c r="R136" s="6">
        <f t="shared" si="20"/>
        <v>0.421875</v>
      </c>
      <c r="S136" s="6">
        <v>1.75</v>
      </c>
      <c r="T136" s="6">
        <f t="shared" si="21"/>
        <v>1.328125</v>
      </c>
      <c r="U136" s="6">
        <f t="shared" si="22"/>
        <v>21.25</v>
      </c>
    </row>
    <row r="137" spans="1:25">
      <c r="A137" s="3" t="s">
        <v>31</v>
      </c>
      <c r="B137" s="3" t="s">
        <v>21</v>
      </c>
      <c r="C137" s="3" t="s">
        <v>21</v>
      </c>
      <c r="D137" s="3">
        <v>5</v>
      </c>
      <c r="E137" s="4" t="s">
        <v>21</v>
      </c>
      <c r="F137" s="4" t="s">
        <v>5</v>
      </c>
      <c r="G137" s="3" t="s">
        <v>253</v>
      </c>
      <c r="H137" s="3" t="s">
        <v>24</v>
      </c>
      <c r="I137" s="3" t="s">
        <v>254</v>
      </c>
      <c r="J137" s="5">
        <v>41959</v>
      </c>
      <c r="K137" s="5">
        <v>41959</v>
      </c>
      <c r="L137" s="6">
        <v>10</v>
      </c>
      <c r="M137" s="3">
        <v>1</v>
      </c>
      <c r="N137" s="3">
        <v>2</v>
      </c>
      <c r="O137" s="3">
        <v>10</v>
      </c>
      <c r="P137" s="3">
        <v>0.25</v>
      </c>
      <c r="Q137" s="6">
        <f t="shared" si="19"/>
        <v>7.5</v>
      </c>
      <c r="R137" s="6">
        <f t="shared" si="20"/>
        <v>0.46875</v>
      </c>
      <c r="S137" s="6">
        <v>2</v>
      </c>
      <c r="T137" s="6">
        <f t="shared" si="21"/>
        <v>1.53125</v>
      </c>
      <c r="U137" s="6">
        <f t="shared" si="22"/>
        <v>24.5</v>
      </c>
      <c r="V137" s="7" t="s">
        <v>255</v>
      </c>
    </row>
    <row r="138" spans="1:25">
      <c r="A138" s="3" t="s">
        <v>31</v>
      </c>
      <c r="B138" s="3" t="s">
        <v>26</v>
      </c>
      <c r="C138" s="3" t="s">
        <v>26</v>
      </c>
      <c r="D138" s="3">
        <v>16.100000000000001</v>
      </c>
      <c r="E138" s="4" t="s">
        <v>21</v>
      </c>
      <c r="F138" s="4" t="s">
        <v>41</v>
      </c>
      <c r="G138" s="3" t="s">
        <v>256</v>
      </c>
      <c r="H138" s="3" t="s">
        <v>24</v>
      </c>
      <c r="I138" s="3" t="s">
        <v>257</v>
      </c>
      <c r="J138" s="5">
        <v>41959</v>
      </c>
      <c r="K138" s="5">
        <v>41959</v>
      </c>
      <c r="L138" s="6">
        <v>23</v>
      </c>
      <c r="M138" s="3">
        <v>1</v>
      </c>
      <c r="N138" s="3">
        <v>1</v>
      </c>
      <c r="O138" s="3">
        <v>23</v>
      </c>
      <c r="P138" s="3">
        <v>0.25</v>
      </c>
      <c r="Q138" s="6">
        <f t="shared" si="19"/>
        <v>17.25</v>
      </c>
      <c r="R138" s="6">
        <f t="shared" si="20"/>
        <v>1.078125</v>
      </c>
      <c r="S138" s="6">
        <v>3.5</v>
      </c>
      <c r="T138" s="6">
        <f t="shared" si="21"/>
        <v>2.421875</v>
      </c>
      <c r="U138" s="6">
        <f t="shared" si="22"/>
        <v>38.75</v>
      </c>
    </row>
    <row r="139" spans="1:25">
      <c r="A139" s="3" t="s">
        <v>31</v>
      </c>
      <c r="B139" s="3" t="s">
        <v>21</v>
      </c>
      <c r="C139" s="3" t="s">
        <v>26</v>
      </c>
      <c r="D139" s="3">
        <v>31.8</v>
      </c>
      <c r="E139" s="4" t="s">
        <v>21</v>
      </c>
      <c r="F139" s="4" t="s">
        <v>41</v>
      </c>
      <c r="G139" s="3" t="s">
        <v>256</v>
      </c>
      <c r="H139" s="3" t="s">
        <v>33</v>
      </c>
      <c r="I139" s="3" t="s">
        <v>257</v>
      </c>
      <c r="J139" s="5">
        <v>41989</v>
      </c>
      <c r="K139" s="5">
        <v>41989</v>
      </c>
      <c r="L139" s="6">
        <v>23</v>
      </c>
      <c r="M139" s="3">
        <v>1</v>
      </c>
      <c r="N139" s="3">
        <v>2</v>
      </c>
      <c r="O139" s="3">
        <v>23</v>
      </c>
      <c r="P139" s="3">
        <v>0.25</v>
      </c>
      <c r="Q139" s="6">
        <f t="shared" si="19"/>
        <v>17.25</v>
      </c>
      <c r="R139" s="6">
        <f t="shared" si="20"/>
        <v>1.078125</v>
      </c>
      <c r="S139" s="6">
        <v>3.5</v>
      </c>
      <c r="T139" s="6">
        <f t="shared" si="21"/>
        <v>2.421875</v>
      </c>
      <c r="U139" s="6">
        <f t="shared" si="22"/>
        <v>38.75</v>
      </c>
    </row>
    <row r="140" spans="1:25">
      <c r="A140" s="3" t="s">
        <v>1</v>
      </c>
      <c r="B140" s="3" t="s">
        <v>21</v>
      </c>
      <c r="C140" s="3" t="s">
        <v>21</v>
      </c>
      <c r="D140" s="3" t="s">
        <v>26</v>
      </c>
      <c r="E140" s="4" t="s">
        <v>21</v>
      </c>
      <c r="F140" s="4" t="s">
        <v>41</v>
      </c>
      <c r="G140" s="3" t="s">
        <v>256</v>
      </c>
      <c r="H140" s="3" t="s">
        <v>24</v>
      </c>
      <c r="I140" s="3" t="s">
        <v>257</v>
      </c>
      <c r="J140" s="5">
        <v>41959</v>
      </c>
      <c r="K140" s="5">
        <v>41959</v>
      </c>
      <c r="L140" s="6">
        <v>23</v>
      </c>
      <c r="M140" s="3">
        <v>1</v>
      </c>
      <c r="N140" s="3">
        <v>1</v>
      </c>
      <c r="O140" s="3">
        <v>23</v>
      </c>
      <c r="P140" s="3">
        <v>0.25</v>
      </c>
      <c r="Q140" s="6">
        <f t="shared" si="19"/>
        <v>17.25</v>
      </c>
      <c r="R140" s="6">
        <f t="shared" si="20"/>
        <v>1.078125</v>
      </c>
      <c r="S140" s="6">
        <v>3.5</v>
      </c>
      <c r="T140" s="6">
        <f t="shared" si="21"/>
        <v>2.421875</v>
      </c>
      <c r="U140" s="6">
        <f t="shared" si="22"/>
        <v>38.75</v>
      </c>
    </row>
    <row r="141" spans="1:25">
      <c r="A141" s="3" t="s">
        <v>31</v>
      </c>
      <c r="B141" s="3" t="s">
        <v>21</v>
      </c>
      <c r="C141" s="3" t="s">
        <v>21</v>
      </c>
      <c r="D141" s="3">
        <v>21.6</v>
      </c>
      <c r="E141" s="4" t="s">
        <v>21</v>
      </c>
      <c r="F141" s="13"/>
      <c r="G141" s="3" t="s">
        <v>258</v>
      </c>
      <c r="H141" s="3" t="s">
        <v>33</v>
      </c>
      <c r="I141" s="3" t="s">
        <v>259</v>
      </c>
      <c r="J141" s="5">
        <v>41989</v>
      </c>
      <c r="K141" s="5">
        <v>41989</v>
      </c>
      <c r="L141" s="6">
        <v>13</v>
      </c>
      <c r="M141" s="3">
        <v>1</v>
      </c>
      <c r="N141" s="3">
        <v>2</v>
      </c>
      <c r="O141" s="3">
        <v>13</v>
      </c>
      <c r="P141" s="3">
        <v>0.25</v>
      </c>
      <c r="Q141" s="6">
        <f t="shared" si="19"/>
        <v>9.75</v>
      </c>
      <c r="R141" s="6">
        <f t="shared" si="20"/>
        <v>0.609375</v>
      </c>
      <c r="S141" s="6">
        <v>2.25</v>
      </c>
      <c r="T141" s="6">
        <f t="shared" si="21"/>
        <v>1.640625</v>
      </c>
      <c r="U141" s="6">
        <f t="shared" si="22"/>
        <v>26.25</v>
      </c>
    </row>
    <row r="142" spans="1:25">
      <c r="A142" s="3" t="s">
        <v>31</v>
      </c>
      <c r="B142" s="3" t="s">
        <v>21</v>
      </c>
      <c r="C142" s="3" t="s">
        <v>21</v>
      </c>
      <c r="D142" s="3">
        <v>4.8</v>
      </c>
      <c r="E142" s="4" t="s">
        <v>21</v>
      </c>
      <c r="F142" s="13"/>
      <c r="G142" s="3" t="s">
        <v>260</v>
      </c>
      <c r="H142" s="3" t="s">
        <v>36</v>
      </c>
      <c r="I142" s="3">
        <v>73231</v>
      </c>
      <c r="J142" s="5">
        <v>41959</v>
      </c>
      <c r="K142" s="5">
        <v>41959</v>
      </c>
      <c r="L142" s="6">
        <v>19.64</v>
      </c>
      <c r="M142" s="3">
        <v>1</v>
      </c>
      <c r="N142" s="3">
        <v>1</v>
      </c>
      <c r="O142" s="6">
        <f>L142</f>
        <v>19.64</v>
      </c>
      <c r="P142" s="3">
        <v>0.18</v>
      </c>
      <c r="Q142" s="6">
        <f>L142*0.82</f>
        <v>16.104800000000001</v>
      </c>
      <c r="R142" s="6">
        <f t="shared" si="20"/>
        <v>1.0065500000000001</v>
      </c>
      <c r="S142" s="6">
        <v>2</v>
      </c>
      <c r="T142" s="6">
        <v>4.5</v>
      </c>
      <c r="U142" s="6">
        <v>7.5</v>
      </c>
    </row>
    <row r="143" spans="1:25">
      <c r="A143" s="3" t="s">
        <v>1</v>
      </c>
      <c r="B143" s="3" t="s">
        <v>21</v>
      </c>
      <c r="C143" s="3" t="s">
        <v>21</v>
      </c>
      <c r="D143" s="3">
        <v>0</v>
      </c>
      <c r="E143" s="4" t="s">
        <v>21</v>
      </c>
      <c r="F143" s="4" t="s">
        <v>5</v>
      </c>
      <c r="G143" s="3" t="s">
        <v>261</v>
      </c>
      <c r="H143" s="3" t="s">
        <v>24</v>
      </c>
      <c r="I143" s="3" t="s">
        <v>262</v>
      </c>
      <c r="J143" s="5">
        <v>41959</v>
      </c>
      <c r="K143" s="5">
        <v>41959</v>
      </c>
      <c r="L143" s="6">
        <v>13.5</v>
      </c>
      <c r="M143" s="3">
        <v>1</v>
      </c>
      <c r="N143" s="3">
        <v>1</v>
      </c>
      <c r="O143" s="3">
        <v>13.5</v>
      </c>
      <c r="P143" s="3">
        <v>0.25</v>
      </c>
      <c r="Q143" s="6">
        <f>O143*0.75</f>
        <v>10.125</v>
      </c>
      <c r="R143" s="6">
        <f t="shared" si="20"/>
        <v>0.6328125</v>
      </c>
      <c r="S143" s="6">
        <v>2.25</v>
      </c>
      <c r="T143" s="6">
        <f>S143-R143</f>
        <v>1.6171875</v>
      </c>
      <c r="U143" s="6">
        <f>T143*16</f>
        <v>25.875</v>
      </c>
      <c r="V143" s="7" t="s">
        <v>102</v>
      </c>
    </row>
    <row r="144" spans="1:25">
      <c r="A144" s="3" t="s">
        <v>31</v>
      </c>
      <c r="B144" s="3" t="s">
        <v>21</v>
      </c>
      <c r="C144" s="3" t="s">
        <v>21</v>
      </c>
      <c r="D144" s="3">
        <v>1</v>
      </c>
      <c r="E144" s="4" t="s">
        <v>263</v>
      </c>
      <c r="F144" s="13"/>
      <c r="G144" s="3" t="s">
        <v>264</v>
      </c>
      <c r="H144" s="3" t="s">
        <v>63</v>
      </c>
      <c r="I144" s="3">
        <v>71330</v>
      </c>
      <c r="J144" s="5">
        <v>41959</v>
      </c>
      <c r="K144" s="5">
        <v>41959</v>
      </c>
      <c r="L144" s="3">
        <v>15.44</v>
      </c>
      <c r="M144" s="3">
        <v>1</v>
      </c>
      <c r="N144" s="3">
        <v>1</v>
      </c>
      <c r="O144" s="3">
        <f>L144</f>
        <v>15.44</v>
      </c>
      <c r="P144" s="3">
        <v>0.18</v>
      </c>
      <c r="Q144" s="6">
        <f>L144*0.82</f>
        <v>12.660799999999998</v>
      </c>
      <c r="R144" s="6">
        <f t="shared" si="20"/>
        <v>0.79129999999999989</v>
      </c>
      <c r="S144" s="6">
        <v>2</v>
      </c>
      <c r="T144" s="6">
        <f>S144-R144</f>
        <v>1.2087000000000001</v>
      </c>
      <c r="U144" s="6">
        <f>T144*16</f>
        <v>19.339200000000002</v>
      </c>
      <c r="W144" s="7" t="s">
        <v>265</v>
      </c>
      <c r="X144" s="7" t="s">
        <v>24</v>
      </c>
    </row>
    <row r="145" spans="1:22" s="8" customFormat="1">
      <c r="A145" s="3" t="s">
        <v>1</v>
      </c>
      <c r="B145" s="3" t="s">
        <v>21</v>
      </c>
      <c r="C145" s="3" t="s">
        <v>21</v>
      </c>
      <c r="D145" s="3" t="s">
        <v>26</v>
      </c>
      <c r="E145" s="4" t="s">
        <v>21</v>
      </c>
      <c r="F145" s="4" t="s">
        <v>5</v>
      </c>
      <c r="G145" s="3" t="s">
        <v>266</v>
      </c>
      <c r="H145" s="3" t="s">
        <v>33</v>
      </c>
      <c r="I145" s="3" t="s">
        <v>267</v>
      </c>
      <c r="J145" s="5">
        <v>41959</v>
      </c>
      <c r="K145" s="5">
        <v>41959</v>
      </c>
      <c r="L145" s="6">
        <v>19</v>
      </c>
      <c r="M145" s="3">
        <v>1</v>
      </c>
      <c r="N145" s="3">
        <v>1</v>
      </c>
      <c r="O145" s="3">
        <v>15.2</v>
      </c>
      <c r="P145" s="3">
        <v>0.25</v>
      </c>
      <c r="Q145" s="6">
        <f>O145*0.75</f>
        <v>11.399999999999999</v>
      </c>
      <c r="R145" s="6">
        <f t="shared" si="20"/>
        <v>0.71249999999999991</v>
      </c>
      <c r="S145" s="6">
        <v>3</v>
      </c>
      <c r="T145" s="6">
        <f>S145-R145</f>
        <v>2.2875000000000001</v>
      </c>
      <c r="U145" s="6">
        <f>T145*16</f>
        <v>36.6</v>
      </c>
      <c r="V145" s="8" t="s">
        <v>268</v>
      </c>
    </row>
    <row r="146" spans="1:22" s="8" customFormat="1">
      <c r="A146" s="3" t="s">
        <v>31</v>
      </c>
      <c r="B146" s="3" t="s">
        <v>21</v>
      </c>
      <c r="C146" s="3" t="s">
        <v>21</v>
      </c>
      <c r="D146" s="3">
        <v>8.4</v>
      </c>
      <c r="E146" s="4" t="s">
        <v>21</v>
      </c>
      <c r="F146" s="4" t="s">
        <v>5</v>
      </c>
      <c r="G146" s="3" t="s">
        <v>269</v>
      </c>
      <c r="H146" s="3" t="s">
        <v>33</v>
      </c>
      <c r="I146" s="3" t="s">
        <v>270</v>
      </c>
      <c r="J146" s="5">
        <v>41959</v>
      </c>
      <c r="K146" s="5">
        <v>41959</v>
      </c>
      <c r="L146" s="3">
        <v>18</v>
      </c>
      <c r="M146" s="3">
        <v>1</v>
      </c>
      <c r="N146" s="3">
        <v>1</v>
      </c>
      <c r="O146" s="3">
        <v>18</v>
      </c>
      <c r="P146" s="3">
        <v>0.25</v>
      </c>
      <c r="Q146" s="6">
        <f>O146*0.75</f>
        <v>13.5</v>
      </c>
      <c r="R146" s="6">
        <f t="shared" si="20"/>
        <v>0.84375</v>
      </c>
      <c r="S146" s="6">
        <v>3</v>
      </c>
      <c r="T146" s="6">
        <f>S146-R146</f>
        <v>2.15625</v>
      </c>
      <c r="U146" s="6">
        <f>T146*16</f>
        <v>34.5</v>
      </c>
      <c r="V146" s="8" t="s">
        <v>268</v>
      </c>
    </row>
    <row r="148" spans="1:22">
      <c r="Q148" s="18"/>
      <c r="R148" s="18"/>
      <c r="S148" s="18"/>
      <c r="T148" s="18"/>
      <c r="U148" s="18">
        <f>SUM(U2:U146)</f>
        <v>4785.6712000000016</v>
      </c>
    </row>
    <row r="149" spans="1:22" s="26" customFormat="1">
      <c r="A149" s="25" t="s">
        <v>271</v>
      </c>
      <c r="E149" s="27"/>
      <c r="F149" s="27"/>
      <c r="Q149" s="28">
        <f>O149*0.75</f>
        <v>0</v>
      </c>
      <c r="R149" s="28">
        <f>Q149/16</f>
        <v>0</v>
      </c>
      <c r="S149" s="28"/>
      <c r="T149" s="28">
        <f>S149-R149</f>
        <v>0</v>
      </c>
      <c r="U149" s="28">
        <f>T149*16</f>
        <v>0</v>
      </c>
    </row>
    <row r="150" spans="1:22">
      <c r="A150" s="3" t="s">
        <v>25</v>
      </c>
      <c r="B150" s="3" t="s">
        <v>26</v>
      </c>
      <c r="C150" s="3"/>
      <c r="D150" s="3" t="s">
        <v>272</v>
      </c>
      <c r="E150" s="4" t="s">
        <v>26</v>
      </c>
      <c r="F150" s="4"/>
      <c r="G150" s="3" t="s">
        <v>273</v>
      </c>
      <c r="H150" s="3" t="s">
        <v>63</v>
      </c>
      <c r="I150" s="3">
        <v>73619</v>
      </c>
      <c r="J150" s="5">
        <v>41959</v>
      </c>
      <c r="K150" s="5">
        <v>41959</v>
      </c>
      <c r="L150" s="3">
        <v>41.96</v>
      </c>
      <c r="M150" s="3">
        <v>2</v>
      </c>
      <c r="N150" s="3">
        <v>1</v>
      </c>
      <c r="O150" s="3">
        <v>4.96</v>
      </c>
      <c r="P150" s="3">
        <v>0.18</v>
      </c>
      <c r="Q150" s="6">
        <f>O150*0.82</f>
        <v>4.0671999999999997</v>
      </c>
      <c r="R150" s="6">
        <f>Q150/16</f>
        <v>0.25419999999999998</v>
      </c>
      <c r="S150" s="10" t="s">
        <v>27</v>
      </c>
      <c r="T150" s="10" t="e">
        <f>S150-R150</f>
        <v>#VALUE!</v>
      </c>
      <c r="U150" s="10" t="e">
        <f>T150*16</f>
        <v>#VALUE!</v>
      </c>
    </row>
    <row r="151" spans="1:22">
      <c r="A151" s="3" t="s">
        <v>25</v>
      </c>
      <c r="B151" s="3" t="s">
        <v>26</v>
      </c>
      <c r="C151" s="3" t="s">
        <v>26</v>
      </c>
      <c r="D151" s="3">
        <v>16</v>
      </c>
      <c r="E151" s="4" t="s">
        <v>26</v>
      </c>
      <c r="F151" s="4" t="s">
        <v>155</v>
      </c>
      <c r="G151" s="3" t="s">
        <v>274</v>
      </c>
      <c r="H151" s="3" t="s">
        <v>275</v>
      </c>
      <c r="I151" s="3" t="s">
        <v>155</v>
      </c>
      <c r="J151" s="3" t="s">
        <v>155</v>
      </c>
      <c r="K151" s="5">
        <v>41965</v>
      </c>
      <c r="L151" s="6">
        <v>127.42</v>
      </c>
      <c r="M151" s="3">
        <v>2</v>
      </c>
      <c r="N151" s="3">
        <v>1</v>
      </c>
      <c r="O151" s="3">
        <v>63.71</v>
      </c>
      <c r="P151" s="3">
        <v>0</v>
      </c>
      <c r="Q151" s="6">
        <f>O151</f>
        <v>63.71</v>
      </c>
      <c r="R151" s="6">
        <f>Q151/16</f>
        <v>3.9818750000000001</v>
      </c>
      <c r="S151" s="6">
        <v>10</v>
      </c>
      <c r="T151" s="6">
        <f>S151-R151</f>
        <v>6.0181249999999995</v>
      </c>
      <c r="U151" s="6">
        <f>T151*16</f>
        <v>96.289999999999992</v>
      </c>
    </row>
    <row r="152" spans="1:22">
      <c r="A152" s="3" t="s">
        <v>25</v>
      </c>
      <c r="B152" s="3" t="s">
        <v>26</v>
      </c>
      <c r="C152" s="3" t="s">
        <v>26</v>
      </c>
      <c r="D152" s="3">
        <v>8.5</v>
      </c>
      <c r="E152" s="4" t="s">
        <v>26</v>
      </c>
      <c r="F152" s="4"/>
      <c r="G152" s="3" t="s">
        <v>276</v>
      </c>
      <c r="H152" s="3" t="s">
        <v>277</v>
      </c>
      <c r="I152" s="3"/>
      <c r="Q152" s="18">
        <f>O152*0.75</f>
        <v>0</v>
      </c>
      <c r="R152" s="18">
        <f>Q152/16</f>
        <v>0</v>
      </c>
      <c r="S152" s="18"/>
      <c r="T152" s="18">
        <f>S152-R152</f>
        <v>0</v>
      </c>
      <c r="U152" s="18">
        <f>T152*16</f>
        <v>0</v>
      </c>
    </row>
    <row r="153" spans="1:22">
      <c r="A153" s="3" t="s">
        <v>25</v>
      </c>
      <c r="B153" s="3" t="s">
        <v>26</v>
      </c>
      <c r="C153" s="3" t="s">
        <v>26</v>
      </c>
      <c r="D153" s="3">
        <v>8.5</v>
      </c>
      <c r="E153" s="4" t="s">
        <v>26</v>
      </c>
      <c r="F153" s="4"/>
      <c r="G153" s="3" t="s">
        <v>278</v>
      </c>
      <c r="H153" s="3" t="s">
        <v>277</v>
      </c>
      <c r="I153" s="3"/>
      <c r="Q153" s="18"/>
      <c r="R153" s="18"/>
      <c r="S153" s="18"/>
      <c r="T153" s="18"/>
      <c r="U153" s="18"/>
    </row>
    <row r="154" spans="1:22">
      <c r="A154" s="3" t="s">
        <v>25</v>
      </c>
      <c r="B154" s="3" t="s">
        <v>26</v>
      </c>
      <c r="C154" s="3" t="s">
        <v>26</v>
      </c>
      <c r="D154" s="3">
        <v>8.5</v>
      </c>
      <c r="E154" s="4" t="s">
        <v>26</v>
      </c>
      <c r="F154" s="4"/>
      <c r="G154" s="3" t="s">
        <v>279</v>
      </c>
      <c r="H154" s="3" t="s">
        <v>277</v>
      </c>
      <c r="I154" s="3"/>
      <c r="Q154" s="18"/>
      <c r="R154" s="18"/>
      <c r="S154" s="18"/>
      <c r="T154" s="18"/>
      <c r="U154" s="18"/>
    </row>
    <row r="155" spans="1:22">
      <c r="A155" s="3" t="s">
        <v>205</v>
      </c>
      <c r="B155" s="3" t="s">
        <v>26</v>
      </c>
      <c r="C155" s="3" t="s">
        <v>26</v>
      </c>
      <c r="D155" s="3" t="s">
        <v>280</v>
      </c>
      <c r="E155" s="4" t="s">
        <v>26</v>
      </c>
      <c r="F155" s="4"/>
      <c r="G155" s="3" t="s">
        <v>281</v>
      </c>
      <c r="H155" s="3" t="s">
        <v>282</v>
      </c>
      <c r="I155" s="3">
        <v>17318</v>
      </c>
      <c r="J155" s="5">
        <v>41959</v>
      </c>
      <c r="K155" s="5">
        <v>41959</v>
      </c>
      <c r="L155" s="3">
        <v>99.95</v>
      </c>
      <c r="M155" s="3">
        <v>1</v>
      </c>
      <c r="N155" s="3">
        <v>1</v>
      </c>
      <c r="O155" s="3">
        <f>L155</f>
        <v>99.95</v>
      </c>
      <c r="P155" s="3">
        <v>0</v>
      </c>
      <c r="Q155" s="6">
        <f>O155</f>
        <v>99.95</v>
      </c>
      <c r="R155" s="6">
        <f>O155/16</f>
        <v>6.2468750000000002</v>
      </c>
      <c r="S155" s="6">
        <v>13</v>
      </c>
      <c r="T155" s="6">
        <f>S155-R155</f>
        <v>6.7531249999999998</v>
      </c>
      <c r="U155" s="6" t="s">
        <v>27</v>
      </c>
    </row>
    <row r="156" spans="1:22">
      <c r="A156" s="3" t="s">
        <v>205</v>
      </c>
      <c r="B156" s="3" t="s">
        <v>26</v>
      </c>
      <c r="C156" s="3" t="s">
        <v>26</v>
      </c>
      <c r="D156" s="3" t="s">
        <v>280</v>
      </c>
      <c r="E156" s="3" t="s">
        <v>26</v>
      </c>
      <c r="F156" s="3" t="s">
        <v>59</v>
      </c>
      <c r="G156" s="3" t="s">
        <v>283</v>
      </c>
      <c r="H156" s="3" t="s">
        <v>282</v>
      </c>
      <c r="I156" s="3">
        <v>17333</v>
      </c>
      <c r="J156" s="5">
        <v>41959</v>
      </c>
      <c r="K156" s="5">
        <v>41959</v>
      </c>
      <c r="L156" s="3">
        <v>100</v>
      </c>
      <c r="M156" s="3">
        <v>1</v>
      </c>
      <c r="N156" s="3">
        <v>1</v>
      </c>
      <c r="O156" s="3">
        <f>L156</f>
        <v>100</v>
      </c>
      <c r="P156" s="3">
        <v>0</v>
      </c>
      <c r="Q156" s="6">
        <f>O156</f>
        <v>100</v>
      </c>
      <c r="R156" s="6">
        <f>O156/16</f>
        <v>6.25</v>
      </c>
      <c r="S156" s="6">
        <v>13</v>
      </c>
      <c r="T156" s="6">
        <f>S156-R156</f>
        <v>6.75</v>
      </c>
      <c r="U156" s="6" t="s">
        <v>27</v>
      </c>
    </row>
    <row r="157" spans="1:22">
      <c r="A157" s="3" t="s">
        <v>205</v>
      </c>
      <c r="B157" s="3" t="s">
        <v>26</v>
      </c>
      <c r="C157" s="3" t="s">
        <v>26</v>
      </c>
      <c r="D157" s="3" t="s">
        <v>280</v>
      </c>
      <c r="E157" s="4" t="s">
        <v>26</v>
      </c>
      <c r="F157" s="4"/>
      <c r="G157" s="3" t="s">
        <v>284</v>
      </c>
      <c r="H157" s="3" t="s">
        <v>282</v>
      </c>
      <c r="I157" s="3">
        <v>17331</v>
      </c>
      <c r="J157" s="5">
        <v>41959</v>
      </c>
      <c r="K157" s="5">
        <v>41959</v>
      </c>
      <c r="L157" s="3">
        <v>29</v>
      </c>
      <c r="M157" s="3">
        <v>1</v>
      </c>
      <c r="N157" s="3">
        <v>1</v>
      </c>
      <c r="O157" s="3">
        <f>L157</f>
        <v>29</v>
      </c>
      <c r="P157" s="3">
        <v>0</v>
      </c>
      <c r="Q157" s="3">
        <f>O157</f>
        <v>29</v>
      </c>
      <c r="R157" s="6">
        <f>O157/16</f>
        <v>1.8125</v>
      </c>
      <c r="S157" s="3">
        <v>4</v>
      </c>
      <c r="T157" s="6">
        <f>S157-R157</f>
        <v>2.1875</v>
      </c>
      <c r="U157" s="3" t="s">
        <v>27</v>
      </c>
    </row>
    <row r="158" spans="1:22">
      <c r="A158" s="3" t="s">
        <v>205</v>
      </c>
      <c r="B158" s="3" t="s">
        <v>26</v>
      </c>
      <c r="C158" s="3" t="s">
        <v>26</v>
      </c>
      <c r="D158" s="3" t="s">
        <v>280</v>
      </c>
      <c r="E158" s="4" t="s">
        <v>26</v>
      </c>
      <c r="F158" s="4"/>
      <c r="G158" s="3" t="s">
        <v>285</v>
      </c>
      <c r="H158" s="3" t="s">
        <v>282</v>
      </c>
      <c r="I158" s="3">
        <v>17324</v>
      </c>
      <c r="J158" s="5">
        <v>41959</v>
      </c>
      <c r="K158" s="5">
        <v>41959</v>
      </c>
      <c r="L158" s="3">
        <v>41</v>
      </c>
      <c r="M158" s="3">
        <v>1</v>
      </c>
      <c r="N158" s="3">
        <v>1</v>
      </c>
      <c r="O158" s="3">
        <f>L158</f>
        <v>41</v>
      </c>
      <c r="P158" s="3">
        <f>O158/16</f>
        <v>2.5625</v>
      </c>
      <c r="Q158" s="3">
        <f>O158</f>
        <v>41</v>
      </c>
      <c r="R158" s="6">
        <f>O158/16</f>
        <v>2.5625</v>
      </c>
      <c r="S158" s="3">
        <v>6</v>
      </c>
      <c r="T158" s="6">
        <f>S158-R158</f>
        <v>3.4375</v>
      </c>
      <c r="U158" s="3" t="s">
        <v>27</v>
      </c>
    </row>
    <row r="159" spans="1:22">
      <c r="A159" s="3" t="s">
        <v>25</v>
      </c>
      <c r="B159" s="3" t="s">
        <v>26</v>
      </c>
      <c r="C159" s="3" t="s">
        <v>26</v>
      </c>
      <c r="D159" s="3" t="s">
        <v>280</v>
      </c>
      <c r="E159" s="4" t="s">
        <v>26</v>
      </c>
      <c r="F159" s="4"/>
      <c r="G159" s="3" t="s">
        <v>286</v>
      </c>
      <c r="H159" s="3" t="s">
        <v>36</v>
      </c>
      <c r="I159" s="3">
        <v>73659</v>
      </c>
    </row>
    <row r="160" spans="1:22">
      <c r="A160" s="3" t="s">
        <v>287</v>
      </c>
      <c r="B160" s="3" t="s">
        <v>21</v>
      </c>
      <c r="C160" s="3" t="s">
        <v>21</v>
      </c>
      <c r="D160" s="3" t="s">
        <v>280</v>
      </c>
      <c r="E160" s="4" t="s">
        <v>21</v>
      </c>
      <c r="F160" s="4" t="s">
        <v>5</v>
      </c>
      <c r="G160" s="3" t="s">
        <v>288</v>
      </c>
      <c r="H160" s="3" t="s">
        <v>289</v>
      </c>
      <c r="I160" s="3"/>
      <c r="J160" s="5">
        <v>41717</v>
      </c>
      <c r="K160" s="5">
        <v>41717</v>
      </c>
      <c r="L160" s="3">
        <v>158.4</v>
      </c>
      <c r="M160" s="3">
        <v>1</v>
      </c>
      <c r="N160" s="3">
        <v>1</v>
      </c>
      <c r="O160" s="3">
        <f>L160</f>
        <v>158.4</v>
      </c>
      <c r="P160" s="3">
        <v>0</v>
      </c>
      <c r="Q160" s="3">
        <f>O160</f>
        <v>158.4</v>
      </c>
      <c r="R160" s="3">
        <f>O160/16</f>
        <v>9.9</v>
      </c>
      <c r="S160" s="3">
        <v>18</v>
      </c>
      <c r="T160" s="3">
        <f>S160-R160</f>
        <v>8.1</v>
      </c>
      <c r="U160" s="3">
        <f>T160*16</f>
        <v>129.6</v>
      </c>
    </row>
    <row r="161" spans="1:25">
      <c r="A161" s="7" t="s">
        <v>1</v>
      </c>
      <c r="B161" s="7" t="s">
        <v>21</v>
      </c>
      <c r="C161" s="7" t="s">
        <v>21</v>
      </c>
      <c r="D161" s="7" t="s">
        <v>280</v>
      </c>
      <c r="E161" s="23" t="s">
        <v>21</v>
      </c>
      <c r="F161" s="23" t="s">
        <v>5</v>
      </c>
      <c r="G161" s="7" t="s">
        <v>290</v>
      </c>
      <c r="H161" s="7" t="s">
        <v>289</v>
      </c>
      <c r="J161" s="29">
        <v>41717</v>
      </c>
      <c r="K161" s="29">
        <v>41717</v>
      </c>
      <c r="L161" s="7">
        <v>30</v>
      </c>
      <c r="M161" s="7">
        <v>1</v>
      </c>
      <c r="N161" s="7">
        <v>1</v>
      </c>
      <c r="O161" s="7">
        <f>L161</f>
        <v>30</v>
      </c>
      <c r="P161" s="7">
        <v>0</v>
      </c>
      <c r="Q161" s="7">
        <f>O161</f>
        <v>30</v>
      </c>
      <c r="R161" s="7">
        <f>Q161/16</f>
        <v>1.875</v>
      </c>
      <c r="S161" s="7">
        <v>5</v>
      </c>
      <c r="T161" s="7">
        <f>S161-R161</f>
        <v>3.125</v>
      </c>
      <c r="U161" s="7">
        <f>T161*16</f>
        <v>50</v>
      </c>
    </row>
    <row r="166" spans="1:25">
      <c r="G166" s="30" t="s">
        <v>291</v>
      </c>
      <c r="H166" s="30" t="s">
        <v>292</v>
      </c>
      <c r="K166" s="30" t="s">
        <v>293</v>
      </c>
      <c r="L166" s="30" t="s">
        <v>294</v>
      </c>
      <c r="N166" s="30" t="s">
        <v>295</v>
      </c>
      <c r="S166" s="30" t="s">
        <v>296</v>
      </c>
      <c r="V166" s="30" t="s">
        <v>297</v>
      </c>
      <c r="W166" s="30" t="s">
        <v>298</v>
      </c>
      <c r="X166" s="30" t="s">
        <v>299</v>
      </c>
      <c r="Y166" s="30" t="s">
        <v>300</v>
      </c>
    </row>
    <row r="167" spans="1:25">
      <c r="G167" s="31" t="s">
        <v>301</v>
      </c>
      <c r="H167" s="31" t="s">
        <v>302</v>
      </c>
      <c r="K167" s="32">
        <v>41549</v>
      </c>
      <c r="L167" s="3">
        <v>24.97</v>
      </c>
      <c r="M167" s="3">
        <v>1</v>
      </c>
      <c r="N167" s="31">
        <v>1</v>
      </c>
      <c r="O167" s="3">
        <f>L167</f>
        <v>24.97</v>
      </c>
      <c r="P167" s="3">
        <v>0</v>
      </c>
      <c r="Q167" s="3">
        <f>O167</f>
        <v>24.97</v>
      </c>
      <c r="R167" s="3">
        <f>Q167/16</f>
        <v>1.5606249999999999</v>
      </c>
      <c r="S167" s="33"/>
      <c r="V167" s="34" t="s">
        <v>303</v>
      </c>
      <c r="W167" s="34" t="s">
        <v>304</v>
      </c>
      <c r="X167" s="34" t="s">
        <v>305</v>
      </c>
      <c r="Y167" s="34">
        <v>11.4</v>
      </c>
    </row>
    <row r="168" spans="1:25">
      <c r="A168" s="3" t="s">
        <v>31</v>
      </c>
      <c r="B168" s="3" t="s">
        <v>21</v>
      </c>
      <c r="C168" s="3" t="s">
        <v>21</v>
      </c>
      <c r="D168" s="3">
        <v>11.7</v>
      </c>
      <c r="E168" s="4" t="s">
        <v>21</v>
      </c>
      <c r="F168" s="4" t="s">
        <v>5</v>
      </c>
      <c r="G168" s="31" t="s">
        <v>306</v>
      </c>
      <c r="H168" s="31" t="s">
        <v>307</v>
      </c>
      <c r="I168" s="3">
        <v>70838</v>
      </c>
      <c r="J168" s="3" t="s">
        <v>28</v>
      </c>
      <c r="K168" s="32">
        <v>41543</v>
      </c>
      <c r="L168" s="3">
        <v>16.93</v>
      </c>
      <c r="M168" s="3">
        <v>1</v>
      </c>
      <c r="N168" s="31">
        <v>1</v>
      </c>
      <c r="O168" s="3">
        <f>L168</f>
        <v>16.93</v>
      </c>
      <c r="P168" s="3">
        <v>0</v>
      </c>
      <c r="Q168" s="3">
        <f>O168</f>
        <v>16.93</v>
      </c>
      <c r="R168" s="3">
        <f>Q168/16</f>
        <v>1.058125</v>
      </c>
      <c r="S168" s="35"/>
      <c r="V168" s="35" t="s">
        <v>308</v>
      </c>
      <c r="W168" s="35" t="s">
        <v>309</v>
      </c>
      <c r="X168" s="35" t="s">
        <v>305</v>
      </c>
      <c r="Y168" s="35" t="s">
        <v>310</v>
      </c>
    </row>
    <row r="169" spans="1:25">
      <c r="A169" s="3" t="s">
        <v>31</v>
      </c>
      <c r="B169" s="3" t="s">
        <v>21</v>
      </c>
      <c r="C169" s="3" t="s">
        <v>21</v>
      </c>
      <c r="D169" s="3">
        <v>14</v>
      </c>
      <c r="E169" s="4" t="s">
        <v>21</v>
      </c>
      <c r="F169" s="4" t="s">
        <v>5</v>
      </c>
      <c r="G169" s="31" t="s">
        <v>306</v>
      </c>
      <c r="H169" s="31" t="s">
        <v>311</v>
      </c>
      <c r="I169" s="3" t="s">
        <v>312</v>
      </c>
      <c r="J169" s="19">
        <v>41394</v>
      </c>
      <c r="K169" s="36">
        <v>41775</v>
      </c>
      <c r="L169" s="11"/>
      <c r="N169" s="31">
        <v>1</v>
      </c>
      <c r="S169" s="35"/>
      <c r="V169" s="31" t="s">
        <v>308</v>
      </c>
      <c r="W169" s="31" t="s">
        <v>313</v>
      </c>
      <c r="X169" s="31" t="s">
        <v>305</v>
      </c>
      <c r="Y169" s="31">
        <v>14</v>
      </c>
    </row>
    <row r="170" spans="1:25">
      <c r="F170" s="4" t="s">
        <v>5</v>
      </c>
      <c r="G170" s="31" t="s">
        <v>314</v>
      </c>
      <c r="H170" s="31" t="s">
        <v>302</v>
      </c>
      <c r="K170" s="32">
        <v>41574</v>
      </c>
      <c r="L170" s="3">
        <v>13.38</v>
      </c>
      <c r="M170" s="3">
        <v>1</v>
      </c>
      <c r="N170" s="31">
        <v>1</v>
      </c>
      <c r="O170" s="3">
        <f>L170</f>
        <v>13.38</v>
      </c>
      <c r="P170" s="3">
        <v>0</v>
      </c>
      <c r="Q170" s="3">
        <f>O170</f>
        <v>13.38</v>
      </c>
      <c r="R170" s="3">
        <f>Q170/16</f>
        <v>0.83625000000000005</v>
      </c>
      <c r="S170" s="31">
        <v>2</v>
      </c>
      <c r="V170" s="34" t="s">
        <v>315</v>
      </c>
      <c r="W170" s="34" t="s">
        <v>316</v>
      </c>
      <c r="X170" s="34" t="s">
        <v>317</v>
      </c>
      <c r="Y170" s="31">
        <v>14</v>
      </c>
    </row>
    <row r="171" spans="1:25">
      <c r="A171" s="3" t="s">
        <v>31</v>
      </c>
      <c r="B171" s="3" t="s">
        <v>21</v>
      </c>
      <c r="C171" s="3" t="s">
        <v>21</v>
      </c>
      <c r="D171" s="3">
        <v>5</v>
      </c>
      <c r="E171" s="4" t="s">
        <v>21</v>
      </c>
      <c r="F171" s="4" t="s">
        <v>5</v>
      </c>
      <c r="G171" s="31" t="s">
        <v>318</v>
      </c>
      <c r="H171" s="31" t="s">
        <v>302</v>
      </c>
      <c r="I171" s="3" t="s">
        <v>28</v>
      </c>
      <c r="J171" s="5">
        <v>41714</v>
      </c>
      <c r="K171" s="36">
        <v>41714</v>
      </c>
      <c r="L171" s="3">
        <v>17.829999999999998</v>
      </c>
      <c r="M171" s="3">
        <v>1</v>
      </c>
      <c r="N171" s="31">
        <v>1</v>
      </c>
      <c r="O171" s="3">
        <f>L171</f>
        <v>17.829999999999998</v>
      </c>
      <c r="P171" s="3">
        <v>0</v>
      </c>
      <c r="Q171" s="3">
        <f>O171</f>
        <v>17.829999999999998</v>
      </c>
      <c r="R171" s="3">
        <f>Q171/16</f>
        <v>1.1143749999999999</v>
      </c>
      <c r="S171" s="31">
        <v>3.5</v>
      </c>
      <c r="T171" s="3">
        <f>S171-R171</f>
        <v>2.3856250000000001</v>
      </c>
      <c r="V171" s="31" t="s">
        <v>319</v>
      </c>
      <c r="W171" s="31" t="s">
        <v>320</v>
      </c>
      <c r="X171" s="31" t="s">
        <v>321</v>
      </c>
      <c r="Y171" s="31" t="s">
        <v>322</v>
      </c>
    </row>
    <row r="172" spans="1:25">
      <c r="A172" s="3" t="s">
        <v>31</v>
      </c>
      <c r="B172" s="3" t="s">
        <v>21</v>
      </c>
      <c r="C172" s="3" t="s">
        <v>21</v>
      </c>
      <c r="D172" s="3">
        <v>6.2</v>
      </c>
      <c r="E172" s="4" t="s">
        <v>21</v>
      </c>
      <c r="F172" s="4" t="s">
        <v>323</v>
      </c>
      <c r="G172" s="31" t="s">
        <v>324</v>
      </c>
      <c r="H172" s="37" t="s">
        <v>36</v>
      </c>
      <c r="I172" s="3">
        <v>72682</v>
      </c>
      <c r="J172" s="3" t="s">
        <v>28</v>
      </c>
      <c r="K172" s="32">
        <v>41531</v>
      </c>
      <c r="L172" s="3">
        <v>17.989999999999998</v>
      </c>
      <c r="M172" s="3">
        <v>1</v>
      </c>
      <c r="N172" s="31">
        <v>1</v>
      </c>
      <c r="O172" s="3">
        <f>L172</f>
        <v>17.989999999999998</v>
      </c>
      <c r="P172" s="3">
        <v>0</v>
      </c>
      <c r="Q172" s="3">
        <f>O172</f>
        <v>17.989999999999998</v>
      </c>
      <c r="R172" s="3">
        <f>Q172/16</f>
        <v>1.1243749999999999</v>
      </c>
      <c r="S172" s="38"/>
      <c r="T172" s="7">
        <f>S172-R172</f>
        <v>-1.1243749999999999</v>
      </c>
      <c r="U172" s="7">
        <f>T172*16</f>
        <v>-17.989999999999998</v>
      </c>
      <c r="V172" s="31" t="s">
        <v>325</v>
      </c>
      <c r="W172" s="31" t="s">
        <v>326</v>
      </c>
      <c r="X172" s="31" t="s">
        <v>305</v>
      </c>
      <c r="Y172" s="31">
        <v>6.2</v>
      </c>
    </row>
    <row r="173" spans="1:25">
      <c r="G173" s="39" t="s">
        <v>327</v>
      </c>
      <c r="H173" s="39" t="s">
        <v>302</v>
      </c>
      <c r="K173" s="39"/>
      <c r="L173" s="40"/>
      <c r="N173" s="39">
        <v>1</v>
      </c>
      <c r="S173" s="39">
        <v>1.75</v>
      </c>
      <c r="V173" s="39" t="s">
        <v>328</v>
      </c>
      <c r="W173" s="39" t="s">
        <v>329</v>
      </c>
      <c r="X173" s="39" t="s">
        <v>330</v>
      </c>
      <c r="Y173" s="39">
        <v>8.6999999999999993</v>
      </c>
    </row>
    <row r="174" spans="1:25">
      <c r="A174" s="3" t="s">
        <v>31</v>
      </c>
      <c r="B174" s="3" t="s">
        <v>21</v>
      </c>
      <c r="C174" s="3" t="s">
        <v>21</v>
      </c>
      <c r="D174" s="3">
        <v>8.9</v>
      </c>
      <c r="E174" s="4" t="s">
        <v>21</v>
      </c>
      <c r="F174" s="4" t="s">
        <v>28</v>
      </c>
      <c r="G174" s="31" t="s">
        <v>331</v>
      </c>
      <c r="H174" s="31" t="s">
        <v>332</v>
      </c>
      <c r="I174" s="3">
        <v>5357227</v>
      </c>
      <c r="J174" s="3" t="s">
        <v>28</v>
      </c>
      <c r="K174" s="32">
        <v>41531</v>
      </c>
      <c r="L174" s="3">
        <v>15.68</v>
      </c>
      <c r="M174" s="3">
        <v>1</v>
      </c>
      <c r="N174" s="31">
        <v>1</v>
      </c>
      <c r="O174" s="3">
        <f>L174</f>
        <v>15.68</v>
      </c>
      <c r="P174" s="3">
        <v>0</v>
      </c>
      <c r="Q174" s="3">
        <f>O174</f>
        <v>15.68</v>
      </c>
      <c r="R174" s="3">
        <f>Q174/16</f>
        <v>0.98</v>
      </c>
      <c r="S174" s="31">
        <v>2</v>
      </c>
      <c r="T174" s="3">
        <f>S174-R174</f>
        <v>1.02</v>
      </c>
      <c r="U174" s="3">
        <f>T174*16</f>
        <v>16.32</v>
      </c>
      <c r="V174" s="31" t="s">
        <v>333</v>
      </c>
      <c r="W174" s="31" t="s">
        <v>313</v>
      </c>
      <c r="X174" s="31" t="s">
        <v>305</v>
      </c>
      <c r="Y174" s="31">
        <v>8.5</v>
      </c>
    </row>
    <row r="175" spans="1:25">
      <c r="F175" s="4" t="s">
        <v>5</v>
      </c>
      <c r="G175" s="31" t="s">
        <v>334</v>
      </c>
      <c r="H175" s="37" t="s">
        <v>335</v>
      </c>
      <c r="J175" s="3" t="s">
        <v>28</v>
      </c>
      <c r="K175" s="32">
        <v>41395</v>
      </c>
      <c r="L175" s="3">
        <v>10</v>
      </c>
      <c r="M175" s="3">
        <v>1</v>
      </c>
      <c r="N175" s="41">
        <f>(16/3.53)</f>
        <v>4.5325779036827196</v>
      </c>
      <c r="O175" s="8">
        <f>N175*3.53</f>
        <v>16</v>
      </c>
      <c r="P175" s="8">
        <v>0</v>
      </c>
      <c r="Q175" s="8">
        <f>L175*N175</f>
        <v>45.3257790368272</v>
      </c>
      <c r="S175" s="34">
        <v>2</v>
      </c>
      <c r="V175" s="34"/>
      <c r="W175" s="34"/>
      <c r="X175" s="34"/>
      <c r="Y175" s="34">
        <v>3.7</v>
      </c>
    </row>
    <row r="176" spans="1:25">
      <c r="G176" s="37" t="s">
        <v>336</v>
      </c>
      <c r="H176" s="37" t="s">
        <v>36</v>
      </c>
      <c r="K176" s="32">
        <v>41594</v>
      </c>
      <c r="L176" s="3">
        <v>14.99</v>
      </c>
      <c r="M176" s="3">
        <v>1</v>
      </c>
      <c r="N176" s="31">
        <v>1</v>
      </c>
      <c r="O176" s="3">
        <f>L176</f>
        <v>14.99</v>
      </c>
      <c r="P176" s="3">
        <v>0</v>
      </c>
      <c r="Q176" s="3">
        <f>O176</f>
        <v>14.99</v>
      </c>
      <c r="R176" s="3">
        <f>O176/16</f>
        <v>0.93687500000000001</v>
      </c>
      <c r="S176"/>
      <c r="V176" s="35"/>
      <c r="W176" s="35"/>
      <c r="X176" s="31" t="s">
        <v>337</v>
      </c>
      <c r="Y176" s="38" t="s">
        <v>338</v>
      </c>
    </row>
    <row r="177" spans="1:25">
      <c r="A177" s="3" t="s">
        <v>31</v>
      </c>
      <c r="B177" s="3" t="s">
        <v>21</v>
      </c>
      <c r="C177" s="3" t="s">
        <v>21</v>
      </c>
      <c r="D177" s="3">
        <v>16.399999999999999</v>
      </c>
      <c r="E177" s="4" t="s">
        <v>21</v>
      </c>
      <c r="F177" s="4" t="s">
        <v>5</v>
      </c>
      <c r="G177" s="37" t="s">
        <v>339</v>
      </c>
      <c r="H177" s="31" t="s">
        <v>340</v>
      </c>
      <c r="I177" s="3" t="s">
        <v>28</v>
      </c>
      <c r="J177" s="3" t="s">
        <v>28</v>
      </c>
      <c r="K177" s="42">
        <v>41600</v>
      </c>
      <c r="L177" s="43">
        <v>12.75</v>
      </c>
      <c r="M177" s="3">
        <v>1</v>
      </c>
      <c r="N177" s="31">
        <v>1</v>
      </c>
      <c r="O177" s="3">
        <f>L177</f>
        <v>12.75</v>
      </c>
      <c r="P177" s="3">
        <v>0</v>
      </c>
      <c r="Q177" s="3">
        <f>O177</f>
        <v>12.75</v>
      </c>
      <c r="R177" s="3">
        <f>O177/16</f>
        <v>0.796875</v>
      </c>
      <c r="S177" s="31">
        <v>2</v>
      </c>
      <c r="T177" s="3">
        <f>S177-R177</f>
        <v>1.203125</v>
      </c>
      <c r="U177" s="3">
        <f>T177*16</f>
        <v>19.25</v>
      </c>
      <c r="V177" s="38"/>
      <c r="W177" s="38"/>
      <c r="X177" s="31" t="s">
        <v>305</v>
      </c>
      <c r="Y177" s="38">
        <v>14.7</v>
      </c>
    </row>
    <row r="178" spans="1:25">
      <c r="G178" s="31" t="s">
        <v>341</v>
      </c>
      <c r="H178" s="44" t="s">
        <v>24</v>
      </c>
      <c r="K178" s="36">
        <v>41775</v>
      </c>
      <c r="L178" s="45">
        <v>21</v>
      </c>
      <c r="N178"/>
      <c r="S178"/>
      <c r="V178"/>
      <c r="W178"/>
      <c r="X178" s="31" t="s">
        <v>342</v>
      </c>
      <c r="Y178"/>
    </row>
    <row r="179" spans="1:25">
      <c r="G179" s="31" t="s">
        <v>343</v>
      </c>
      <c r="H179" s="31" t="s">
        <v>344</v>
      </c>
      <c r="K179" s="36">
        <v>41686</v>
      </c>
      <c r="L179" s="3">
        <v>14.43</v>
      </c>
      <c r="M179" s="3">
        <v>1</v>
      </c>
      <c r="N179" s="31">
        <v>1</v>
      </c>
      <c r="O179" s="3">
        <f>L179</f>
        <v>14.43</v>
      </c>
      <c r="P179" s="3">
        <v>0</v>
      </c>
      <c r="Q179" s="3">
        <f>O179</f>
        <v>14.43</v>
      </c>
      <c r="R179" s="3">
        <f>Q179</f>
        <v>14.43</v>
      </c>
      <c r="S179"/>
      <c r="V179"/>
      <c r="W179"/>
      <c r="X179" t="s">
        <v>330</v>
      </c>
      <c r="Y179" t="s">
        <v>345</v>
      </c>
    </row>
    <row r="180" spans="1:25">
      <c r="G180" s="34" t="s">
        <v>346</v>
      </c>
      <c r="H180" s="34" t="s">
        <v>340</v>
      </c>
      <c r="K180" s="46">
        <v>41592</v>
      </c>
      <c r="L180" s="47">
        <v>26.9</v>
      </c>
      <c r="N180" s="31">
        <v>1</v>
      </c>
      <c r="S180" s="34"/>
      <c r="V180" s="34"/>
      <c r="W180" s="34"/>
      <c r="X180" s="34" t="s">
        <v>305</v>
      </c>
      <c r="Y180"/>
    </row>
    <row r="181" spans="1:25">
      <c r="A181" s="3" t="s">
        <v>1</v>
      </c>
      <c r="B181" s="3" t="s">
        <v>21</v>
      </c>
      <c r="C181" s="3" t="s">
        <v>21</v>
      </c>
      <c r="D181" s="3">
        <v>4</v>
      </c>
      <c r="E181" s="4" t="s">
        <v>21</v>
      </c>
      <c r="F181" s="4" t="s">
        <v>155</v>
      </c>
      <c r="G181" s="31" t="s">
        <v>347</v>
      </c>
      <c r="H181" s="31" t="s">
        <v>302</v>
      </c>
      <c r="K181"/>
      <c r="L181" s="7">
        <v>295</v>
      </c>
      <c r="N181" s="31">
        <v>1</v>
      </c>
      <c r="O181" s="3">
        <f>L181</f>
        <v>295</v>
      </c>
      <c r="P181" s="3">
        <v>0</v>
      </c>
      <c r="Q181" s="3">
        <f>O181</f>
        <v>295</v>
      </c>
      <c r="R181" s="3">
        <f>O181/16</f>
        <v>18.4375</v>
      </c>
      <c r="S181" s="31">
        <v>30</v>
      </c>
      <c r="T181" s="3">
        <f>S181-R181</f>
        <v>11.5625</v>
      </c>
      <c r="V181" t="s">
        <v>348</v>
      </c>
      <c r="W181" t="s">
        <v>349</v>
      </c>
      <c r="X181" t="s">
        <v>342</v>
      </c>
      <c r="Y181" s="34" t="s">
        <v>350</v>
      </c>
    </row>
    <row r="182" spans="1:25">
      <c r="A182" s="3" t="s">
        <v>31</v>
      </c>
      <c r="B182" s="3" t="s">
        <v>21</v>
      </c>
      <c r="C182" s="3" t="s">
        <v>26</v>
      </c>
      <c r="D182" s="3">
        <v>4.0999999999999996</v>
      </c>
      <c r="E182" s="4" t="s">
        <v>21</v>
      </c>
      <c r="F182" s="4" t="s">
        <v>155</v>
      </c>
      <c r="G182" s="31" t="s">
        <v>351</v>
      </c>
      <c r="H182" s="31" t="s">
        <v>352</v>
      </c>
      <c r="I182" s="5">
        <v>41714</v>
      </c>
      <c r="J182" s="5">
        <v>41714</v>
      </c>
      <c r="K182" s="36">
        <v>41714</v>
      </c>
      <c r="L182" s="3">
        <v>7.5</v>
      </c>
      <c r="M182" s="3">
        <v>1</v>
      </c>
      <c r="N182" s="31">
        <v>0.25</v>
      </c>
      <c r="O182" s="3">
        <f>L182</f>
        <v>7.5</v>
      </c>
      <c r="P182" s="3">
        <v>0</v>
      </c>
      <c r="Q182" s="3">
        <f>O182</f>
        <v>7.5</v>
      </c>
      <c r="R182" s="3">
        <f>Q182/4</f>
        <v>1.875</v>
      </c>
      <c r="S182" s="31">
        <v>2</v>
      </c>
      <c r="T182" s="3">
        <f>S182-R182</f>
        <v>0.125</v>
      </c>
      <c r="U182" s="3">
        <f>T182*4</f>
        <v>0.5</v>
      </c>
      <c r="V182" s="31" t="s">
        <v>353</v>
      </c>
      <c r="W182" s="31" t="s">
        <v>354</v>
      </c>
      <c r="X182" s="31" t="s">
        <v>355</v>
      </c>
      <c r="Y182" t="s">
        <v>356</v>
      </c>
    </row>
    <row r="183" spans="1:25">
      <c r="A183" s="3" t="s">
        <v>31</v>
      </c>
      <c r="B183" s="3" t="s">
        <v>21</v>
      </c>
      <c r="C183" s="3" t="s">
        <v>21</v>
      </c>
      <c r="D183" s="3">
        <v>12.5</v>
      </c>
      <c r="E183" s="4" t="s">
        <v>21</v>
      </c>
      <c r="F183" s="4" t="s">
        <v>155</v>
      </c>
      <c r="G183" s="37" t="s">
        <v>357</v>
      </c>
      <c r="H183" s="37" t="s">
        <v>36</v>
      </c>
      <c r="I183" s="3" t="s">
        <v>28</v>
      </c>
      <c r="J183" s="3" t="s">
        <v>28</v>
      </c>
      <c r="K183" s="48">
        <v>41394</v>
      </c>
      <c r="L183" s="3">
        <v>16.78</v>
      </c>
      <c r="M183" s="3">
        <v>1</v>
      </c>
      <c r="N183" s="31">
        <v>1</v>
      </c>
      <c r="O183" s="3">
        <f>L183</f>
        <v>16.78</v>
      </c>
      <c r="P183" s="3">
        <v>0</v>
      </c>
      <c r="Q183" s="3">
        <f>O183</f>
        <v>16.78</v>
      </c>
      <c r="R183" s="3">
        <f>Q183/16</f>
        <v>1.0487500000000001</v>
      </c>
      <c r="S183" s="38"/>
      <c r="T183" s="8"/>
      <c r="U183" s="8"/>
      <c r="V183" s="38"/>
      <c r="W183" s="38"/>
      <c r="X183" s="38"/>
      <c r="Y183" t="s">
        <v>358</v>
      </c>
    </row>
    <row r="184" spans="1:25">
      <c r="A184" s="8"/>
      <c r="B184" s="8"/>
      <c r="C184" s="8"/>
      <c r="D184" s="8"/>
      <c r="E184" s="13"/>
      <c r="F184" s="13" t="s">
        <v>359</v>
      </c>
      <c r="G184" s="37" t="s">
        <v>360</v>
      </c>
      <c r="H184" s="37" t="s">
        <v>361</v>
      </c>
      <c r="I184" s="8"/>
      <c r="J184" s="8"/>
      <c r="K184" s="32">
        <v>41594</v>
      </c>
      <c r="L184" s="3">
        <v>45.99</v>
      </c>
      <c r="M184" s="3">
        <v>1</v>
      </c>
      <c r="N184" s="31">
        <v>0.25</v>
      </c>
      <c r="O184" s="3">
        <f>L184*4</f>
        <v>183.96</v>
      </c>
      <c r="P184" s="3">
        <v>0</v>
      </c>
      <c r="Q184" s="3">
        <v>0</v>
      </c>
      <c r="R184" s="3">
        <f>O184/16</f>
        <v>11.4975</v>
      </c>
      <c r="S184" s="38"/>
      <c r="T184" s="8"/>
      <c r="U184" s="8"/>
      <c r="V184" s="38"/>
      <c r="W184" s="38"/>
      <c r="X184" s="34" t="s">
        <v>337</v>
      </c>
      <c r="Y184" s="34">
        <v>4.2</v>
      </c>
    </row>
    <row r="185" spans="1:25">
      <c r="G185" t="s">
        <v>362</v>
      </c>
      <c r="H185" t="s">
        <v>363</v>
      </c>
      <c r="K185"/>
      <c r="N185" t="s">
        <v>364</v>
      </c>
      <c r="S185"/>
      <c r="V185"/>
      <c r="W185"/>
      <c r="X185" t="s">
        <v>365</v>
      </c>
      <c r="Y185" t="s">
        <v>310</v>
      </c>
    </row>
    <row r="186" spans="1:25">
      <c r="A186" s="3" t="s">
        <v>27</v>
      </c>
      <c r="B186" s="3" t="s">
        <v>21</v>
      </c>
      <c r="C186" s="3" t="s">
        <v>21</v>
      </c>
      <c r="D186" s="31">
        <v>0</v>
      </c>
      <c r="E186" s="4" t="s">
        <v>21</v>
      </c>
      <c r="F186" s="4" t="s">
        <v>5</v>
      </c>
      <c r="G186" s="31" t="s">
        <v>366</v>
      </c>
      <c r="H186" s="31" t="s">
        <v>367</v>
      </c>
      <c r="I186" s="3" t="s">
        <v>28</v>
      </c>
      <c r="J186" s="3" t="s">
        <v>28</v>
      </c>
      <c r="K186" s="49">
        <v>41424</v>
      </c>
      <c r="L186" s="3">
        <v>20.99</v>
      </c>
      <c r="M186" s="3">
        <v>1</v>
      </c>
      <c r="N186" s="3">
        <v>1</v>
      </c>
      <c r="O186" s="3">
        <f>L186</f>
        <v>20.99</v>
      </c>
      <c r="P186" s="3">
        <v>0</v>
      </c>
      <c r="Q186" s="3">
        <f>O186</f>
        <v>20.99</v>
      </c>
      <c r="R186" s="3">
        <f>Q186/16</f>
        <v>1.3118749999999999</v>
      </c>
      <c r="S186" s="31">
        <v>3</v>
      </c>
      <c r="V186" s="31" t="s">
        <v>368</v>
      </c>
      <c r="W186" s="31" t="s">
        <v>354</v>
      </c>
      <c r="X186" s="31" t="s">
        <v>305</v>
      </c>
      <c r="Y186" s="31">
        <f>10.7+14.6</f>
        <v>25.299999999999997</v>
      </c>
    </row>
    <row r="187" spans="1:25">
      <c r="G187" s="34" t="s">
        <v>369</v>
      </c>
      <c r="H187" s="34" t="s">
        <v>352</v>
      </c>
      <c r="K187" s="34"/>
      <c r="L187" s="47"/>
      <c r="M187" s="7">
        <v>1</v>
      </c>
      <c r="N187" s="37">
        <v>1</v>
      </c>
      <c r="S187" s="34"/>
      <c r="V187" s="34" t="s">
        <v>370</v>
      </c>
      <c r="W187" s="34" t="s">
        <v>313</v>
      </c>
      <c r="X187" s="34" t="s">
        <v>342</v>
      </c>
      <c r="Y187" s="34" t="s">
        <v>371</v>
      </c>
    </row>
    <row r="188" spans="1:25">
      <c r="G188" s="31" t="s">
        <v>170</v>
      </c>
      <c r="H188" s="31" t="s">
        <v>340</v>
      </c>
      <c r="J188" s="3" t="s">
        <v>28</v>
      </c>
      <c r="K188" s="32">
        <v>41592</v>
      </c>
      <c r="L188" s="3">
        <v>27.44</v>
      </c>
      <c r="M188" s="3">
        <v>1</v>
      </c>
      <c r="N188" s="37" t="s">
        <v>280</v>
      </c>
      <c r="O188" s="3">
        <f>L188</f>
        <v>27.44</v>
      </c>
      <c r="P188" s="3">
        <v>0</v>
      </c>
      <c r="Q188" s="3">
        <f>O188</f>
        <v>27.44</v>
      </c>
      <c r="R188" s="7">
        <f>Q188/16</f>
        <v>1.7150000000000001</v>
      </c>
      <c r="S188" s="34"/>
      <c r="V188"/>
      <c r="W188"/>
      <c r="X188" t="s">
        <v>305</v>
      </c>
      <c r="Y188" t="s">
        <v>350</v>
      </c>
    </row>
    <row r="189" spans="1:25">
      <c r="G189" t="s">
        <v>372</v>
      </c>
      <c r="H189" t="s">
        <v>373</v>
      </c>
      <c r="K189"/>
      <c r="N189" t="s">
        <v>374</v>
      </c>
      <c r="S189"/>
      <c r="V189"/>
      <c r="W189"/>
      <c r="X189" t="s">
        <v>375</v>
      </c>
      <c r="Y189" t="s">
        <v>310</v>
      </c>
    </row>
    <row r="190" spans="1:25">
      <c r="G190" t="s">
        <v>376</v>
      </c>
      <c r="H190" t="s">
        <v>344</v>
      </c>
      <c r="K190"/>
      <c r="L190" s="7" t="s">
        <v>345</v>
      </c>
      <c r="N190" t="s">
        <v>345</v>
      </c>
      <c r="S190"/>
      <c r="V190"/>
      <c r="W190"/>
      <c r="X190" t="s">
        <v>377</v>
      </c>
      <c r="Y190" t="s">
        <v>345</v>
      </c>
    </row>
    <row r="191" spans="1:25">
      <c r="A191" s="3" t="s">
        <v>31</v>
      </c>
      <c r="B191" s="3" t="s">
        <v>21</v>
      </c>
      <c r="C191" s="3" t="s">
        <v>21</v>
      </c>
      <c r="D191" s="3">
        <v>11.6</v>
      </c>
      <c r="E191" s="4" t="s">
        <v>21</v>
      </c>
      <c r="F191" s="4" t="s">
        <v>41</v>
      </c>
      <c r="G191" s="31" t="s">
        <v>183</v>
      </c>
      <c r="H191" s="37" t="s">
        <v>36</v>
      </c>
      <c r="I191" s="3">
        <v>73161</v>
      </c>
      <c r="J191" s="3" t="s">
        <v>28</v>
      </c>
      <c r="K191" s="36">
        <v>41959</v>
      </c>
      <c r="L191" s="3">
        <v>15.99</v>
      </c>
      <c r="M191" s="3">
        <v>1</v>
      </c>
      <c r="N191" s="31">
        <v>1</v>
      </c>
      <c r="O191" s="3">
        <f>L191</f>
        <v>15.99</v>
      </c>
      <c r="P191" s="3">
        <v>0</v>
      </c>
      <c r="Q191" s="3">
        <f>O191</f>
        <v>15.99</v>
      </c>
      <c r="R191" s="3">
        <f>O191/16</f>
        <v>0.99937500000000001</v>
      </c>
      <c r="S191" s="31">
        <v>2</v>
      </c>
      <c r="V191" s="31" t="s">
        <v>378</v>
      </c>
      <c r="W191" s="31" t="s">
        <v>379</v>
      </c>
      <c r="X191" s="31" t="s">
        <v>337</v>
      </c>
      <c r="Y191" s="31" t="s">
        <v>380</v>
      </c>
    </row>
    <row r="192" spans="1:25">
      <c r="G192" s="31" t="s">
        <v>381</v>
      </c>
      <c r="H192" s="31" t="s">
        <v>302</v>
      </c>
      <c r="K192" s="36">
        <v>41865</v>
      </c>
      <c r="L192" s="3">
        <v>15.55</v>
      </c>
      <c r="M192" s="3">
        <v>1</v>
      </c>
      <c r="N192" s="31">
        <v>1</v>
      </c>
      <c r="O192" s="3">
        <f>L192</f>
        <v>15.55</v>
      </c>
      <c r="P192" s="3">
        <v>0</v>
      </c>
      <c r="Q192" s="3">
        <f>O192</f>
        <v>15.55</v>
      </c>
      <c r="R192" s="3">
        <f>Q192/16</f>
        <v>0.97187500000000004</v>
      </c>
      <c r="S192"/>
      <c r="V192" t="s">
        <v>382</v>
      </c>
      <c r="W192" t="s">
        <v>313</v>
      </c>
      <c r="X192" t="s">
        <v>305</v>
      </c>
      <c r="Y192" t="s">
        <v>356</v>
      </c>
    </row>
    <row r="193" spans="1:61">
      <c r="G193" s="34" t="s">
        <v>383</v>
      </c>
      <c r="H193" s="34" t="s">
        <v>384</v>
      </c>
      <c r="K193" s="50">
        <v>41775</v>
      </c>
      <c r="L193" s="47">
        <v>22</v>
      </c>
      <c r="N193" s="34" t="s">
        <v>385</v>
      </c>
      <c r="S193" s="34"/>
      <c r="V193" s="34" t="s">
        <v>382</v>
      </c>
      <c r="W193" s="34" t="s">
        <v>313</v>
      </c>
      <c r="X193" s="34" t="s">
        <v>305</v>
      </c>
      <c r="Y193" s="34">
        <v>14</v>
      </c>
    </row>
    <row r="194" spans="1:61">
      <c r="A194" s="3" t="s">
        <v>31</v>
      </c>
      <c r="B194" s="3" t="s">
        <v>21</v>
      </c>
      <c r="C194" s="3" t="s">
        <v>21</v>
      </c>
      <c r="D194" s="3">
        <v>14.7</v>
      </c>
      <c r="E194" s="4" t="s">
        <v>21</v>
      </c>
      <c r="F194" s="4" t="s">
        <v>386</v>
      </c>
      <c r="G194" s="31" t="s">
        <v>387</v>
      </c>
      <c r="H194" s="31" t="s">
        <v>302</v>
      </c>
      <c r="I194" s="3">
        <v>70502</v>
      </c>
      <c r="J194" s="3" t="s">
        <v>28</v>
      </c>
      <c r="K194"/>
      <c r="N194">
        <v>1</v>
      </c>
      <c r="S194"/>
      <c r="V194" s="31" t="s">
        <v>388</v>
      </c>
      <c r="W194" s="31" t="s">
        <v>389</v>
      </c>
      <c r="X194" s="31" t="s">
        <v>305</v>
      </c>
      <c r="Y194" s="31">
        <v>14.7</v>
      </c>
    </row>
    <row r="195" spans="1:61" s="47" customFormat="1">
      <c r="A195" s="3" t="s">
        <v>31</v>
      </c>
      <c r="B195" s="3" t="s">
        <v>21</v>
      </c>
      <c r="C195" s="3" t="s">
        <v>21</v>
      </c>
      <c r="D195" s="3">
        <v>3.6</v>
      </c>
      <c r="E195" s="4" t="s">
        <v>21</v>
      </c>
      <c r="F195" s="4" t="s">
        <v>28</v>
      </c>
      <c r="G195" s="3" t="s">
        <v>390</v>
      </c>
      <c r="H195" s="3" t="s">
        <v>36</v>
      </c>
      <c r="I195" s="3">
        <v>710703</v>
      </c>
      <c r="J195" s="3" t="s">
        <v>28</v>
      </c>
      <c r="L195" s="3">
        <v>18.489999999999998</v>
      </c>
      <c r="M195" s="3">
        <v>1</v>
      </c>
      <c r="N195" s="3">
        <v>1</v>
      </c>
      <c r="O195" s="3">
        <v>23</v>
      </c>
      <c r="P195" s="3">
        <v>0</v>
      </c>
      <c r="Q195" s="6">
        <f>O195</f>
        <v>23</v>
      </c>
      <c r="R195" s="6">
        <f>Q195/16</f>
        <v>1.4375</v>
      </c>
      <c r="S195" s="6">
        <v>3.5</v>
      </c>
      <c r="T195" s="6">
        <f>S195-R195</f>
        <v>2.0625</v>
      </c>
      <c r="U195" s="6">
        <f>T195*16</f>
        <v>33</v>
      </c>
      <c r="V195" s="3" t="s">
        <v>391</v>
      </c>
      <c r="W195" s="3" t="s">
        <v>379</v>
      </c>
      <c r="X195" s="3" t="s">
        <v>337</v>
      </c>
      <c r="Y195" s="3" t="s">
        <v>392</v>
      </c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</row>
    <row r="196" spans="1:61">
      <c r="A196" s="3" t="s">
        <v>31</v>
      </c>
      <c r="B196" s="3" t="s">
        <v>21</v>
      </c>
      <c r="C196" s="3" t="s">
        <v>21</v>
      </c>
      <c r="D196" s="3">
        <v>7.8</v>
      </c>
      <c r="E196" s="4" t="s">
        <v>21</v>
      </c>
      <c r="F196" s="4" t="s">
        <v>5</v>
      </c>
      <c r="G196" s="31" t="s">
        <v>393</v>
      </c>
      <c r="H196" s="31" t="s">
        <v>302</v>
      </c>
      <c r="I196" s="3">
        <v>70270</v>
      </c>
      <c r="J196" s="3" t="s">
        <v>28</v>
      </c>
      <c r="K196" s="36">
        <v>41767</v>
      </c>
      <c r="L196" s="3">
        <v>17.8</v>
      </c>
      <c r="M196" s="3">
        <v>1</v>
      </c>
      <c r="N196" s="31">
        <v>1</v>
      </c>
      <c r="O196" s="3">
        <f>L196</f>
        <v>17.8</v>
      </c>
      <c r="P196" s="3">
        <v>0</v>
      </c>
      <c r="Q196" s="3">
        <f>O196</f>
        <v>17.8</v>
      </c>
      <c r="R196" s="3">
        <f>Q196/16</f>
        <v>1.1125</v>
      </c>
      <c r="S196" s="31">
        <v>2</v>
      </c>
      <c r="V196" s="31" t="s">
        <v>394</v>
      </c>
      <c r="W196" s="31" t="s">
        <v>395</v>
      </c>
      <c r="X196" s="31" t="s">
        <v>305</v>
      </c>
      <c r="Y196" s="31">
        <v>14.6</v>
      </c>
    </row>
    <row r="197" spans="1:61">
      <c r="A197" s="3" t="s">
        <v>31</v>
      </c>
      <c r="B197" s="3" t="s">
        <v>21</v>
      </c>
      <c r="C197" s="3" t="s">
        <v>21</v>
      </c>
      <c r="D197" s="3">
        <v>14.4</v>
      </c>
      <c r="E197" s="4" t="s">
        <v>21</v>
      </c>
      <c r="F197" s="4" t="s">
        <v>5</v>
      </c>
      <c r="G197" s="31" t="s">
        <v>396</v>
      </c>
      <c r="H197" s="31" t="s">
        <v>384</v>
      </c>
      <c r="I197" s="3">
        <v>22893</v>
      </c>
      <c r="J197" s="5">
        <v>41775</v>
      </c>
      <c r="K197" s="36">
        <v>41775</v>
      </c>
      <c r="L197" s="3">
        <v>14</v>
      </c>
      <c r="M197" s="3">
        <v>1</v>
      </c>
      <c r="N197" s="31">
        <v>1</v>
      </c>
      <c r="O197" s="8">
        <f>L197</f>
        <v>14</v>
      </c>
      <c r="P197" s="8"/>
      <c r="Q197" s="8"/>
      <c r="R197" s="8"/>
      <c r="S197" s="38"/>
      <c r="T197" s="8"/>
      <c r="U197" s="8"/>
      <c r="V197" s="31" t="s">
        <v>397</v>
      </c>
      <c r="W197" s="31" t="s">
        <v>313</v>
      </c>
      <c r="X197" s="31" t="s">
        <v>305</v>
      </c>
      <c r="Y197" s="37" t="s">
        <v>28</v>
      </c>
    </row>
    <row r="198" spans="1:61">
      <c r="G198" s="38" t="s">
        <v>398</v>
      </c>
      <c r="H198" s="38" t="s">
        <v>302</v>
      </c>
      <c r="K198" s="38"/>
      <c r="L198" s="8"/>
      <c r="N198" s="31">
        <v>1</v>
      </c>
      <c r="S198"/>
      <c r="V198" s="38"/>
      <c r="W198" s="38" t="s">
        <v>309</v>
      </c>
      <c r="X198" s="38" t="s">
        <v>399</v>
      </c>
      <c r="Y198" s="38">
        <v>6.6</v>
      </c>
    </row>
    <row r="199" spans="1:61">
      <c r="A199" s="8"/>
      <c r="B199" s="8"/>
      <c r="C199" s="8"/>
      <c r="D199" s="8"/>
      <c r="E199" s="13"/>
      <c r="F199" s="13" t="s">
        <v>177</v>
      </c>
      <c r="G199" s="37" t="s">
        <v>400</v>
      </c>
      <c r="H199" s="37" t="s">
        <v>401</v>
      </c>
      <c r="I199" s="8"/>
      <c r="J199" s="8" t="s">
        <v>143</v>
      </c>
      <c r="K199" s="36">
        <v>41966</v>
      </c>
      <c r="L199" s="3">
        <v>19.5</v>
      </c>
      <c r="M199" s="3">
        <v>1</v>
      </c>
      <c r="N199" s="31">
        <v>0.5</v>
      </c>
      <c r="O199" s="3">
        <f>L199*2</f>
        <v>39</v>
      </c>
      <c r="P199" s="3">
        <v>0</v>
      </c>
      <c r="Q199" s="3">
        <f>O199</f>
        <v>39</v>
      </c>
      <c r="R199" s="3">
        <f>Q199/16</f>
        <v>2.4375</v>
      </c>
      <c r="S199"/>
      <c r="V199" s="38"/>
      <c r="W199" s="38"/>
      <c r="X199" s="38"/>
      <c r="Y199" s="38"/>
    </row>
    <row r="200" spans="1:61">
      <c r="A200" s="3" t="s">
        <v>31</v>
      </c>
      <c r="B200" s="3" t="s">
        <v>21</v>
      </c>
      <c r="C200" s="3" t="s">
        <v>21</v>
      </c>
      <c r="D200" s="3">
        <v>7.5</v>
      </c>
      <c r="E200" s="4" t="s">
        <v>21</v>
      </c>
      <c r="F200" s="4" t="s">
        <v>155</v>
      </c>
      <c r="G200" s="37" t="s">
        <v>402</v>
      </c>
      <c r="H200" s="37" t="s">
        <v>28</v>
      </c>
      <c r="I200" s="3" t="s">
        <v>28</v>
      </c>
      <c r="J200" s="3" t="s">
        <v>28</v>
      </c>
      <c r="K200" s="36">
        <v>41908</v>
      </c>
      <c r="L200" s="3">
        <v>16.989999999999998</v>
      </c>
      <c r="M200" s="3">
        <v>1</v>
      </c>
      <c r="N200" s="31">
        <v>0.05</v>
      </c>
      <c r="O200" s="3">
        <f>L200*2</f>
        <v>33.979999999999997</v>
      </c>
      <c r="P200" s="3">
        <v>0</v>
      </c>
      <c r="Q200" s="3">
        <f>O200</f>
        <v>33.979999999999997</v>
      </c>
      <c r="R200" s="3">
        <f>Q200/16</f>
        <v>2.1237499999999998</v>
      </c>
      <c r="S200"/>
      <c r="V200" s="38"/>
      <c r="W200" s="37" t="s">
        <v>403</v>
      </c>
      <c r="X200" s="37" t="s">
        <v>404</v>
      </c>
      <c r="Y200" s="31">
        <v>0</v>
      </c>
    </row>
    <row r="201" spans="1:61">
      <c r="G201" t="s">
        <v>405</v>
      </c>
      <c r="H201" t="s">
        <v>406</v>
      </c>
      <c r="K201"/>
      <c r="N201"/>
      <c r="S201"/>
      <c r="V201"/>
      <c r="W201"/>
      <c r="X201" t="s">
        <v>337</v>
      </c>
      <c r="Y201"/>
    </row>
    <row r="202" spans="1:61">
      <c r="A202" s="3" t="s">
        <v>31</v>
      </c>
      <c r="B202" s="3" t="s">
        <v>21</v>
      </c>
      <c r="C202" s="3" t="s">
        <v>21</v>
      </c>
      <c r="D202" s="3">
        <v>8.1999999999999993</v>
      </c>
      <c r="E202" s="4" t="s">
        <v>21</v>
      </c>
      <c r="F202" s="4" t="s">
        <v>41</v>
      </c>
      <c r="G202" s="31" t="s">
        <v>407</v>
      </c>
      <c r="H202" s="31" t="s">
        <v>352</v>
      </c>
      <c r="I202" s="3" t="s">
        <v>408</v>
      </c>
      <c r="J202" s="5">
        <v>41775</v>
      </c>
      <c r="K202" s="36">
        <v>41775</v>
      </c>
      <c r="L202" s="3">
        <v>29</v>
      </c>
      <c r="M202" s="3">
        <v>1</v>
      </c>
      <c r="N202" s="31">
        <v>1</v>
      </c>
      <c r="O202" s="3">
        <f>L202</f>
        <v>29</v>
      </c>
      <c r="P202" s="3">
        <v>0</v>
      </c>
      <c r="Q202" s="31">
        <f>O202</f>
        <v>29</v>
      </c>
      <c r="R202" s="3">
        <f>Q202/16</f>
        <v>1.8125</v>
      </c>
      <c r="S202" s="38"/>
      <c r="T202" s="8"/>
      <c r="U202" s="8"/>
      <c r="V202" s="31" t="s">
        <v>409</v>
      </c>
      <c r="W202" s="31" t="s">
        <v>313</v>
      </c>
      <c r="X202" s="31" t="s">
        <v>337</v>
      </c>
      <c r="Y202" s="37">
        <v>8.1999999999999993</v>
      </c>
    </row>
    <row r="203" spans="1:61">
      <c r="A203" s="8"/>
      <c r="B203" s="8"/>
      <c r="C203" s="8"/>
      <c r="D203" s="8"/>
      <c r="E203" s="13"/>
      <c r="F203" s="13"/>
      <c r="G203" s="31" t="s">
        <v>410</v>
      </c>
      <c r="H203" s="31" t="s">
        <v>373</v>
      </c>
      <c r="I203" s="3"/>
      <c r="J203" s="8"/>
      <c r="K203" s="36">
        <v>41909</v>
      </c>
      <c r="L203" s="3">
        <v>15.99</v>
      </c>
      <c r="M203" s="3">
        <v>1</v>
      </c>
      <c r="N203" s="31">
        <v>0.25</v>
      </c>
      <c r="O203" s="3">
        <f>L203*4</f>
        <v>63.96</v>
      </c>
      <c r="P203" s="3">
        <v>0</v>
      </c>
      <c r="Q203" s="31">
        <f>O203</f>
        <v>63.96</v>
      </c>
      <c r="R203" s="3">
        <f>O203/16</f>
        <v>3.9975000000000001</v>
      </c>
      <c r="S203" s="38"/>
      <c r="T203" s="8"/>
      <c r="U203" s="8"/>
      <c r="V203" s="38"/>
      <c r="W203" s="38"/>
      <c r="X203" s="31" t="s">
        <v>399</v>
      </c>
      <c r="Y203" t="s">
        <v>310</v>
      </c>
    </row>
    <row r="204" spans="1:61">
      <c r="A204" s="3" t="s">
        <v>31</v>
      </c>
      <c r="B204" s="3" t="s">
        <v>21</v>
      </c>
      <c r="C204" s="3" t="s">
        <v>21</v>
      </c>
      <c r="D204" s="3">
        <v>6.8</v>
      </c>
      <c r="E204" s="4" t="s">
        <v>21</v>
      </c>
      <c r="F204" s="4" t="s">
        <v>5</v>
      </c>
      <c r="G204" s="31" t="s">
        <v>411</v>
      </c>
      <c r="H204" s="31" t="s">
        <v>384</v>
      </c>
      <c r="I204" s="3">
        <v>22160</v>
      </c>
      <c r="J204" s="5">
        <v>41775</v>
      </c>
      <c r="K204" s="36">
        <v>41775</v>
      </c>
      <c r="L204" s="3">
        <v>20</v>
      </c>
      <c r="M204" s="3">
        <v>1</v>
      </c>
      <c r="N204" s="31">
        <v>1</v>
      </c>
      <c r="O204" s="3">
        <f>L204</f>
        <v>20</v>
      </c>
      <c r="P204" s="3">
        <v>0</v>
      </c>
      <c r="Q204" s="31">
        <f>O204</f>
        <v>20</v>
      </c>
      <c r="R204" s="3">
        <f>Q204/16</f>
        <v>1.25</v>
      </c>
      <c r="S204" s="38"/>
      <c r="T204" s="8"/>
      <c r="U204" s="8"/>
      <c r="V204" s="31" t="s">
        <v>412</v>
      </c>
      <c r="W204" s="31" t="s">
        <v>313</v>
      </c>
      <c r="X204" s="31" t="s">
        <v>337</v>
      </c>
      <c r="Y204" s="31">
        <v>16.7</v>
      </c>
    </row>
    <row r="205" spans="1:61">
      <c r="G205" t="s">
        <v>413</v>
      </c>
      <c r="H205" t="s">
        <v>344</v>
      </c>
      <c r="K205"/>
      <c r="L205" s="7" t="s">
        <v>345</v>
      </c>
      <c r="N205" t="s">
        <v>345</v>
      </c>
      <c r="Q205"/>
      <c r="S205"/>
      <c r="V205"/>
      <c r="W205"/>
      <c r="X205" t="s">
        <v>355</v>
      </c>
      <c r="Y205" t="s">
        <v>345</v>
      </c>
    </row>
    <row r="206" spans="1:61">
      <c r="G206" s="34" t="s">
        <v>414</v>
      </c>
      <c r="H206" s="34" t="s">
        <v>415</v>
      </c>
      <c r="K206" s="50">
        <v>41775</v>
      </c>
      <c r="L206" s="47">
        <v>14</v>
      </c>
      <c r="N206" s="34">
        <v>1</v>
      </c>
      <c r="Q206" s="34"/>
      <c r="S206"/>
      <c r="V206" s="34" t="s">
        <v>416</v>
      </c>
      <c r="W206" s="34"/>
      <c r="X206" s="34" t="s">
        <v>337</v>
      </c>
      <c r="Y206" s="34" t="s">
        <v>322</v>
      </c>
    </row>
    <row r="207" spans="1:61">
      <c r="G207" t="s">
        <v>250</v>
      </c>
      <c r="H207" t="s">
        <v>344</v>
      </c>
      <c r="K207"/>
      <c r="N207"/>
      <c r="Q207"/>
      <c r="S207"/>
      <c r="V207"/>
      <c r="W207"/>
      <c r="X207" t="s">
        <v>337</v>
      </c>
      <c r="Y207"/>
    </row>
    <row r="208" spans="1:61">
      <c r="G208" t="s">
        <v>417</v>
      </c>
      <c r="H208" t="s">
        <v>302</v>
      </c>
      <c r="K208"/>
      <c r="N208">
        <v>1</v>
      </c>
      <c r="Q208"/>
      <c r="S208"/>
      <c r="V208" t="s">
        <v>418</v>
      </c>
      <c r="W208" t="s">
        <v>349</v>
      </c>
      <c r="X208" t="s">
        <v>342</v>
      </c>
      <c r="Y208" t="s">
        <v>356</v>
      </c>
    </row>
    <row r="209" spans="1:25">
      <c r="A209" s="3" t="s">
        <v>1</v>
      </c>
      <c r="B209" s="3" t="s">
        <v>21</v>
      </c>
      <c r="C209" s="3" t="s">
        <v>21</v>
      </c>
      <c r="D209" s="3">
        <v>1</v>
      </c>
      <c r="E209" s="4" t="s">
        <v>21</v>
      </c>
      <c r="F209" s="4" t="s">
        <v>28</v>
      </c>
      <c r="G209" s="31" t="s">
        <v>419</v>
      </c>
      <c r="H209" s="31" t="s">
        <v>28</v>
      </c>
      <c r="I209" s="3" t="s">
        <v>28</v>
      </c>
      <c r="J209" s="3" t="s">
        <v>28</v>
      </c>
      <c r="K209" s="3" t="s">
        <v>28</v>
      </c>
      <c r="L209" s="8"/>
      <c r="M209" s="8"/>
      <c r="N209" s="38"/>
      <c r="O209" s="8"/>
      <c r="P209" s="8"/>
      <c r="Q209" s="38"/>
      <c r="R209" s="8"/>
      <c r="S209" s="38"/>
      <c r="T209" s="8"/>
      <c r="U209" s="8"/>
      <c r="V209" s="38"/>
      <c r="W209" s="38"/>
      <c r="X209" s="38"/>
      <c r="Y209" s="38"/>
    </row>
    <row r="210" spans="1:25">
      <c r="A210" s="3" t="s">
        <v>31</v>
      </c>
      <c r="B210" s="3" t="s">
        <v>21</v>
      </c>
      <c r="C210" s="3" t="s">
        <v>26</v>
      </c>
      <c r="D210" s="3">
        <v>16.100000000000001</v>
      </c>
      <c r="E210" s="4" t="s">
        <v>21</v>
      </c>
      <c r="F210" s="4" t="s">
        <v>5</v>
      </c>
      <c r="G210" s="31" t="s">
        <v>420</v>
      </c>
      <c r="H210" s="31" t="s">
        <v>384</v>
      </c>
      <c r="I210" s="3">
        <v>23366</v>
      </c>
      <c r="J210" s="5">
        <v>41775</v>
      </c>
      <c r="K210" s="36">
        <v>41775</v>
      </c>
      <c r="L210" s="3">
        <v>13.5</v>
      </c>
      <c r="M210" s="3">
        <v>1</v>
      </c>
      <c r="N210" s="31">
        <v>1</v>
      </c>
      <c r="O210" s="3">
        <f>L210</f>
        <v>13.5</v>
      </c>
      <c r="P210" s="3">
        <v>0</v>
      </c>
      <c r="Q210" s="31">
        <f>O210</f>
        <v>13.5</v>
      </c>
      <c r="R210" s="3">
        <f>Q210/16</f>
        <v>0.84375</v>
      </c>
      <c r="S210" s="31">
        <v>2.25</v>
      </c>
      <c r="V210" s="31" t="s">
        <v>421</v>
      </c>
      <c r="W210" s="31" t="s">
        <v>313</v>
      </c>
      <c r="X210" s="31" t="s">
        <v>342</v>
      </c>
      <c r="Y210" s="31" t="s">
        <v>422</v>
      </c>
    </row>
    <row r="211" spans="1:25">
      <c r="G211"/>
      <c r="H211"/>
      <c r="K211"/>
      <c r="L211"/>
      <c r="N211"/>
      <c r="Q211"/>
      <c r="S211"/>
      <c r="V211"/>
      <c r="W211"/>
      <c r="X211"/>
      <c r="Y211"/>
    </row>
    <row r="212" spans="1:25">
      <c r="G212" t="s">
        <v>423</v>
      </c>
      <c r="H212" t="s">
        <v>424</v>
      </c>
      <c r="K212"/>
      <c r="L212">
        <v>3.35</v>
      </c>
      <c r="N212" t="s">
        <v>47</v>
      </c>
      <c r="S212" s="38"/>
      <c r="V212"/>
      <c r="W212"/>
      <c r="X212" t="s">
        <v>342</v>
      </c>
      <c r="Y212"/>
    </row>
    <row r="213" spans="1:25">
      <c r="G213" t="s">
        <v>425</v>
      </c>
      <c r="H213" t="s">
        <v>424</v>
      </c>
      <c r="K213"/>
      <c r="L213">
        <v>2.9</v>
      </c>
      <c r="N213" t="s">
        <v>47</v>
      </c>
      <c r="S213" s="38"/>
      <c r="V213"/>
      <c r="W213"/>
      <c r="X213" t="s">
        <v>426</v>
      </c>
      <c r="Y213" t="s">
        <v>427</v>
      </c>
    </row>
    <row r="214" spans="1:25">
      <c r="G214" t="s">
        <v>428</v>
      </c>
      <c r="H214" t="s">
        <v>424</v>
      </c>
      <c r="K214"/>
      <c r="L214">
        <v>4.9000000000000004</v>
      </c>
      <c r="N214" t="s">
        <v>47</v>
      </c>
      <c r="S214" s="38"/>
      <c r="V214"/>
      <c r="W214"/>
      <c r="X214" t="s">
        <v>355</v>
      </c>
      <c r="Y214" s="35">
        <v>15.8</v>
      </c>
    </row>
    <row r="215" spans="1:25">
      <c r="G215" t="s">
        <v>429</v>
      </c>
      <c r="H215" t="s">
        <v>424</v>
      </c>
      <c r="K215"/>
      <c r="L215">
        <v>2.5</v>
      </c>
      <c r="N215" t="s">
        <v>47</v>
      </c>
      <c r="S215" s="38"/>
      <c r="V215"/>
      <c r="W215"/>
      <c r="X215" t="s">
        <v>337</v>
      </c>
      <c r="Y215"/>
    </row>
    <row r="216" spans="1:25">
      <c r="G216" s="31" t="s">
        <v>430</v>
      </c>
      <c r="H216" s="31" t="s">
        <v>424</v>
      </c>
      <c r="K216" s="31"/>
      <c r="L216" s="31">
        <v>5.05</v>
      </c>
      <c r="N216" s="31" t="s">
        <v>431</v>
      </c>
      <c r="S216" s="38"/>
      <c r="V216" s="31"/>
      <c r="W216" s="31"/>
      <c r="X216" s="31" t="s">
        <v>337</v>
      </c>
      <c r="Y216" s="31" t="s">
        <v>427</v>
      </c>
    </row>
    <row r="217" spans="1:25">
      <c r="G217" s="34" t="s">
        <v>432</v>
      </c>
      <c r="H217" s="34" t="s">
        <v>424</v>
      </c>
      <c r="K217" s="34"/>
      <c r="L217" s="34">
        <v>4.5</v>
      </c>
      <c r="N217" s="34" t="s">
        <v>47</v>
      </c>
      <c r="S217" s="34"/>
      <c r="V217" s="34"/>
      <c r="W217" s="34"/>
      <c r="X217" s="34" t="s">
        <v>337</v>
      </c>
      <c r="Y217" s="34"/>
    </row>
    <row r="218" spans="1:25">
      <c r="A218" s="3"/>
      <c r="B218" s="3"/>
      <c r="C218" s="3"/>
      <c r="D218" s="3"/>
      <c r="E218" s="4"/>
      <c r="F218" s="4" t="s">
        <v>5</v>
      </c>
      <c r="G218" s="31" t="s">
        <v>433</v>
      </c>
      <c r="H218" s="31" t="s">
        <v>434</v>
      </c>
      <c r="I218" s="3"/>
      <c r="J218" s="3"/>
      <c r="K218" s="31"/>
      <c r="L218" s="31">
        <v>2.75</v>
      </c>
      <c r="M218" s="3"/>
      <c r="N218" s="31" t="s">
        <v>435</v>
      </c>
      <c r="O218" s="3"/>
      <c r="P218" s="3"/>
      <c r="Q218" s="3"/>
      <c r="R218" s="3"/>
      <c r="S218" s="31"/>
      <c r="T218" s="3"/>
      <c r="U218" s="3"/>
      <c r="V218" s="31"/>
      <c r="W218" s="31"/>
      <c r="X218" s="31"/>
      <c r="Y218" s="31"/>
    </row>
    <row r="219" spans="1:25">
      <c r="G219" t="s">
        <v>436</v>
      </c>
      <c r="H219" t="s">
        <v>424</v>
      </c>
      <c r="K219"/>
      <c r="L219">
        <v>2.95</v>
      </c>
      <c r="N219" t="s">
        <v>47</v>
      </c>
      <c r="S219" s="38"/>
      <c r="V219"/>
      <c r="W219"/>
      <c r="X219" t="s">
        <v>337</v>
      </c>
      <c r="Y219" t="s">
        <v>427</v>
      </c>
    </row>
    <row r="220" spans="1:25">
      <c r="G220" t="s">
        <v>437</v>
      </c>
      <c r="H220" t="s">
        <v>438</v>
      </c>
      <c r="K220"/>
      <c r="L220">
        <v>2.75</v>
      </c>
      <c r="N220" t="s">
        <v>439</v>
      </c>
      <c r="S220"/>
      <c r="V220"/>
      <c r="W220"/>
      <c r="X220" t="s">
        <v>337</v>
      </c>
      <c r="Y220" t="s">
        <v>440</v>
      </c>
    </row>
    <row r="221" spans="1:25">
      <c r="G221" t="s">
        <v>441</v>
      </c>
      <c r="H221" t="s">
        <v>438</v>
      </c>
      <c r="K221"/>
      <c r="L221">
        <v>2.75</v>
      </c>
      <c r="N221" t="s">
        <v>439</v>
      </c>
      <c r="S221"/>
      <c r="V221"/>
      <c r="W221"/>
      <c r="X221" t="s">
        <v>355</v>
      </c>
      <c r="Y221" t="s">
        <v>440</v>
      </c>
    </row>
    <row r="222" spans="1:25">
      <c r="G222" t="s">
        <v>442</v>
      </c>
      <c r="H222" t="s">
        <v>424</v>
      </c>
      <c r="K222"/>
      <c r="L222">
        <v>6.5</v>
      </c>
      <c r="N222" t="s">
        <v>47</v>
      </c>
      <c r="S222"/>
      <c r="V222"/>
      <c r="W222"/>
      <c r="X222" t="s">
        <v>443</v>
      </c>
      <c r="Y222" t="s">
        <v>427</v>
      </c>
    </row>
    <row r="223" spans="1:25">
      <c r="G223" t="s">
        <v>201</v>
      </c>
      <c r="H223" t="s">
        <v>424</v>
      </c>
      <c r="K223"/>
      <c r="L223">
        <v>3.4</v>
      </c>
      <c r="N223" t="s">
        <v>47</v>
      </c>
      <c r="S223" s="34"/>
      <c r="V223"/>
      <c r="W223"/>
      <c r="X223" t="s">
        <v>443</v>
      </c>
      <c r="Y223"/>
    </row>
    <row r="224" spans="1:25">
      <c r="A224" s="3"/>
      <c r="B224" s="3"/>
      <c r="C224" s="3"/>
      <c r="D224" s="3"/>
      <c r="E224" s="4"/>
      <c r="F224" s="4"/>
      <c r="G224" s="31" t="s">
        <v>444</v>
      </c>
      <c r="H224" s="31" t="s">
        <v>445</v>
      </c>
      <c r="I224" s="3"/>
      <c r="J224" s="3"/>
      <c r="K224" s="31"/>
      <c r="L224" s="31">
        <v>3</v>
      </c>
      <c r="M224" s="3"/>
      <c r="N224" s="31" t="s">
        <v>435</v>
      </c>
      <c r="O224" s="3"/>
      <c r="P224" s="3"/>
      <c r="Q224" s="3"/>
      <c r="R224" s="3"/>
      <c r="S224" s="31"/>
      <c r="T224" s="3"/>
      <c r="U224" s="3"/>
      <c r="V224" s="31"/>
      <c r="W224" s="31"/>
      <c r="X224" s="31"/>
      <c r="Y224" s="31"/>
    </row>
    <row r="225" spans="1:25">
      <c r="G225" s="34" t="s">
        <v>446</v>
      </c>
      <c r="H225" s="34" t="s">
        <v>424</v>
      </c>
      <c r="K225" s="34"/>
      <c r="L225" s="34">
        <v>3.9</v>
      </c>
      <c r="N225" s="34" t="s">
        <v>47</v>
      </c>
      <c r="S225" s="34"/>
      <c r="V225" s="34"/>
      <c r="W225" s="34"/>
      <c r="X225" s="34" t="s">
        <v>337</v>
      </c>
      <c r="Y225" s="37" t="s">
        <v>28</v>
      </c>
    </row>
    <row r="226" spans="1:25">
      <c r="G226" s="34" t="s">
        <v>447</v>
      </c>
      <c r="H226" s="34" t="s">
        <v>424</v>
      </c>
      <c r="K226" s="34"/>
      <c r="L226" s="34">
        <v>2.2000000000000002</v>
      </c>
      <c r="N226" s="34" t="s">
        <v>47</v>
      </c>
      <c r="S226" s="34"/>
      <c r="V226" s="34"/>
      <c r="W226" s="34"/>
      <c r="X226" s="34" t="s">
        <v>337</v>
      </c>
      <c r="Y226" s="34" t="s">
        <v>427</v>
      </c>
    </row>
    <row r="227" spans="1:25">
      <c r="A227" s="3"/>
      <c r="B227" s="3"/>
      <c r="C227" s="3"/>
      <c r="D227" s="3" t="s">
        <v>59</v>
      </c>
      <c r="E227" s="4"/>
      <c r="F227" s="4" t="s">
        <v>5</v>
      </c>
      <c r="G227" s="31" t="s">
        <v>448</v>
      </c>
      <c r="H227" s="31" t="s">
        <v>424</v>
      </c>
      <c r="I227" s="3"/>
      <c r="J227" s="3"/>
      <c r="K227" s="31"/>
      <c r="L227" s="31">
        <v>5.75</v>
      </c>
      <c r="M227" s="3"/>
      <c r="N227" s="31" t="s">
        <v>47</v>
      </c>
      <c r="O227" s="3"/>
      <c r="P227" s="3"/>
      <c r="Q227" s="3"/>
      <c r="R227" s="3"/>
      <c r="S227" s="31"/>
      <c r="T227" s="3"/>
      <c r="U227" s="3"/>
      <c r="V227" s="31"/>
      <c r="W227" s="31"/>
      <c r="X227" s="31" t="s">
        <v>337</v>
      </c>
      <c r="Y227" s="31"/>
    </row>
    <row r="228" spans="1:25">
      <c r="G228" t="s">
        <v>449</v>
      </c>
      <c r="H228" t="s">
        <v>424</v>
      </c>
      <c r="K228"/>
      <c r="L228">
        <v>2.1</v>
      </c>
      <c r="N228" t="s">
        <v>450</v>
      </c>
      <c r="Q228"/>
      <c r="S228"/>
      <c r="V228"/>
      <c r="W228"/>
      <c r="X228" t="s">
        <v>337</v>
      </c>
      <c r="Y228" t="s">
        <v>427</v>
      </c>
    </row>
    <row r="229" spans="1:25">
      <c r="A229" s="3"/>
      <c r="B229" s="3"/>
      <c r="C229" s="3"/>
      <c r="D229" s="3" t="s">
        <v>59</v>
      </c>
      <c r="E229" s="4"/>
      <c r="F229" s="4" t="s">
        <v>5</v>
      </c>
      <c r="G229" s="31" t="s">
        <v>451</v>
      </c>
      <c r="H229" s="31" t="s">
        <v>445</v>
      </c>
      <c r="I229" s="3"/>
      <c r="J229" s="3"/>
      <c r="K229" s="31"/>
      <c r="L229" s="31">
        <v>2.8</v>
      </c>
      <c r="M229" s="3"/>
      <c r="N229" s="31" t="s">
        <v>435</v>
      </c>
      <c r="O229" s="3"/>
      <c r="P229" s="3"/>
      <c r="Q229" s="31"/>
      <c r="R229" s="3"/>
      <c r="S229" s="31"/>
      <c r="T229" s="3"/>
      <c r="U229" s="3"/>
      <c r="V229" s="31"/>
      <c r="W229" s="31"/>
      <c r="X229" s="31"/>
      <c r="Y229" s="31"/>
    </row>
    <row r="230" spans="1:25">
      <c r="G230" t="s">
        <v>452</v>
      </c>
      <c r="H230" t="s">
        <v>424</v>
      </c>
      <c r="K230"/>
      <c r="L230">
        <v>2.75</v>
      </c>
      <c r="N230" t="s">
        <v>47</v>
      </c>
      <c r="Q230"/>
      <c r="S230"/>
      <c r="V230"/>
      <c r="W230"/>
      <c r="X230" t="s">
        <v>337</v>
      </c>
      <c r="Y230" t="s">
        <v>427</v>
      </c>
    </row>
    <row r="231" spans="1:25">
      <c r="G231" t="s">
        <v>253</v>
      </c>
      <c r="H231" t="s">
        <v>438</v>
      </c>
      <c r="K231"/>
      <c r="L231">
        <v>2.25</v>
      </c>
      <c r="N231" t="s">
        <v>439</v>
      </c>
      <c r="Q231"/>
      <c r="S231"/>
      <c r="V231"/>
      <c r="W231"/>
      <c r="X231" t="s">
        <v>337</v>
      </c>
      <c r="Y231" t="s">
        <v>440</v>
      </c>
    </row>
    <row r="232" spans="1:25">
      <c r="G232" t="s">
        <v>453</v>
      </c>
      <c r="H232" t="s">
        <v>424</v>
      </c>
      <c r="K232"/>
      <c r="L232" t="s">
        <v>345</v>
      </c>
      <c r="N232" t="s">
        <v>345</v>
      </c>
      <c r="Q232"/>
      <c r="S232"/>
      <c r="V232"/>
      <c r="W232"/>
      <c r="X232" t="s">
        <v>337</v>
      </c>
      <c r="Y232" t="s">
        <v>345</v>
      </c>
    </row>
    <row r="233" spans="1:25" s="51" customFormat="1">
      <c r="E233" s="52"/>
      <c r="F233" s="52"/>
      <c r="G233" s="51" t="s">
        <v>454</v>
      </c>
    </row>
    <row r="234" spans="1:25" ht="17">
      <c r="G234" s="3" t="s">
        <v>455</v>
      </c>
      <c r="H234" s="3" t="s">
        <v>36</v>
      </c>
      <c r="J234" s="3" t="s">
        <v>28</v>
      </c>
      <c r="K234" s="53">
        <v>41594</v>
      </c>
      <c r="L234" s="54">
        <v>14.19</v>
      </c>
      <c r="M234" s="3">
        <v>1</v>
      </c>
      <c r="N234" s="3">
        <v>0.25</v>
      </c>
      <c r="O234" s="3">
        <f>L234*4</f>
        <v>56.76</v>
      </c>
      <c r="P234" s="3">
        <v>0</v>
      </c>
      <c r="Q234" s="3">
        <f>O234</f>
        <v>56.76</v>
      </c>
      <c r="R234" s="3">
        <f>Q234/16</f>
        <v>3.5474999999999999</v>
      </c>
      <c r="Y234" s="7" t="s">
        <v>456</v>
      </c>
    </row>
  </sheetData>
  <pageMargins left="0.75" right="0.75" top="1" bottom="1" header="0.5" footer="0.5"/>
  <pageSetup paperSize="0" orientation="portrait" horizontalDpi="4294967292" verticalDpi="4294967292"/>
  <headerFooter scaleWithDoc="0"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825D-A6F5-3D4E-B400-B6D457616D35}">
  <sheetPr published="0"/>
  <dimension ref="A1:I183"/>
  <sheetViews>
    <sheetView zoomScale="200" zoomScaleNormal="200" workbookViewId="0">
      <selection activeCell="L128" sqref="L128"/>
    </sheetView>
  </sheetViews>
  <sheetFormatPr baseColWidth="10" defaultRowHeight="13"/>
  <cols>
    <col min="1" max="1" width="17.6640625" customWidth="1"/>
    <col min="2" max="2" width="7.1640625" customWidth="1"/>
    <col min="4" max="4" width="14.6640625" bestFit="1" customWidth="1"/>
  </cols>
  <sheetData>
    <row r="1" spans="1:9">
      <c r="A1" s="30" t="s">
        <v>457</v>
      </c>
      <c r="B1" s="30"/>
      <c r="C1" s="55">
        <v>41713</v>
      </c>
    </row>
    <row r="2" spans="1:9">
      <c r="C2" t="s">
        <v>458</v>
      </c>
      <c r="I2" s="56" t="s">
        <v>459</v>
      </c>
    </row>
    <row r="3" spans="1:9">
      <c r="A3" t="s">
        <v>460</v>
      </c>
      <c r="C3">
        <v>4</v>
      </c>
      <c r="D3" t="s">
        <v>461</v>
      </c>
      <c r="E3">
        <v>2.25</v>
      </c>
      <c r="F3">
        <f>E3*C3</f>
        <v>9</v>
      </c>
      <c r="G3" s="57">
        <f>C3*'Store Inventory'!R40</f>
        <v>2.625</v>
      </c>
    </row>
    <row r="4" spans="1:9">
      <c r="A4" t="s">
        <v>146</v>
      </c>
      <c r="C4">
        <v>2</v>
      </c>
      <c r="D4" t="s">
        <v>461</v>
      </c>
      <c r="E4">
        <v>2</v>
      </c>
      <c r="F4">
        <f>E4*C4</f>
        <v>4</v>
      </c>
      <c r="G4" s="57">
        <f>C4*'Store Inventory'!R65</f>
        <v>1.2449999999999999</v>
      </c>
    </row>
    <row r="5" spans="1:9">
      <c r="A5" t="s">
        <v>357</v>
      </c>
      <c r="C5">
        <v>2</v>
      </c>
      <c r="D5" t="s">
        <v>461</v>
      </c>
      <c r="E5">
        <v>2</v>
      </c>
      <c r="F5">
        <f>E5*C5</f>
        <v>4</v>
      </c>
      <c r="G5" s="57">
        <f>C5*'Store Inventory'!R57</f>
        <v>1.125</v>
      </c>
    </row>
    <row r="6" spans="1:9">
      <c r="A6" t="s">
        <v>462</v>
      </c>
      <c r="C6">
        <v>3</v>
      </c>
      <c r="D6" t="s">
        <v>461</v>
      </c>
      <c r="E6">
        <v>2</v>
      </c>
      <c r="F6">
        <f>E6*C6</f>
        <v>6</v>
      </c>
      <c r="G6" s="57">
        <f>'Store Inventory'!R114</f>
        <v>0.4921875</v>
      </c>
    </row>
    <row r="7" spans="1:9">
      <c r="A7" t="s">
        <v>463</v>
      </c>
      <c r="C7">
        <v>1</v>
      </c>
      <c r="D7" t="s">
        <v>461</v>
      </c>
      <c r="E7">
        <v>2</v>
      </c>
      <c r="F7">
        <f>E7*C7</f>
        <v>2</v>
      </c>
      <c r="G7" s="57">
        <f>C7*'Store Inventory'!R97</f>
        <v>0.609375</v>
      </c>
    </row>
    <row r="8" spans="1:9">
      <c r="F8">
        <f>SUM(F3:F7)</f>
        <v>25</v>
      </c>
      <c r="G8" s="57">
        <f>SUM(G3:G7)</f>
        <v>6.0965625000000001</v>
      </c>
    </row>
    <row r="9" spans="1:9">
      <c r="A9" t="s">
        <v>464</v>
      </c>
      <c r="C9">
        <f>4.7</f>
        <v>4.7</v>
      </c>
      <c r="D9">
        <v>2</v>
      </c>
      <c r="E9">
        <v>15</v>
      </c>
      <c r="H9">
        <f>E9*D9</f>
        <v>30</v>
      </c>
    </row>
    <row r="10" spans="1:9">
      <c r="C10">
        <v>0.3</v>
      </c>
      <c r="D10">
        <v>6</v>
      </c>
      <c r="E10">
        <v>4</v>
      </c>
      <c r="H10">
        <f>E10*D10</f>
        <v>24</v>
      </c>
    </row>
    <row r="11" spans="1:9">
      <c r="H11">
        <f>SUM(H9:H10)</f>
        <v>54</v>
      </c>
    </row>
    <row r="12" spans="1:9">
      <c r="I12" s="57">
        <f>H11-G8</f>
        <v>47.903437500000003</v>
      </c>
    </row>
    <row r="14" spans="1:9">
      <c r="A14" s="41" t="s">
        <v>1</v>
      </c>
      <c r="B14" s="41"/>
    </row>
    <row r="15" spans="1:9">
      <c r="A15" s="41" t="s">
        <v>465</v>
      </c>
      <c r="B15" s="41"/>
    </row>
    <row r="16" spans="1:9">
      <c r="A16" s="41" t="s">
        <v>466</v>
      </c>
      <c r="B16" s="41"/>
    </row>
    <row r="18" spans="1:8">
      <c r="A18" s="58" t="s">
        <v>467</v>
      </c>
      <c r="B18" s="58"/>
    </row>
    <row r="19" spans="1:8">
      <c r="A19" s="59">
        <v>41713</v>
      </c>
      <c r="B19" s="59"/>
    </row>
    <row r="20" spans="1:8">
      <c r="A20" s="35"/>
      <c r="B20" s="35"/>
      <c r="C20" s="56" t="s">
        <v>468</v>
      </c>
      <c r="D20" s="56" t="s">
        <v>296</v>
      </c>
      <c r="E20" s="56" t="s">
        <v>469</v>
      </c>
    </row>
    <row r="21" spans="1:8">
      <c r="A21" s="60" t="s">
        <v>470</v>
      </c>
      <c r="B21" s="60"/>
      <c r="C21">
        <v>0.5</v>
      </c>
      <c r="D21">
        <v>3</v>
      </c>
    </row>
    <row r="22" spans="1:8">
      <c r="A22" s="60" t="s">
        <v>471</v>
      </c>
      <c r="B22" s="60"/>
      <c r="C22">
        <v>1</v>
      </c>
      <c r="D22">
        <v>2</v>
      </c>
    </row>
    <row r="23" spans="1:8">
      <c r="A23" s="60" t="s">
        <v>462</v>
      </c>
      <c r="B23" s="60"/>
      <c r="C23">
        <v>1</v>
      </c>
      <c r="D23">
        <v>2</v>
      </c>
    </row>
    <row r="24" spans="1:8">
      <c r="A24" s="60" t="s">
        <v>472</v>
      </c>
      <c r="B24" s="60"/>
      <c r="C24">
        <v>1</v>
      </c>
      <c r="D24">
        <v>2.5</v>
      </c>
    </row>
    <row r="25" spans="1:8">
      <c r="A25" s="60" t="s">
        <v>473</v>
      </c>
      <c r="B25" s="60"/>
      <c r="C25">
        <v>1</v>
      </c>
      <c r="D25">
        <v>3.25</v>
      </c>
    </row>
    <row r="26" spans="1:8">
      <c r="A26" s="56" t="s">
        <v>474</v>
      </c>
      <c r="B26" s="56"/>
      <c r="C26">
        <v>1</v>
      </c>
      <c r="D26">
        <v>3</v>
      </c>
    </row>
    <row r="27" spans="1:8">
      <c r="A27" s="56"/>
      <c r="B27" s="56"/>
    </row>
    <row r="28" spans="1:8">
      <c r="C28">
        <f>SUM(C21:C26)</f>
        <v>5.5</v>
      </c>
      <c r="D28">
        <f>SUM(D21:D26)</f>
        <v>15.75</v>
      </c>
      <c r="E28">
        <f>D28*3</f>
        <v>47.25</v>
      </c>
    </row>
    <row r="30" spans="1:8">
      <c r="A30" s="56" t="s">
        <v>475</v>
      </c>
      <c r="B30" s="56"/>
    </row>
    <row r="31" spans="1:8">
      <c r="A31">
        <v>3</v>
      </c>
      <c r="C31" s="56" t="s">
        <v>476</v>
      </c>
      <c r="D31">
        <v>10</v>
      </c>
      <c r="E31">
        <f>30</f>
        <v>30</v>
      </c>
      <c r="H31">
        <f>E31-D28</f>
        <v>14.25</v>
      </c>
    </row>
    <row r="32" spans="1:8">
      <c r="A32" s="41" t="s">
        <v>465</v>
      </c>
      <c r="B32" s="41"/>
    </row>
    <row r="33" spans="1:5">
      <c r="A33" s="41" t="s">
        <v>466</v>
      </c>
      <c r="B33" s="41"/>
    </row>
    <row r="36" spans="1:5" ht="16">
      <c r="A36" s="61" t="s">
        <v>477</v>
      </c>
      <c r="B36" s="61"/>
    </row>
    <row r="37" spans="1:5" ht="16">
      <c r="A37" s="62">
        <v>41713</v>
      </c>
      <c r="B37" s="62"/>
    </row>
    <row r="38" spans="1:5" ht="16">
      <c r="A38" s="63" t="s">
        <v>478</v>
      </c>
      <c r="B38" s="63"/>
      <c r="C38" s="56">
        <v>1</v>
      </c>
      <c r="D38">
        <v>4.25</v>
      </c>
    </row>
    <row r="39" spans="1:5" ht="16">
      <c r="A39" s="63" t="s">
        <v>479</v>
      </c>
      <c r="B39" s="63"/>
      <c r="C39">
        <v>1</v>
      </c>
      <c r="D39">
        <v>3.5</v>
      </c>
    </row>
    <row r="40" spans="1:5" ht="16">
      <c r="A40" s="63" t="s">
        <v>480</v>
      </c>
      <c r="B40" s="63"/>
      <c r="C40">
        <v>1</v>
      </c>
      <c r="D40">
        <v>6.25</v>
      </c>
    </row>
    <row r="41" spans="1:5" ht="16">
      <c r="A41" s="63" t="s">
        <v>481</v>
      </c>
      <c r="B41" s="63"/>
      <c r="C41">
        <v>1</v>
      </c>
      <c r="D41">
        <v>3</v>
      </c>
    </row>
    <row r="42" spans="1:5" ht="16">
      <c r="A42" s="63" t="s">
        <v>482</v>
      </c>
      <c r="B42" s="63"/>
      <c r="C42">
        <v>1</v>
      </c>
      <c r="D42">
        <v>4.25</v>
      </c>
    </row>
    <row r="43" spans="1:5" ht="16">
      <c r="A43" s="63" t="s">
        <v>483</v>
      </c>
      <c r="B43" s="63"/>
      <c r="C43">
        <v>1</v>
      </c>
      <c r="D43">
        <v>2.25</v>
      </c>
    </row>
    <row r="44" spans="1:5" ht="16">
      <c r="A44" s="63" t="s">
        <v>484</v>
      </c>
      <c r="B44" s="63"/>
      <c r="C44">
        <v>1</v>
      </c>
      <c r="D44">
        <v>3</v>
      </c>
    </row>
    <row r="45" spans="1:5" ht="16">
      <c r="A45" s="63" t="s">
        <v>485</v>
      </c>
      <c r="B45" s="63"/>
      <c r="C45">
        <v>1</v>
      </c>
      <c r="D45">
        <v>2</v>
      </c>
    </row>
    <row r="46" spans="1:5">
      <c r="C46">
        <f>SUM(C38:C45)</f>
        <v>8</v>
      </c>
      <c r="D46">
        <f>SUM(D38:D45)</f>
        <v>28.5</v>
      </c>
      <c r="E46">
        <f>D46*3</f>
        <v>85.5</v>
      </c>
    </row>
    <row r="47" spans="1:5" ht="16">
      <c r="A47" s="64" t="s">
        <v>475</v>
      </c>
      <c r="B47" s="64"/>
    </row>
    <row r="48" spans="1:5" ht="16">
      <c r="A48" s="64" t="s">
        <v>486</v>
      </c>
      <c r="B48" s="64"/>
      <c r="C48">
        <v>3</v>
      </c>
      <c r="D48">
        <v>20</v>
      </c>
      <c r="E48">
        <f>D48*C48</f>
        <v>60</v>
      </c>
    </row>
    <row r="49" spans="1:8" ht="16">
      <c r="A49" s="64" t="s">
        <v>487</v>
      </c>
      <c r="B49" s="64"/>
      <c r="C49">
        <v>2</v>
      </c>
      <c r="D49">
        <v>15</v>
      </c>
      <c r="E49">
        <f>D49*C49</f>
        <v>30</v>
      </c>
    </row>
    <row r="50" spans="1:8" ht="16">
      <c r="A50" s="64" t="s">
        <v>488</v>
      </c>
      <c r="B50" s="64"/>
      <c r="C50">
        <v>6</v>
      </c>
      <c r="D50">
        <v>4</v>
      </c>
      <c r="E50">
        <f>D50*C50</f>
        <v>24</v>
      </c>
    </row>
    <row r="51" spans="1:8">
      <c r="E51">
        <f>SUM(E48:E50)</f>
        <v>114</v>
      </c>
      <c r="H51">
        <f>E51-D46</f>
        <v>85.5</v>
      </c>
    </row>
    <row r="52" spans="1:8">
      <c r="A52" s="41" t="s">
        <v>465</v>
      </c>
      <c r="B52" s="41"/>
    </row>
    <row r="53" spans="1:8">
      <c r="A53" s="41" t="s">
        <v>466</v>
      </c>
      <c r="B53" s="41"/>
    </row>
    <row r="56" spans="1:8">
      <c r="A56" s="30" t="s">
        <v>489</v>
      </c>
      <c r="B56" s="30"/>
      <c r="C56" s="30"/>
      <c r="D56" s="30" t="s">
        <v>490</v>
      </c>
      <c r="E56" s="30" t="s">
        <v>296</v>
      </c>
    </row>
    <row r="57" spans="1:8">
      <c r="A57" s="65">
        <v>41715</v>
      </c>
      <c r="B57" s="65"/>
      <c r="C57" s="30"/>
      <c r="D57" s="30"/>
      <c r="E57" s="30"/>
    </row>
    <row r="58" spans="1:8">
      <c r="A58" t="s">
        <v>484</v>
      </c>
      <c r="C58">
        <v>0.75</v>
      </c>
      <c r="E58">
        <v>3</v>
      </c>
      <c r="F58">
        <f>C58*E58</f>
        <v>2.25</v>
      </c>
    </row>
    <row r="59" spans="1:8">
      <c r="A59" t="s">
        <v>491</v>
      </c>
      <c r="C59">
        <v>2</v>
      </c>
      <c r="E59">
        <v>2.25</v>
      </c>
      <c r="F59">
        <f>C59*E59</f>
        <v>4.5</v>
      </c>
    </row>
    <row r="60" spans="1:8">
      <c r="A60" t="s">
        <v>492</v>
      </c>
      <c r="C60">
        <v>1</v>
      </c>
      <c r="E60">
        <v>2</v>
      </c>
      <c r="F60">
        <f>C60*E60</f>
        <v>2</v>
      </c>
    </row>
    <row r="61" spans="1:8">
      <c r="A61" t="s">
        <v>493</v>
      </c>
      <c r="C61">
        <v>0.5</v>
      </c>
      <c r="E61">
        <v>6.25</v>
      </c>
      <c r="F61">
        <f>C61*E61</f>
        <v>3.125</v>
      </c>
    </row>
    <row r="62" spans="1:8">
      <c r="A62" t="s">
        <v>494</v>
      </c>
      <c r="C62">
        <v>0.25</v>
      </c>
      <c r="E62">
        <v>6</v>
      </c>
      <c r="F62">
        <f>C62*E62</f>
        <v>1.5</v>
      </c>
    </row>
    <row r="63" spans="1:8">
      <c r="C63">
        <f>SUM(C58:C62)</f>
        <v>4.5</v>
      </c>
      <c r="F63">
        <f>SUM(F58:F62)</f>
        <v>13.375</v>
      </c>
      <c r="G63">
        <f>F63*3</f>
        <v>40.125</v>
      </c>
    </row>
    <row r="64" spans="1:8">
      <c r="A64" t="s">
        <v>475</v>
      </c>
      <c r="C64" s="56" t="s">
        <v>495</v>
      </c>
      <c r="D64" t="s">
        <v>496</v>
      </c>
      <c r="E64" t="s">
        <v>497</v>
      </c>
    </row>
    <row r="65" spans="1:8">
      <c r="A65" t="s">
        <v>498</v>
      </c>
      <c r="C65">
        <v>2</v>
      </c>
      <c r="D65">
        <v>15</v>
      </c>
      <c r="E65">
        <f>C65*D65</f>
        <v>30</v>
      </c>
    </row>
    <row r="66" spans="1:8">
      <c r="A66" t="s">
        <v>488</v>
      </c>
      <c r="C66">
        <v>4</v>
      </c>
      <c r="D66">
        <v>5</v>
      </c>
      <c r="E66">
        <f>C66*D66</f>
        <v>20</v>
      </c>
    </row>
    <row r="67" spans="1:8">
      <c r="E67">
        <f>SUM(E65:E66)</f>
        <v>50</v>
      </c>
      <c r="H67">
        <f>E67-F63</f>
        <v>36.625</v>
      </c>
    </row>
    <row r="69" spans="1:8">
      <c r="A69" s="30" t="s">
        <v>499</v>
      </c>
      <c r="B69" s="30"/>
    </row>
    <row r="70" spans="1:8">
      <c r="A70" s="55">
        <v>41715</v>
      </c>
      <c r="B70" s="55"/>
    </row>
    <row r="71" spans="1:8">
      <c r="C71" s="56" t="s">
        <v>458</v>
      </c>
      <c r="D71" s="56" t="s">
        <v>296</v>
      </c>
      <c r="E71" s="56" t="s">
        <v>497</v>
      </c>
      <c r="F71" s="56" t="s">
        <v>490</v>
      </c>
      <c r="G71" s="56" t="s">
        <v>500</v>
      </c>
    </row>
    <row r="72" spans="1:8">
      <c r="A72" s="56" t="s">
        <v>492</v>
      </c>
      <c r="B72" s="56"/>
      <c r="C72">
        <v>1.5</v>
      </c>
      <c r="D72">
        <v>2</v>
      </c>
      <c r="E72" s="56">
        <f>D72*C72</f>
        <v>3</v>
      </c>
    </row>
    <row r="73" spans="1:8">
      <c r="A73" s="56" t="s">
        <v>460</v>
      </c>
      <c r="B73" s="56"/>
      <c r="C73">
        <v>1</v>
      </c>
      <c r="D73">
        <v>2.25</v>
      </c>
      <c r="E73" s="56">
        <f t="shared" ref="E73:E79" si="0">D73*C73</f>
        <v>2.25</v>
      </c>
    </row>
    <row r="74" spans="1:8">
      <c r="A74" s="56" t="s">
        <v>501</v>
      </c>
      <c r="B74" s="56"/>
      <c r="C74">
        <v>1</v>
      </c>
      <c r="D74">
        <v>2.25</v>
      </c>
      <c r="E74" s="56">
        <f t="shared" si="0"/>
        <v>2.25</v>
      </c>
    </row>
    <row r="75" spans="1:8">
      <c r="A75" s="56" t="s">
        <v>502</v>
      </c>
      <c r="B75" s="56"/>
      <c r="C75">
        <v>0.75</v>
      </c>
      <c r="D75">
        <v>2</v>
      </c>
      <c r="E75" s="56">
        <f t="shared" si="0"/>
        <v>1.5</v>
      </c>
    </row>
    <row r="76" spans="1:8">
      <c r="A76" s="56" t="s">
        <v>483</v>
      </c>
      <c r="B76" s="56"/>
      <c r="C76">
        <v>0.5</v>
      </c>
      <c r="D76">
        <v>2.25</v>
      </c>
      <c r="E76" s="56">
        <f t="shared" si="0"/>
        <v>1.125</v>
      </c>
    </row>
    <row r="77" spans="1:8">
      <c r="A77" s="56" t="s">
        <v>503</v>
      </c>
      <c r="B77" s="56"/>
      <c r="C77">
        <v>0.1</v>
      </c>
      <c r="D77">
        <v>3.5</v>
      </c>
      <c r="E77" s="56">
        <f t="shared" si="0"/>
        <v>0.35000000000000003</v>
      </c>
    </row>
    <row r="78" spans="1:8">
      <c r="A78" s="56" t="s">
        <v>504</v>
      </c>
      <c r="B78" s="56"/>
      <c r="C78">
        <v>0.1</v>
      </c>
      <c r="D78">
        <v>2.25</v>
      </c>
      <c r="E78" s="56">
        <f t="shared" si="0"/>
        <v>0.22500000000000001</v>
      </c>
    </row>
    <row r="79" spans="1:8">
      <c r="A79" s="56" t="s">
        <v>505</v>
      </c>
      <c r="B79" s="56"/>
      <c r="C79">
        <v>0.75</v>
      </c>
      <c r="D79">
        <v>2</v>
      </c>
      <c r="E79" s="56">
        <f t="shared" si="0"/>
        <v>1.5</v>
      </c>
    </row>
    <row r="80" spans="1:8">
      <c r="C80">
        <f>SUM(C72:C79)</f>
        <v>5.6999999999999993</v>
      </c>
      <c r="E80" s="56">
        <f>SUM(E72:E79)</f>
        <v>12.2</v>
      </c>
      <c r="F80">
        <f>E80*3</f>
        <v>36.599999999999994</v>
      </c>
    </row>
    <row r="82" spans="1:8">
      <c r="A82" s="56" t="s">
        <v>475</v>
      </c>
      <c r="B82" s="56"/>
    </row>
    <row r="83" spans="1:8">
      <c r="A83" s="56" t="s">
        <v>506</v>
      </c>
      <c r="B83" s="56"/>
      <c r="C83" s="56">
        <v>3</v>
      </c>
      <c r="D83">
        <v>15</v>
      </c>
      <c r="E83">
        <f>D83*C83</f>
        <v>45</v>
      </c>
      <c r="H83">
        <f>E83-E80</f>
        <v>32.799999999999997</v>
      </c>
    </row>
    <row r="84" spans="1:8">
      <c r="A84" s="56" t="s">
        <v>507</v>
      </c>
      <c r="B84" s="56"/>
      <c r="C84" s="56" t="s">
        <v>508</v>
      </c>
    </row>
    <row r="87" spans="1:8">
      <c r="A87" s="30" t="s">
        <v>509</v>
      </c>
      <c r="B87" s="30"/>
    </row>
    <row r="88" spans="1:8">
      <c r="A88" s="55">
        <v>41715</v>
      </c>
      <c r="B88" s="55"/>
      <c r="C88" s="56" t="s">
        <v>458</v>
      </c>
      <c r="D88" s="56" t="s">
        <v>296</v>
      </c>
      <c r="E88" s="56" t="s">
        <v>510</v>
      </c>
    </row>
    <row r="89" spans="1:8" ht="15">
      <c r="A89" s="66" t="s">
        <v>511</v>
      </c>
      <c r="B89" s="66"/>
      <c r="C89">
        <v>0.5</v>
      </c>
      <c r="D89">
        <v>6.25</v>
      </c>
      <c r="E89">
        <f>C89*D89</f>
        <v>3.125</v>
      </c>
    </row>
    <row r="90" spans="1:8" ht="15">
      <c r="A90" s="66" t="s">
        <v>512</v>
      </c>
      <c r="B90" s="66"/>
      <c r="C90">
        <v>1</v>
      </c>
      <c r="D90">
        <v>3.5</v>
      </c>
      <c r="E90">
        <f t="shared" ref="E90:E95" si="1">D90*C90</f>
        <v>3.5</v>
      </c>
    </row>
    <row r="91" spans="1:8" ht="15">
      <c r="A91" s="66" t="s">
        <v>513</v>
      </c>
      <c r="B91" s="66"/>
      <c r="C91">
        <v>0.5</v>
      </c>
      <c r="D91">
        <v>2</v>
      </c>
      <c r="E91">
        <f t="shared" si="1"/>
        <v>1</v>
      </c>
    </row>
    <row r="92" spans="1:8" ht="15">
      <c r="A92" s="66" t="s">
        <v>514</v>
      </c>
      <c r="B92" s="66"/>
      <c r="C92">
        <v>0.5</v>
      </c>
      <c r="D92">
        <v>2</v>
      </c>
      <c r="E92">
        <f t="shared" si="1"/>
        <v>1</v>
      </c>
    </row>
    <row r="93" spans="1:8" ht="15">
      <c r="A93" s="66" t="s">
        <v>515</v>
      </c>
      <c r="B93" s="66"/>
      <c r="C93">
        <v>1</v>
      </c>
      <c r="D93">
        <v>2.25</v>
      </c>
      <c r="E93">
        <f t="shared" si="1"/>
        <v>2.25</v>
      </c>
    </row>
    <row r="94" spans="1:8" ht="15">
      <c r="A94" s="66" t="s">
        <v>516</v>
      </c>
      <c r="B94" s="66"/>
      <c r="C94">
        <v>0.5</v>
      </c>
      <c r="D94">
        <v>6.25</v>
      </c>
      <c r="E94">
        <f t="shared" si="1"/>
        <v>3.125</v>
      </c>
    </row>
    <row r="95" spans="1:8" ht="15">
      <c r="A95" s="66" t="s">
        <v>517</v>
      </c>
      <c r="B95" s="66"/>
      <c r="C95">
        <v>1</v>
      </c>
      <c r="D95">
        <v>2.25</v>
      </c>
      <c r="E95">
        <f t="shared" si="1"/>
        <v>2.25</v>
      </c>
    </row>
    <row r="96" spans="1:8">
      <c r="C96">
        <f>SUM(C89:C95)</f>
        <v>5</v>
      </c>
      <c r="E96">
        <f>SUM(E89:E95)</f>
        <v>16.25</v>
      </c>
      <c r="F96">
        <f>E96*3</f>
        <v>48.75</v>
      </c>
    </row>
    <row r="98" spans="1:7" ht="15">
      <c r="A98" s="66" t="s">
        <v>475</v>
      </c>
      <c r="B98" s="66"/>
    </row>
    <row r="99" spans="1:7" ht="15">
      <c r="A99" s="66" t="s">
        <v>518</v>
      </c>
      <c r="B99" s="66"/>
      <c r="C99" s="56" t="s">
        <v>519</v>
      </c>
      <c r="D99" s="56" t="s">
        <v>520</v>
      </c>
      <c r="E99" s="56" t="s">
        <v>521</v>
      </c>
      <c r="G99" s="56" t="s">
        <v>459</v>
      </c>
    </row>
    <row r="100" spans="1:7" ht="15">
      <c r="A100" s="66" t="s">
        <v>522</v>
      </c>
      <c r="B100" s="66"/>
      <c r="C100">
        <v>2.5</v>
      </c>
      <c r="D100">
        <v>20</v>
      </c>
      <c r="E100">
        <v>2</v>
      </c>
      <c r="F100">
        <f>D100*E100</f>
        <v>40</v>
      </c>
    </row>
    <row r="101" spans="1:7" ht="15">
      <c r="A101" s="66" t="s">
        <v>523</v>
      </c>
      <c r="B101" s="66"/>
      <c r="C101">
        <v>0.3</v>
      </c>
      <c r="D101">
        <v>4</v>
      </c>
      <c r="E101">
        <v>4</v>
      </c>
      <c r="F101">
        <f>D101*E101</f>
        <v>16</v>
      </c>
    </row>
    <row r="102" spans="1:7" ht="15">
      <c r="A102" s="66" t="s">
        <v>524</v>
      </c>
      <c r="B102" s="66"/>
      <c r="C102">
        <v>0.03</v>
      </c>
    </row>
    <row r="103" spans="1:7">
      <c r="F103">
        <f>SUM(F100:F101)</f>
        <v>56</v>
      </c>
      <c r="G103">
        <f>F103-E96</f>
        <v>39.75</v>
      </c>
    </row>
    <row r="105" spans="1:7" ht="15">
      <c r="A105" s="67" t="s">
        <v>525</v>
      </c>
      <c r="B105" s="67"/>
      <c r="C105" s="56" t="s">
        <v>526</v>
      </c>
    </row>
    <row r="106" spans="1:7" ht="15">
      <c r="A106" s="68">
        <v>41715</v>
      </c>
      <c r="B106" s="68"/>
    </row>
    <row r="107" spans="1:7" ht="16">
      <c r="A107" s="69" t="s">
        <v>527</v>
      </c>
      <c r="B107" s="69"/>
      <c r="C107">
        <v>1</v>
      </c>
      <c r="D107">
        <v>3</v>
      </c>
    </row>
    <row r="108" spans="1:7" ht="16">
      <c r="A108" s="69" t="s">
        <v>528</v>
      </c>
      <c r="B108" s="69"/>
      <c r="C108">
        <v>0.5</v>
      </c>
      <c r="D108">
        <v>3</v>
      </c>
    </row>
    <row r="109" spans="1:7" ht="16">
      <c r="A109" s="69" t="s">
        <v>529</v>
      </c>
      <c r="B109" s="69"/>
      <c r="C109">
        <v>0.5</v>
      </c>
      <c r="D109">
        <v>4.3499999999999996</v>
      </c>
    </row>
    <row r="110" spans="1:7">
      <c r="C110">
        <f>SUM(C107:C109)</f>
        <v>2</v>
      </c>
      <c r="D110">
        <f>SUM(D107:D109)</f>
        <v>10.35</v>
      </c>
      <c r="E110">
        <f>D110*3</f>
        <v>31.049999999999997</v>
      </c>
    </row>
    <row r="112" spans="1:7" ht="16">
      <c r="A112" s="69" t="s">
        <v>475</v>
      </c>
      <c r="B112" s="69"/>
    </row>
    <row r="113" spans="1:6" ht="16">
      <c r="A113" s="69" t="s">
        <v>530</v>
      </c>
      <c r="B113" s="69"/>
      <c r="C113">
        <v>0.8</v>
      </c>
      <c r="D113">
        <v>3</v>
      </c>
      <c r="E113">
        <v>10</v>
      </c>
      <c r="F113">
        <f>D113*E113</f>
        <v>30</v>
      </c>
    </row>
    <row r="114" spans="1:6" ht="16">
      <c r="A114" s="69" t="s">
        <v>488</v>
      </c>
      <c r="B114" s="69"/>
      <c r="D114">
        <v>4</v>
      </c>
      <c r="E114">
        <v>6</v>
      </c>
      <c r="F114">
        <f>D114*E114</f>
        <v>24</v>
      </c>
    </row>
    <row r="115" spans="1:6">
      <c r="F115">
        <f>SUM(F113:F114)</f>
        <v>54</v>
      </c>
    </row>
    <row r="117" spans="1:6" ht="16">
      <c r="A117" s="70" t="s">
        <v>531</v>
      </c>
      <c r="B117" s="70"/>
      <c r="C117" s="56" t="s">
        <v>532</v>
      </c>
    </row>
    <row r="118" spans="1:6" ht="16">
      <c r="A118" s="71">
        <v>41722</v>
      </c>
      <c r="B118" s="71"/>
    </row>
    <row r="119" spans="1:6" ht="16">
      <c r="A119" s="69" t="s">
        <v>527</v>
      </c>
      <c r="B119" s="69"/>
      <c r="C119">
        <v>1</v>
      </c>
      <c r="D119">
        <v>3</v>
      </c>
      <c r="E119">
        <f t="shared" ref="E119:E124" si="2">D119*C119</f>
        <v>3</v>
      </c>
    </row>
    <row r="120" spans="1:6" ht="16">
      <c r="A120" s="69" t="s">
        <v>528</v>
      </c>
      <c r="B120" s="69"/>
      <c r="C120">
        <v>2</v>
      </c>
      <c r="D120">
        <v>3</v>
      </c>
      <c r="E120">
        <f t="shared" si="2"/>
        <v>6</v>
      </c>
    </row>
    <row r="121" spans="1:6" ht="16">
      <c r="A121" s="69" t="s">
        <v>529</v>
      </c>
      <c r="B121" s="69"/>
      <c r="C121">
        <v>1</v>
      </c>
      <c r="D121">
        <v>4.25</v>
      </c>
      <c r="E121">
        <f t="shared" si="2"/>
        <v>4.25</v>
      </c>
    </row>
    <row r="122" spans="1:6" ht="16">
      <c r="A122" s="69" t="s">
        <v>533</v>
      </c>
      <c r="B122" s="69"/>
      <c r="C122">
        <v>1</v>
      </c>
      <c r="D122">
        <v>4.25</v>
      </c>
      <c r="E122">
        <f t="shared" si="2"/>
        <v>4.25</v>
      </c>
    </row>
    <row r="123" spans="1:6" ht="16">
      <c r="A123" s="69" t="s">
        <v>534</v>
      </c>
      <c r="B123" s="69"/>
      <c r="C123">
        <v>1</v>
      </c>
      <c r="D123">
        <v>2.25</v>
      </c>
      <c r="E123">
        <f t="shared" si="2"/>
        <v>2.25</v>
      </c>
    </row>
    <row r="124" spans="1:6" ht="16">
      <c r="A124" s="69" t="s">
        <v>512</v>
      </c>
      <c r="B124" s="69"/>
      <c r="C124">
        <v>1</v>
      </c>
      <c r="D124">
        <v>3.5</v>
      </c>
      <c r="E124">
        <f t="shared" si="2"/>
        <v>3.5</v>
      </c>
    </row>
    <row r="125" spans="1:6" ht="16">
      <c r="A125" s="70"/>
      <c r="B125" s="70"/>
      <c r="C125">
        <f>SUM(C119:C124)</f>
        <v>7</v>
      </c>
      <c r="E125">
        <f>SUM(E119:E124)</f>
        <v>23.25</v>
      </c>
      <c r="F125">
        <f>E125*3</f>
        <v>69.75</v>
      </c>
    </row>
    <row r="126" spans="1:6" ht="16">
      <c r="A126" s="70" t="s">
        <v>475</v>
      </c>
      <c r="B126" s="70"/>
    </row>
    <row r="127" spans="1:6" ht="16">
      <c r="A127" s="70" t="s">
        <v>506</v>
      </c>
      <c r="B127" s="70"/>
      <c r="C127">
        <v>4</v>
      </c>
      <c r="D127">
        <v>15</v>
      </c>
      <c r="E127">
        <f>C127*D127</f>
        <v>60</v>
      </c>
    </row>
    <row r="128" spans="1:6" ht="16">
      <c r="A128" s="70" t="s">
        <v>530</v>
      </c>
      <c r="B128" s="70"/>
      <c r="C128">
        <v>1</v>
      </c>
      <c r="D128">
        <v>10</v>
      </c>
      <c r="E128">
        <v>10</v>
      </c>
      <c r="F128">
        <f>SUM(E127:E128)</f>
        <v>70</v>
      </c>
    </row>
    <row r="131" spans="1:6">
      <c r="C131" s="56" t="s">
        <v>535</v>
      </c>
      <c r="D131" s="56" t="s">
        <v>296</v>
      </c>
      <c r="E131" s="56" t="s">
        <v>510</v>
      </c>
    </row>
    <row r="132" spans="1:6" ht="16">
      <c r="A132" s="30" t="s">
        <v>536</v>
      </c>
      <c r="B132" s="30"/>
      <c r="C132" s="72" t="s">
        <v>537</v>
      </c>
    </row>
    <row r="133" spans="1:6" ht="16">
      <c r="A133" s="72" t="s">
        <v>538</v>
      </c>
      <c r="B133" s="72"/>
      <c r="C133">
        <v>1</v>
      </c>
      <c r="D133">
        <v>2</v>
      </c>
      <c r="E133">
        <f>C133*D133</f>
        <v>2</v>
      </c>
    </row>
    <row r="134" spans="1:6" ht="16">
      <c r="A134" s="72" t="s">
        <v>539</v>
      </c>
      <c r="B134" s="72"/>
      <c r="C134">
        <v>2</v>
      </c>
      <c r="D134">
        <v>2.25</v>
      </c>
      <c r="E134">
        <f>D134*C134</f>
        <v>4.5</v>
      </c>
    </row>
    <row r="135" spans="1:6" ht="16">
      <c r="A135" s="72" t="s">
        <v>540</v>
      </c>
      <c r="B135" s="72"/>
      <c r="C135">
        <v>2</v>
      </c>
      <c r="D135">
        <v>2.25</v>
      </c>
      <c r="E135">
        <f>D135*C135</f>
        <v>4.5</v>
      </c>
    </row>
    <row r="136" spans="1:6" ht="16">
      <c r="A136" s="72" t="s">
        <v>529</v>
      </c>
      <c r="B136" s="72"/>
      <c r="C136">
        <v>1</v>
      </c>
      <c r="D136">
        <v>4.25</v>
      </c>
      <c r="E136">
        <f>D136*C136</f>
        <v>4.25</v>
      </c>
    </row>
    <row r="137" spans="1:6" ht="16">
      <c r="A137" s="72" t="s">
        <v>541</v>
      </c>
      <c r="B137" s="72"/>
      <c r="C137">
        <v>0.5</v>
      </c>
      <c r="D137">
        <v>6.25</v>
      </c>
      <c r="E137">
        <f>D137*C137</f>
        <v>3.125</v>
      </c>
    </row>
    <row r="138" spans="1:6">
      <c r="C138">
        <f>SUM(C133:C137)</f>
        <v>6.5</v>
      </c>
      <c r="D138">
        <f>SUM(D133:D137)</f>
        <v>17</v>
      </c>
      <c r="E138">
        <f>SUM(E133:E137)</f>
        <v>18.375</v>
      </c>
      <c r="F138">
        <f>E138*3</f>
        <v>55.125</v>
      </c>
    </row>
    <row r="140" spans="1:6" ht="16">
      <c r="A140" s="72" t="s">
        <v>475</v>
      </c>
      <c r="B140" s="72"/>
    </row>
    <row r="141" spans="1:6" ht="16">
      <c r="A141" s="72" t="s">
        <v>506</v>
      </c>
      <c r="B141" s="72"/>
      <c r="C141">
        <v>2.5</v>
      </c>
      <c r="D141">
        <v>3</v>
      </c>
      <c r="E141">
        <v>15</v>
      </c>
      <c r="F141">
        <f>D141*E141</f>
        <v>45</v>
      </c>
    </row>
    <row r="142" spans="1:6" ht="16">
      <c r="A142" s="72" t="s">
        <v>488</v>
      </c>
      <c r="B142" s="72"/>
      <c r="C142">
        <v>0.3</v>
      </c>
      <c r="D142">
        <v>3</v>
      </c>
      <c r="E142">
        <v>4</v>
      </c>
      <c r="F142">
        <f>D142*E142</f>
        <v>12</v>
      </c>
    </row>
    <row r="143" spans="1:6">
      <c r="F143">
        <f>SUM(F141:F142)</f>
        <v>57</v>
      </c>
    </row>
    <row r="146" spans="1:5" ht="16">
      <c r="A146" s="73"/>
      <c r="B146" s="73"/>
    </row>
    <row r="147" spans="1:5" ht="16">
      <c r="A147" s="72" t="s">
        <v>512</v>
      </c>
      <c r="B147" s="72"/>
    </row>
    <row r="148" spans="1:5" ht="16">
      <c r="A148" s="72" t="s">
        <v>542</v>
      </c>
      <c r="B148" s="72"/>
    </row>
    <row r="149" spans="1:5" ht="16">
      <c r="A149" s="72" t="s">
        <v>533</v>
      </c>
      <c r="B149" s="72"/>
    </row>
    <row r="150" spans="1:5" ht="16">
      <c r="A150" s="72" t="s">
        <v>543</v>
      </c>
      <c r="B150" s="72"/>
    </row>
    <row r="151" spans="1:5" ht="16">
      <c r="A151" s="72" t="s">
        <v>544</v>
      </c>
      <c r="B151" s="72"/>
    </row>
    <row r="152" spans="1:5" ht="16">
      <c r="A152" s="73"/>
      <c r="B152" s="73"/>
    </row>
    <row r="153" spans="1:5" ht="16">
      <c r="A153" s="73" t="s">
        <v>545</v>
      </c>
      <c r="B153" s="73"/>
    </row>
    <row r="154" spans="1:5">
      <c r="C154" s="56" t="s">
        <v>535</v>
      </c>
      <c r="D154" s="56" t="s">
        <v>296</v>
      </c>
      <c r="E154" s="56" t="s">
        <v>510</v>
      </c>
    </row>
    <row r="155" spans="1:5" ht="16">
      <c r="A155" s="72" t="s">
        <v>546</v>
      </c>
      <c r="B155" s="72"/>
      <c r="C155">
        <v>1</v>
      </c>
      <c r="D155">
        <v>2</v>
      </c>
      <c r="E155">
        <f t="shared" ref="E155:E160" si="3">D155*C155</f>
        <v>2</v>
      </c>
    </row>
    <row r="156" spans="1:5" ht="16">
      <c r="A156" s="72" t="s">
        <v>547</v>
      </c>
      <c r="B156" s="72"/>
      <c r="C156">
        <v>1</v>
      </c>
      <c r="D156">
        <v>2.25</v>
      </c>
      <c r="E156">
        <f t="shared" si="3"/>
        <v>2.25</v>
      </c>
    </row>
    <row r="157" spans="1:5" ht="16">
      <c r="A157" s="72" t="s">
        <v>548</v>
      </c>
      <c r="B157" s="72"/>
      <c r="C157">
        <v>1.5</v>
      </c>
      <c r="D157">
        <v>2</v>
      </c>
      <c r="E157">
        <f t="shared" si="3"/>
        <v>3</v>
      </c>
    </row>
    <row r="158" spans="1:5" ht="16">
      <c r="A158" s="72" t="s">
        <v>549</v>
      </c>
      <c r="B158" s="72"/>
      <c r="C158">
        <v>0.5</v>
      </c>
      <c r="D158">
        <v>3.25</v>
      </c>
      <c r="E158">
        <f t="shared" si="3"/>
        <v>1.625</v>
      </c>
    </row>
    <row r="159" spans="1:5" ht="16">
      <c r="A159" s="72" t="s">
        <v>550</v>
      </c>
      <c r="B159" s="72"/>
      <c r="C159">
        <v>1</v>
      </c>
      <c r="D159">
        <v>2</v>
      </c>
      <c r="E159">
        <f t="shared" si="3"/>
        <v>2</v>
      </c>
    </row>
    <row r="160" spans="1:5" ht="16">
      <c r="A160" s="72" t="s">
        <v>357</v>
      </c>
      <c r="B160" s="72"/>
      <c r="C160">
        <v>0.5</v>
      </c>
      <c r="D160">
        <v>2</v>
      </c>
      <c r="E160">
        <f t="shared" si="3"/>
        <v>1</v>
      </c>
    </row>
    <row r="161" spans="1:6">
      <c r="C161">
        <f>SUM(C155:C160)</f>
        <v>5.5</v>
      </c>
      <c r="E161">
        <f>SUM(E155:E160)</f>
        <v>11.875</v>
      </c>
      <c r="F161">
        <f>E161*3</f>
        <v>35.625</v>
      </c>
    </row>
    <row r="162" spans="1:6" ht="16">
      <c r="A162" s="72" t="s">
        <v>475</v>
      </c>
      <c r="B162" s="72"/>
    </row>
    <row r="163" spans="1:6" ht="16">
      <c r="A163" s="72" t="s">
        <v>530</v>
      </c>
      <c r="B163" s="72"/>
      <c r="C163">
        <v>3</v>
      </c>
      <c r="D163">
        <v>15</v>
      </c>
      <c r="F163">
        <f>D163*C163</f>
        <v>45</v>
      </c>
    </row>
    <row r="166" spans="1:6" ht="16">
      <c r="A166" s="61" t="s">
        <v>477</v>
      </c>
      <c r="B166" s="61"/>
    </row>
    <row r="167" spans="1:6" ht="16">
      <c r="A167" s="62">
        <v>41727</v>
      </c>
      <c r="B167" s="62"/>
    </row>
    <row r="168" spans="1:6" ht="16">
      <c r="A168" s="63" t="s">
        <v>478</v>
      </c>
      <c r="B168" s="63"/>
      <c r="C168" s="56">
        <v>1</v>
      </c>
      <c r="D168">
        <v>4.25</v>
      </c>
    </row>
    <row r="169" spans="1:6" ht="16">
      <c r="A169" s="63" t="s">
        <v>479</v>
      </c>
      <c r="B169" s="63"/>
      <c r="C169">
        <v>1</v>
      </c>
      <c r="D169">
        <v>3.5</v>
      </c>
    </row>
    <row r="170" spans="1:6" ht="16">
      <c r="A170" s="63" t="s">
        <v>480</v>
      </c>
      <c r="B170" s="63"/>
      <c r="C170">
        <v>1</v>
      </c>
      <c r="D170">
        <v>6.25</v>
      </c>
    </row>
    <row r="171" spans="1:6" ht="16">
      <c r="A171" s="63" t="s">
        <v>481</v>
      </c>
      <c r="B171" s="63"/>
      <c r="C171">
        <v>1</v>
      </c>
      <c r="D171">
        <v>3</v>
      </c>
    </row>
    <row r="172" spans="1:6" ht="16">
      <c r="A172" s="63" t="s">
        <v>482</v>
      </c>
      <c r="B172" s="63"/>
      <c r="C172">
        <v>1</v>
      </c>
      <c r="D172">
        <v>4.25</v>
      </c>
    </row>
    <row r="173" spans="1:6" ht="16">
      <c r="A173" s="63" t="s">
        <v>483</v>
      </c>
      <c r="B173" s="63"/>
      <c r="C173">
        <v>1</v>
      </c>
      <c r="D173">
        <v>2.25</v>
      </c>
    </row>
    <row r="174" spans="1:6" ht="16">
      <c r="A174" s="63" t="s">
        <v>484</v>
      </c>
      <c r="B174" s="63"/>
      <c r="C174">
        <v>0.5</v>
      </c>
      <c r="D174">
        <v>3</v>
      </c>
    </row>
    <row r="175" spans="1:6" ht="16">
      <c r="A175" s="63" t="s">
        <v>485</v>
      </c>
      <c r="B175" s="63"/>
      <c r="C175">
        <v>1</v>
      </c>
      <c r="D175">
        <v>2</v>
      </c>
    </row>
    <row r="176" spans="1:6">
      <c r="C176">
        <f>SUM(C168:C175)</f>
        <v>7.5</v>
      </c>
      <c r="D176">
        <f>SUM(D168:D175)</f>
        <v>28.5</v>
      </c>
      <c r="E176">
        <f>D176*3</f>
        <v>85.5</v>
      </c>
    </row>
    <row r="177" spans="1:8" ht="16">
      <c r="A177" s="64" t="s">
        <v>475</v>
      </c>
      <c r="B177" s="64"/>
    </row>
    <row r="178" spans="1:8" ht="16">
      <c r="A178" s="64"/>
      <c r="B178" s="56" t="s">
        <v>519</v>
      </c>
      <c r="C178" s="56" t="s">
        <v>551</v>
      </c>
    </row>
    <row r="179" spans="1:8" ht="16">
      <c r="A179" s="64" t="s">
        <v>530</v>
      </c>
      <c r="B179" s="64">
        <v>2</v>
      </c>
      <c r="C179">
        <v>2</v>
      </c>
      <c r="D179">
        <v>15</v>
      </c>
      <c r="E179">
        <f>D179*C179</f>
        <v>30</v>
      </c>
    </row>
    <row r="180" spans="1:8" ht="16">
      <c r="A180" s="64" t="s">
        <v>488</v>
      </c>
      <c r="B180" s="64"/>
      <c r="C180">
        <v>6</v>
      </c>
      <c r="D180">
        <v>4</v>
      </c>
      <c r="E180">
        <f>D180*C180</f>
        <v>24</v>
      </c>
    </row>
    <row r="181" spans="1:8">
      <c r="E181">
        <f>SUM(E178:E180)</f>
        <v>54</v>
      </c>
      <c r="H181">
        <f>E181-D176</f>
        <v>25.5</v>
      </c>
    </row>
    <row r="182" spans="1:8">
      <c r="A182" s="41" t="s">
        <v>465</v>
      </c>
      <c r="B182" s="41"/>
    </row>
    <row r="183" spans="1:8">
      <c r="A183" s="41" t="s">
        <v>466</v>
      </c>
      <c r="B183" s="41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FC00-203F-E845-8C9A-C083A7901380}">
  <sheetPr published="0"/>
  <dimension ref="A1:F218"/>
  <sheetViews>
    <sheetView tabSelected="1" workbookViewId="0">
      <selection activeCell="L128" sqref="L128"/>
    </sheetView>
  </sheetViews>
  <sheetFormatPr baseColWidth="10" defaultRowHeight="13"/>
  <cols>
    <col min="1" max="1" width="77.33203125" bestFit="1" customWidth="1"/>
  </cols>
  <sheetData>
    <row r="1" spans="1:1" ht="17">
      <c r="A1" s="74">
        <v>41615</v>
      </c>
    </row>
    <row r="2" spans="1:1" ht="17">
      <c r="A2" s="75" t="s">
        <v>552</v>
      </c>
    </row>
    <row r="3" spans="1:1" ht="17">
      <c r="A3" s="75" t="s">
        <v>553</v>
      </c>
    </row>
    <row r="4" spans="1:1" ht="17">
      <c r="A4" s="75" t="s">
        <v>554</v>
      </c>
    </row>
    <row r="5" spans="1:1" ht="17">
      <c r="A5" s="75" t="s">
        <v>555</v>
      </c>
    </row>
    <row r="6" spans="1:1" ht="17">
      <c r="A6" s="75" t="s">
        <v>556</v>
      </c>
    </row>
    <row r="7" spans="1:1" ht="17">
      <c r="A7" s="75" t="s">
        <v>557</v>
      </c>
    </row>
    <row r="8" spans="1:1" ht="17">
      <c r="A8" s="75" t="s">
        <v>558</v>
      </c>
    </row>
    <row r="9" spans="1:1" ht="17">
      <c r="A9" s="75" t="s">
        <v>559</v>
      </c>
    </row>
    <row r="10" spans="1:1" ht="17">
      <c r="A10" s="75" t="s">
        <v>560</v>
      </c>
    </row>
    <row r="11" spans="1:1" ht="17">
      <c r="A11" s="75" t="s">
        <v>561</v>
      </c>
    </row>
    <row r="12" spans="1:1" ht="17">
      <c r="A12" s="75" t="s">
        <v>562</v>
      </c>
    </row>
    <row r="13" spans="1:1" ht="17">
      <c r="A13" s="75" t="s">
        <v>563</v>
      </c>
    </row>
    <row r="14" spans="1:1" ht="17">
      <c r="A14" s="75" t="s">
        <v>564</v>
      </c>
    </row>
    <row r="15" spans="1:1" ht="17">
      <c r="A15" s="75" t="s">
        <v>565</v>
      </c>
    </row>
    <row r="16" spans="1:1" ht="17">
      <c r="A16" s="75" t="s">
        <v>566</v>
      </c>
    </row>
    <row r="17" spans="1:1" ht="17">
      <c r="A17" s="75" t="s">
        <v>567</v>
      </c>
    </row>
    <row r="18" spans="1:1" ht="17">
      <c r="A18" s="75" t="s">
        <v>568</v>
      </c>
    </row>
    <row r="19" spans="1:1" ht="17">
      <c r="A19" s="75" t="s">
        <v>569</v>
      </c>
    </row>
    <row r="20" spans="1:1" ht="17">
      <c r="A20" s="75" t="s">
        <v>570</v>
      </c>
    </row>
    <row r="21" spans="1:1" ht="17">
      <c r="A21" s="75" t="s">
        <v>571</v>
      </c>
    </row>
    <row r="22" spans="1:1" ht="17">
      <c r="A22" s="75" t="s">
        <v>572</v>
      </c>
    </row>
    <row r="23" spans="1:1" ht="17">
      <c r="A23" s="75" t="s">
        <v>573</v>
      </c>
    </row>
    <row r="24" spans="1:1" ht="17">
      <c r="A24" s="75" t="s">
        <v>574</v>
      </c>
    </row>
    <row r="25" spans="1:1" ht="17">
      <c r="A25" s="75" t="s">
        <v>575</v>
      </c>
    </row>
    <row r="26" spans="1:1" ht="17">
      <c r="A26" s="75" t="s">
        <v>576</v>
      </c>
    </row>
    <row r="27" spans="1:1" ht="17">
      <c r="A27" s="75" t="s">
        <v>577</v>
      </c>
    </row>
    <row r="29" spans="1:1" ht="17">
      <c r="A29" s="75" t="s">
        <v>578</v>
      </c>
    </row>
    <row r="30" spans="1:1" ht="17">
      <c r="A30" s="75" t="s">
        <v>579</v>
      </c>
    </row>
    <row r="31" spans="1:1" ht="17">
      <c r="A31" s="75" t="s">
        <v>580</v>
      </c>
    </row>
    <row r="32" spans="1:1" ht="17">
      <c r="A32" s="75" t="s">
        <v>581</v>
      </c>
    </row>
    <row r="33" spans="1:1" ht="17">
      <c r="A33" s="75" t="s">
        <v>582</v>
      </c>
    </row>
    <row r="34" spans="1:1" ht="17">
      <c r="A34" s="75" t="s">
        <v>583</v>
      </c>
    </row>
    <row r="36" spans="1:1" ht="17">
      <c r="A36" s="75" t="s">
        <v>584</v>
      </c>
    </row>
    <row r="37" spans="1:1" ht="17">
      <c r="A37" s="75" t="s">
        <v>585</v>
      </c>
    </row>
    <row r="38" spans="1:1" ht="17">
      <c r="A38" s="75" t="s">
        <v>586</v>
      </c>
    </row>
    <row r="39" spans="1:1" ht="17">
      <c r="A39" s="75" t="s">
        <v>587</v>
      </c>
    </row>
    <row r="40" spans="1:1" ht="17">
      <c r="A40" s="75" t="s">
        <v>588</v>
      </c>
    </row>
    <row r="41" spans="1:1" ht="17">
      <c r="A41" s="75" t="s">
        <v>589</v>
      </c>
    </row>
    <row r="42" spans="1:1" ht="17">
      <c r="A42" s="75" t="s">
        <v>590</v>
      </c>
    </row>
    <row r="43" spans="1:1" ht="17">
      <c r="A43" s="75" t="s">
        <v>591</v>
      </c>
    </row>
    <row r="44" spans="1:1" ht="17">
      <c r="A44" s="75" t="s">
        <v>592</v>
      </c>
    </row>
    <row r="45" spans="1:1" ht="17">
      <c r="A45" s="75" t="s">
        <v>593</v>
      </c>
    </row>
    <row r="46" spans="1:1" ht="17">
      <c r="A46" s="75" t="s">
        <v>594</v>
      </c>
    </row>
    <row r="47" spans="1:1" ht="17">
      <c r="A47" s="75" t="s">
        <v>595</v>
      </c>
    </row>
    <row r="48" spans="1:1" ht="17">
      <c r="A48" s="75" t="s">
        <v>596</v>
      </c>
    </row>
    <row r="49" spans="1:1" ht="17">
      <c r="A49" s="75" t="s">
        <v>597</v>
      </c>
    </row>
    <row r="50" spans="1:1" ht="17">
      <c r="A50" s="75" t="s">
        <v>598</v>
      </c>
    </row>
    <row r="51" spans="1:1" ht="17">
      <c r="A51" s="75" t="s">
        <v>599</v>
      </c>
    </row>
    <row r="52" spans="1:1" ht="17">
      <c r="A52" s="75" t="s">
        <v>600</v>
      </c>
    </row>
    <row r="53" spans="1:1" ht="17">
      <c r="A53" s="75" t="s">
        <v>601</v>
      </c>
    </row>
    <row r="54" spans="1:1" ht="17">
      <c r="A54" s="75" t="s">
        <v>567</v>
      </c>
    </row>
    <row r="55" spans="1:1" ht="17">
      <c r="A55" s="75" t="s">
        <v>602</v>
      </c>
    </row>
    <row r="56" spans="1:1" ht="17">
      <c r="A56" s="75" t="s">
        <v>603</v>
      </c>
    </row>
    <row r="57" spans="1:1" ht="17">
      <c r="A57" s="75" t="s">
        <v>604</v>
      </c>
    </row>
    <row r="58" spans="1:1" ht="17">
      <c r="A58" s="75" t="s">
        <v>605</v>
      </c>
    </row>
    <row r="59" spans="1:1" ht="17">
      <c r="A59" s="75" t="s">
        <v>606</v>
      </c>
    </row>
    <row r="60" spans="1:1" ht="17">
      <c r="A60" s="75" t="s">
        <v>565</v>
      </c>
    </row>
    <row r="61" spans="1:1" ht="17">
      <c r="A61" s="75" t="s">
        <v>607</v>
      </c>
    </row>
    <row r="62" spans="1:1" ht="17">
      <c r="A62" s="75" t="s">
        <v>608</v>
      </c>
    </row>
    <row r="64" spans="1:1" ht="17">
      <c r="A64" s="75" t="s">
        <v>609</v>
      </c>
    </row>
    <row r="65" spans="1:1" ht="17">
      <c r="A65" s="75" t="s">
        <v>610</v>
      </c>
    </row>
    <row r="66" spans="1:1" ht="17">
      <c r="A66" s="75" t="s">
        <v>611</v>
      </c>
    </row>
    <row r="67" spans="1:1" ht="17">
      <c r="A67" s="75" t="s">
        <v>612</v>
      </c>
    </row>
    <row r="70" spans="1:1" ht="17">
      <c r="A70" s="74">
        <v>41599</v>
      </c>
    </row>
    <row r="72" spans="1:1" ht="17">
      <c r="A72" s="75" t="s">
        <v>583</v>
      </c>
    </row>
    <row r="74" spans="1:1" ht="17">
      <c r="A74" s="75" t="s">
        <v>613</v>
      </c>
    </row>
    <row r="75" spans="1:1" ht="17">
      <c r="A75" s="75" t="s">
        <v>614</v>
      </c>
    </row>
    <row r="76" spans="1:1" ht="17">
      <c r="A76" s="75" t="s">
        <v>615</v>
      </c>
    </row>
    <row r="77" spans="1:1" ht="17">
      <c r="A77" s="75" t="s">
        <v>616</v>
      </c>
    </row>
    <row r="78" spans="1:1" ht="17">
      <c r="A78" s="75" t="s">
        <v>553</v>
      </c>
    </row>
    <row r="79" spans="1:1" ht="17">
      <c r="A79" s="75" t="s">
        <v>617</v>
      </c>
    </row>
    <row r="80" spans="1:1" ht="17">
      <c r="A80" s="75" t="s">
        <v>618</v>
      </c>
    </row>
    <row r="81" spans="1:1" ht="17">
      <c r="A81" s="75" t="s">
        <v>619</v>
      </c>
    </row>
    <row r="82" spans="1:1" ht="17">
      <c r="A82" s="75" t="s">
        <v>620</v>
      </c>
    </row>
    <row r="83" spans="1:1" ht="17">
      <c r="A83" s="75" t="s">
        <v>621</v>
      </c>
    </row>
    <row r="84" spans="1:1" ht="17">
      <c r="A84" s="75" t="s">
        <v>622</v>
      </c>
    </row>
    <row r="85" spans="1:1" ht="17">
      <c r="A85" s="75" t="s">
        <v>623</v>
      </c>
    </row>
    <row r="86" spans="1:1" ht="17">
      <c r="A86" s="75" t="s">
        <v>624</v>
      </c>
    </row>
    <row r="87" spans="1:1" ht="17">
      <c r="A87" s="75" t="s">
        <v>625</v>
      </c>
    </row>
    <row r="88" spans="1:1" ht="17">
      <c r="A88" s="75" t="s">
        <v>626</v>
      </c>
    </row>
    <row r="89" spans="1:1" ht="17">
      <c r="A89" s="75" t="s">
        <v>627</v>
      </c>
    </row>
    <row r="90" spans="1:1" ht="17">
      <c r="A90" s="75" t="s">
        <v>628</v>
      </c>
    </row>
    <row r="91" spans="1:1" ht="17">
      <c r="A91" s="75" t="s">
        <v>629</v>
      </c>
    </row>
    <row r="92" spans="1:1" ht="17">
      <c r="A92" s="75" t="s">
        <v>630</v>
      </c>
    </row>
    <row r="93" spans="1:1" ht="17">
      <c r="A93" s="75" t="s">
        <v>631</v>
      </c>
    </row>
    <row r="94" spans="1:1" ht="17">
      <c r="A94" s="75" t="s">
        <v>632</v>
      </c>
    </row>
    <row r="95" spans="1:1" ht="17">
      <c r="A95" s="75" t="s">
        <v>633</v>
      </c>
    </row>
    <row r="96" spans="1:1" ht="17">
      <c r="A96" s="75" t="s">
        <v>634</v>
      </c>
    </row>
    <row r="97" spans="1:1" ht="17">
      <c r="A97" s="75" t="s">
        <v>635</v>
      </c>
    </row>
    <row r="98" spans="1:1" ht="17">
      <c r="A98" s="75" t="s">
        <v>636</v>
      </c>
    </row>
    <row r="99" spans="1:1" ht="17">
      <c r="A99" s="75" t="s">
        <v>637</v>
      </c>
    </row>
    <row r="100" spans="1:1" ht="17">
      <c r="A100" s="75" t="s">
        <v>638</v>
      </c>
    </row>
    <row r="101" spans="1:1" ht="17">
      <c r="A101" s="75" t="s">
        <v>639</v>
      </c>
    </row>
    <row r="102" spans="1:1" ht="17">
      <c r="A102" s="75" t="s">
        <v>640</v>
      </c>
    </row>
    <row r="103" spans="1:1" ht="17">
      <c r="A103" s="75" t="s">
        <v>641</v>
      </c>
    </row>
    <row r="104" spans="1:1" ht="17">
      <c r="A104" s="75" t="s">
        <v>642</v>
      </c>
    </row>
    <row r="105" spans="1:1" ht="17">
      <c r="A105" s="75" t="s">
        <v>643</v>
      </c>
    </row>
    <row r="106" spans="1:1" ht="17">
      <c r="A106" s="75" t="s">
        <v>644</v>
      </c>
    </row>
    <row r="107" spans="1:1" ht="17">
      <c r="A107" s="75" t="s">
        <v>645</v>
      </c>
    </row>
    <row r="108" spans="1:1" ht="17">
      <c r="A108" s="75" t="s">
        <v>646</v>
      </c>
    </row>
    <row r="109" spans="1:1" ht="17">
      <c r="A109" s="75" t="s">
        <v>647</v>
      </c>
    </row>
    <row r="110" spans="1:1" ht="17">
      <c r="A110" s="75" t="s">
        <v>648</v>
      </c>
    </row>
    <row r="111" spans="1:1" ht="17">
      <c r="A111" s="75" t="s">
        <v>649</v>
      </c>
    </row>
    <row r="112" spans="1:1" ht="17">
      <c r="A112" s="75" t="s">
        <v>650</v>
      </c>
    </row>
    <row r="113" spans="1:1" ht="17">
      <c r="A113" s="75" t="s">
        <v>651</v>
      </c>
    </row>
    <row r="114" spans="1:1" ht="17">
      <c r="A114" s="75" t="s">
        <v>652</v>
      </c>
    </row>
    <row r="115" spans="1:1" ht="17">
      <c r="A115" s="75" t="s">
        <v>653</v>
      </c>
    </row>
    <row r="116" spans="1:1" ht="17">
      <c r="A116" s="75" t="s">
        <v>654</v>
      </c>
    </row>
    <row r="117" spans="1:1" ht="17">
      <c r="A117" s="75" t="s">
        <v>655</v>
      </c>
    </row>
    <row r="118" spans="1:1" ht="17">
      <c r="A118" s="75" t="s">
        <v>552</v>
      </c>
    </row>
    <row r="119" spans="1:1" ht="17">
      <c r="A119" s="75" t="s">
        <v>656</v>
      </c>
    </row>
    <row r="120" spans="1:1" ht="17">
      <c r="A120" s="75" t="s">
        <v>657</v>
      </c>
    </row>
    <row r="121" spans="1:1" ht="17">
      <c r="A121" s="75" t="s">
        <v>658</v>
      </c>
    </row>
    <row r="122" spans="1:1" ht="17">
      <c r="A122" s="75" t="s">
        <v>659</v>
      </c>
    </row>
    <row r="123" spans="1:1" ht="17">
      <c r="A123" s="75" t="s">
        <v>660</v>
      </c>
    </row>
    <row r="124" spans="1:1" ht="17">
      <c r="A124" s="75" t="s">
        <v>661</v>
      </c>
    </row>
    <row r="125" spans="1:1" ht="17">
      <c r="A125" s="75" t="s">
        <v>662</v>
      </c>
    </row>
    <row r="126" spans="1:1" ht="17">
      <c r="A126" s="75" t="s">
        <v>663</v>
      </c>
    </row>
    <row r="127" spans="1:1" ht="17">
      <c r="A127" s="75" t="s">
        <v>664</v>
      </c>
    </row>
    <row r="128" spans="1:1" ht="17">
      <c r="A128" s="75" t="s">
        <v>665</v>
      </c>
    </row>
    <row r="129" spans="1:1" ht="17">
      <c r="A129" s="75" t="s">
        <v>666</v>
      </c>
    </row>
    <row r="130" spans="1:1" ht="17">
      <c r="A130" s="75" t="s">
        <v>667</v>
      </c>
    </row>
    <row r="131" spans="1:1" ht="17">
      <c r="A131" s="75" t="s">
        <v>668</v>
      </c>
    </row>
    <row r="132" spans="1:1" ht="17">
      <c r="A132" s="75" t="s">
        <v>669</v>
      </c>
    </row>
    <row r="133" spans="1:1" ht="17">
      <c r="A133" s="75" t="s">
        <v>670</v>
      </c>
    </row>
    <row r="134" spans="1:1" ht="17">
      <c r="A134" s="75" t="s">
        <v>671</v>
      </c>
    </row>
    <row r="135" spans="1:1" ht="17">
      <c r="A135" s="75" t="s">
        <v>672</v>
      </c>
    </row>
    <row r="136" spans="1:1" ht="17">
      <c r="A136" s="75" t="s">
        <v>598</v>
      </c>
    </row>
    <row r="138" spans="1:1" ht="17">
      <c r="A138" s="75" t="s">
        <v>673</v>
      </c>
    </row>
    <row r="139" spans="1:1" ht="17">
      <c r="A139" s="75" t="s">
        <v>674</v>
      </c>
    </row>
    <row r="140" spans="1:1" ht="17">
      <c r="A140" s="75" t="s">
        <v>675</v>
      </c>
    </row>
    <row r="141" spans="1:1" ht="17">
      <c r="A141" s="75" t="s">
        <v>676</v>
      </c>
    </row>
    <row r="144" spans="1:1" ht="17">
      <c r="A144" s="74">
        <v>41397</v>
      </c>
    </row>
    <row r="145" spans="1:6" ht="17">
      <c r="A145" s="75" t="s">
        <v>677</v>
      </c>
    </row>
    <row r="146" spans="1:6" ht="17">
      <c r="A146" s="75" t="s">
        <v>678</v>
      </c>
    </row>
    <row r="147" spans="1:6" ht="17">
      <c r="A147" s="75" t="s">
        <v>599</v>
      </c>
    </row>
    <row r="148" spans="1:6" ht="17">
      <c r="A148" s="75" t="s">
        <v>598</v>
      </c>
    </row>
    <row r="149" spans="1:6" ht="17">
      <c r="A149" s="75" t="s">
        <v>679</v>
      </c>
    </row>
    <row r="150" spans="1:6" ht="17">
      <c r="A150" s="76" t="s">
        <v>591</v>
      </c>
    </row>
    <row r="151" spans="1:6" ht="17">
      <c r="A151" s="75" t="s">
        <v>680</v>
      </c>
    </row>
    <row r="152" spans="1:6" ht="17">
      <c r="A152" s="75" t="s">
        <v>681</v>
      </c>
    </row>
    <row r="153" spans="1:6" ht="17">
      <c r="A153" s="75" t="s">
        <v>682</v>
      </c>
    </row>
    <row r="154" spans="1:6" ht="17">
      <c r="A154" s="75" t="s">
        <v>683</v>
      </c>
    </row>
    <row r="155" spans="1:6" ht="17">
      <c r="A155" s="75" t="s">
        <v>684</v>
      </c>
    </row>
    <row r="156" spans="1:6" ht="17">
      <c r="A156" s="75" t="s">
        <v>685</v>
      </c>
    </row>
    <row r="157" spans="1:6" ht="17">
      <c r="A157" s="75" t="s">
        <v>686</v>
      </c>
    </row>
    <row r="158" spans="1:6" ht="17">
      <c r="A158" s="76" t="s">
        <v>687</v>
      </c>
      <c r="B158" s="31"/>
      <c r="C158" s="31"/>
      <c r="D158" s="31"/>
      <c r="E158" s="31"/>
      <c r="F158" s="31"/>
    </row>
    <row r="159" spans="1:6" ht="17">
      <c r="A159" s="75" t="s">
        <v>688</v>
      </c>
    </row>
    <row r="160" spans="1:6" ht="17">
      <c r="A160" s="75" t="s">
        <v>689</v>
      </c>
    </row>
    <row r="161" spans="1:5" ht="17">
      <c r="A161" s="75" t="s">
        <v>690</v>
      </c>
    </row>
    <row r="162" spans="1:5" ht="17">
      <c r="A162" s="75" t="s">
        <v>691</v>
      </c>
    </row>
    <row r="163" spans="1:5" ht="17">
      <c r="A163" s="75" t="s">
        <v>692</v>
      </c>
    </row>
    <row r="164" spans="1:5" ht="17">
      <c r="A164" s="75" t="s">
        <v>693</v>
      </c>
    </row>
    <row r="166" spans="1:5" ht="17">
      <c r="A166" s="75" t="s">
        <v>694</v>
      </c>
    </row>
    <row r="167" spans="1:5" ht="17">
      <c r="A167" s="75" t="s">
        <v>695</v>
      </c>
    </row>
    <row r="168" spans="1:5" ht="17">
      <c r="A168" s="75" t="s">
        <v>696</v>
      </c>
    </row>
    <row r="169" spans="1:5" ht="17">
      <c r="A169" s="75" t="s">
        <v>697</v>
      </c>
    </row>
    <row r="171" spans="1:5" ht="16">
      <c r="A171" s="77" t="s">
        <v>698</v>
      </c>
      <c r="B171" s="78" t="s">
        <v>699</v>
      </c>
      <c r="C171" s="78">
        <v>1</v>
      </c>
      <c r="D171" s="78" t="s">
        <v>700</v>
      </c>
      <c r="E171" s="79" t="s">
        <v>700</v>
      </c>
    </row>
    <row r="172" spans="1:5" ht="16">
      <c r="A172" s="80" t="s">
        <v>701</v>
      </c>
      <c r="B172" s="78"/>
      <c r="C172" s="78"/>
      <c r="D172" s="78"/>
      <c r="E172" s="79"/>
    </row>
    <row r="173" spans="1:5">
      <c r="B173" s="78"/>
      <c r="C173" s="78"/>
      <c r="D173" s="78"/>
      <c r="E173" s="79"/>
    </row>
    <row r="174" spans="1:5" ht="16">
      <c r="A174" s="77" t="s">
        <v>702</v>
      </c>
      <c r="B174" s="78" t="s">
        <v>703</v>
      </c>
      <c r="C174" s="78">
        <v>2</v>
      </c>
      <c r="D174" s="78" t="s">
        <v>704</v>
      </c>
      <c r="E174" s="79" t="s">
        <v>705</v>
      </c>
    </row>
    <row r="175" spans="1:5" ht="16">
      <c r="A175" s="80" t="s">
        <v>706</v>
      </c>
      <c r="B175" s="78"/>
      <c r="C175" s="78"/>
      <c r="D175" s="78"/>
      <c r="E175" s="79"/>
    </row>
    <row r="176" spans="1:5">
      <c r="B176" s="78"/>
      <c r="C176" s="78"/>
      <c r="D176" s="78"/>
      <c r="E176" s="79"/>
    </row>
    <row r="177" spans="1:5" ht="16">
      <c r="A177" s="77" t="s">
        <v>707</v>
      </c>
      <c r="B177" s="78" t="s">
        <v>708</v>
      </c>
      <c r="C177" s="78">
        <v>1</v>
      </c>
      <c r="D177" s="78" t="s">
        <v>709</v>
      </c>
      <c r="E177" s="79" t="s">
        <v>709</v>
      </c>
    </row>
    <row r="178" spans="1:5" ht="16">
      <c r="A178" s="80" t="s">
        <v>710</v>
      </c>
      <c r="B178" s="78"/>
      <c r="C178" s="78"/>
      <c r="D178" s="78"/>
      <c r="E178" s="79"/>
    </row>
    <row r="179" spans="1:5">
      <c r="B179" s="78"/>
      <c r="C179" s="78"/>
      <c r="D179" s="78"/>
      <c r="E179" s="79"/>
    </row>
    <row r="180" spans="1:5" ht="16">
      <c r="A180" s="77" t="s">
        <v>711</v>
      </c>
      <c r="B180" s="78" t="s">
        <v>712</v>
      </c>
      <c r="C180" s="78">
        <v>1</v>
      </c>
      <c r="D180" s="78" t="s">
        <v>713</v>
      </c>
      <c r="E180" s="79" t="s">
        <v>713</v>
      </c>
    </row>
    <row r="181" spans="1:5" ht="16">
      <c r="A181" s="80" t="s">
        <v>714</v>
      </c>
      <c r="B181" s="78"/>
      <c r="C181" s="78"/>
      <c r="D181" s="78"/>
      <c r="E181" s="79"/>
    </row>
    <row r="182" spans="1:5">
      <c r="B182" s="78"/>
      <c r="C182" s="78"/>
      <c r="D182" s="78"/>
      <c r="E182" s="79"/>
    </row>
    <row r="183" spans="1:5" ht="16">
      <c r="A183" s="77" t="s">
        <v>715</v>
      </c>
      <c r="B183" s="78" t="s">
        <v>716</v>
      </c>
      <c r="C183" s="78">
        <v>1</v>
      </c>
      <c r="D183" s="78" t="s">
        <v>717</v>
      </c>
      <c r="E183" s="79" t="s">
        <v>717</v>
      </c>
    </row>
    <row r="184" spans="1:5" ht="16">
      <c r="A184" s="80" t="s">
        <v>718</v>
      </c>
      <c r="B184" s="78"/>
      <c r="C184" s="78"/>
      <c r="D184" s="78"/>
      <c r="E184" s="79"/>
    </row>
    <row r="185" spans="1:5">
      <c r="B185" s="78"/>
      <c r="C185" s="78"/>
      <c r="D185" s="78"/>
      <c r="E185" s="79"/>
    </row>
    <row r="186" spans="1:5" ht="16">
      <c r="A186" s="77" t="s">
        <v>719</v>
      </c>
      <c r="B186" s="78" t="s">
        <v>720</v>
      </c>
      <c r="C186" s="78">
        <v>1</v>
      </c>
      <c r="D186" s="78" t="s">
        <v>721</v>
      </c>
      <c r="E186" s="79" t="s">
        <v>721</v>
      </c>
    </row>
    <row r="187" spans="1:5" ht="16">
      <c r="A187" s="80" t="s">
        <v>722</v>
      </c>
      <c r="B187" s="78"/>
      <c r="C187" s="78"/>
      <c r="D187" s="78"/>
      <c r="E187" s="79"/>
    </row>
    <row r="188" spans="1:5">
      <c r="B188" s="78"/>
      <c r="C188" s="78"/>
      <c r="D188" s="78"/>
      <c r="E188" s="79"/>
    </row>
    <row r="189" spans="1:5" ht="16">
      <c r="A189" s="77" t="s">
        <v>723</v>
      </c>
      <c r="B189" s="78" t="s">
        <v>724</v>
      </c>
      <c r="C189" s="78">
        <v>1</v>
      </c>
      <c r="D189" s="78" t="s">
        <v>725</v>
      </c>
      <c r="E189" s="79" t="s">
        <v>725</v>
      </c>
    </row>
    <row r="190" spans="1:5" ht="16">
      <c r="A190" s="80" t="s">
        <v>726</v>
      </c>
      <c r="B190" s="78"/>
      <c r="C190" s="78"/>
      <c r="D190" s="78"/>
      <c r="E190" s="79"/>
    </row>
    <row r="191" spans="1:5">
      <c r="B191" s="78"/>
      <c r="C191" s="78"/>
      <c r="D191" s="78"/>
      <c r="E191" s="79"/>
    </row>
    <row r="192" spans="1:5" ht="16">
      <c r="A192" s="77" t="s">
        <v>727</v>
      </c>
      <c r="B192" s="78" t="s">
        <v>728</v>
      </c>
      <c r="C192" s="78">
        <v>1</v>
      </c>
      <c r="D192" s="78" t="s">
        <v>729</v>
      </c>
      <c r="E192" s="79" t="s">
        <v>729</v>
      </c>
    </row>
    <row r="193" spans="1:5" ht="16">
      <c r="A193" s="80" t="s">
        <v>730</v>
      </c>
      <c r="B193" s="78"/>
      <c r="C193" s="78"/>
      <c r="D193" s="78"/>
      <c r="E193" s="79"/>
    </row>
    <row r="194" spans="1:5">
      <c r="B194" s="78"/>
      <c r="C194" s="78"/>
      <c r="D194" s="78"/>
      <c r="E194" s="79"/>
    </row>
    <row r="195" spans="1:5" ht="16">
      <c r="A195" s="77" t="s">
        <v>731</v>
      </c>
      <c r="B195" s="78" t="s">
        <v>732</v>
      </c>
      <c r="C195" s="78">
        <v>1</v>
      </c>
      <c r="D195" s="78" t="s">
        <v>733</v>
      </c>
      <c r="E195" s="79" t="s">
        <v>733</v>
      </c>
    </row>
    <row r="196" spans="1:5" ht="16">
      <c r="A196" s="80" t="s">
        <v>734</v>
      </c>
      <c r="B196" s="78"/>
      <c r="C196" s="78"/>
      <c r="D196" s="78"/>
      <c r="E196" s="79"/>
    </row>
    <row r="197" spans="1:5">
      <c r="B197" s="78"/>
      <c r="C197" s="78"/>
      <c r="D197" s="78"/>
      <c r="E197" s="79"/>
    </row>
    <row r="198" spans="1:5" ht="16">
      <c r="A198" s="77" t="s">
        <v>735</v>
      </c>
      <c r="B198" s="78" t="s">
        <v>736</v>
      </c>
      <c r="C198" s="78">
        <v>3</v>
      </c>
      <c r="D198" s="78" t="s">
        <v>737</v>
      </c>
      <c r="E198" s="79" t="s">
        <v>738</v>
      </c>
    </row>
    <row r="199" spans="1:5" ht="16">
      <c r="A199" s="80" t="s">
        <v>739</v>
      </c>
      <c r="B199" s="78"/>
      <c r="C199" s="78"/>
      <c r="D199" s="78"/>
      <c r="E199" s="79"/>
    </row>
    <row r="200" spans="1:5">
      <c r="B200" s="78"/>
      <c r="C200" s="78"/>
      <c r="D200" s="78"/>
      <c r="E200" s="79"/>
    </row>
    <row r="201" spans="1:5" ht="16">
      <c r="A201" s="77" t="s">
        <v>740</v>
      </c>
      <c r="B201" s="78" t="s">
        <v>741</v>
      </c>
      <c r="C201" s="78">
        <v>1</v>
      </c>
      <c r="D201" s="78" t="s">
        <v>742</v>
      </c>
      <c r="E201" s="79" t="s">
        <v>742</v>
      </c>
    </row>
    <row r="202" spans="1:5" ht="16">
      <c r="A202" s="80" t="s">
        <v>743</v>
      </c>
      <c r="B202" s="78"/>
      <c r="C202" s="78"/>
      <c r="D202" s="78"/>
      <c r="E202" s="79"/>
    </row>
    <row r="203" spans="1:5">
      <c r="B203" s="78"/>
      <c r="C203" s="78"/>
      <c r="D203" s="78"/>
      <c r="E203" s="79"/>
    </row>
    <row r="204" spans="1:5" ht="16">
      <c r="A204" s="77" t="s">
        <v>744</v>
      </c>
      <c r="B204" s="78" t="s">
        <v>745</v>
      </c>
      <c r="C204" s="78">
        <v>1</v>
      </c>
      <c r="D204" s="78" t="s">
        <v>746</v>
      </c>
      <c r="E204" s="79" t="s">
        <v>746</v>
      </c>
    </row>
    <row r="205" spans="1:5" ht="16">
      <c r="A205" s="80" t="s">
        <v>747</v>
      </c>
      <c r="B205" s="78"/>
      <c r="C205" s="78"/>
      <c r="D205" s="78"/>
      <c r="E205" s="79"/>
    </row>
    <row r="206" spans="1:5">
      <c r="B206" s="78"/>
      <c r="C206" s="78"/>
      <c r="D206" s="78"/>
      <c r="E206" s="79"/>
    </row>
    <row r="207" spans="1:5" ht="16">
      <c r="A207" s="77" t="s">
        <v>748</v>
      </c>
      <c r="B207" s="78" t="s">
        <v>749</v>
      </c>
      <c r="C207" s="78">
        <v>2</v>
      </c>
      <c r="D207" s="78" t="s">
        <v>750</v>
      </c>
      <c r="E207" s="79" t="s">
        <v>751</v>
      </c>
    </row>
    <row r="208" spans="1:5" ht="16">
      <c r="A208" s="80" t="s">
        <v>752</v>
      </c>
      <c r="B208" s="78"/>
      <c r="C208" s="78"/>
      <c r="D208" s="78"/>
      <c r="E208" s="79"/>
    </row>
    <row r="209" spans="1:5">
      <c r="B209" s="78"/>
      <c r="C209" s="78"/>
      <c r="D209" s="78"/>
      <c r="E209" s="79"/>
    </row>
    <row r="210" spans="1:5" ht="16">
      <c r="A210" s="77" t="s">
        <v>753</v>
      </c>
      <c r="B210" s="78" t="s">
        <v>754</v>
      </c>
      <c r="C210" s="78">
        <v>1</v>
      </c>
      <c r="D210" s="78" t="s">
        <v>755</v>
      </c>
      <c r="E210" s="79" t="s">
        <v>755</v>
      </c>
    </row>
    <row r="211" spans="1:5" ht="16">
      <c r="A211" s="80" t="s">
        <v>756</v>
      </c>
      <c r="B211" s="78"/>
      <c r="C211" s="78"/>
      <c r="D211" s="78"/>
      <c r="E211" s="79"/>
    </row>
    <row r="212" spans="1:5">
      <c r="B212" s="78"/>
      <c r="C212" s="78"/>
      <c r="D212" s="78"/>
      <c r="E212" s="79"/>
    </row>
    <row r="213" spans="1:5" ht="16">
      <c r="A213" s="77" t="s">
        <v>757</v>
      </c>
      <c r="B213" s="78" t="s">
        <v>758</v>
      </c>
      <c r="C213" s="78">
        <v>10</v>
      </c>
      <c r="D213" s="78" t="s">
        <v>759</v>
      </c>
      <c r="E213" s="79" t="s">
        <v>760</v>
      </c>
    </row>
    <row r="214" spans="1:5" ht="16">
      <c r="A214" s="80" t="s">
        <v>761</v>
      </c>
      <c r="B214" s="78"/>
      <c r="C214" s="78"/>
      <c r="D214" s="78"/>
      <c r="E214" s="79"/>
    </row>
    <row r="215" spans="1:5">
      <c r="B215" s="78"/>
      <c r="C215" s="78"/>
      <c r="D215" s="78"/>
      <c r="E215" s="79"/>
    </row>
    <row r="216" spans="1:5" ht="16">
      <c r="A216" s="77" t="s">
        <v>762</v>
      </c>
      <c r="B216" s="78" t="s">
        <v>763</v>
      </c>
      <c r="C216" s="78">
        <v>1</v>
      </c>
      <c r="D216" s="78" t="s">
        <v>764</v>
      </c>
      <c r="E216" s="79" t="s">
        <v>764</v>
      </c>
    </row>
    <row r="217" spans="1:5" ht="16">
      <c r="A217" s="80" t="s">
        <v>765</v>
      </c>
      <c r="B217" s="78"/>
      <c r="C217" s="78"/>
      <c r="D217" s="78"/>
      <c r="E217" s="79"/>
    </row>
    <row r="218" spans="1:5">
      <c r="B218" s="78"/>
      <c r="C218" s="78"/>
      <c r="D218" s="78"/>
      <c r="E218" s="79"/>
    </row>
  </sheetData>
  <mergeCells count="64"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07:B209"/>
    <mergeCell ref="C207:C209"/>
    <mergeCell ref="D207:D209"/>
    <mergeCell ref="E207:E209"/>
    <mergeCell ref="B210:B212"/>
    <mergeCell ref="C210:C212"/>
    <mergeCell ref="D210:D212"/>
    <mergeCell ref="E210:E212"/>
    <mergeCell ref="B201:B203"/>
    <mergeCell ref="C201:C203"/>
    <mergeCell ref="D201:D203"/>
    <mergeCell ref="E201:E203"/>
    <mergeCell ref="B204:B206"/>
    <mergeCell ref="C204:C206"/>
    <mergeCell ref="D204:D206"/>
    <mergeCell ref="E204:E206"/>
    <mergeCell ref="B195:B197"/>
    <mergeCell ref="C195:C197"/>
    <mergeCell ref="D195:D197"/>
    <mergeCell ref="E195:E197"/>
    <mergeCell ref="B198:B200"/>
    <mergeCell ref="C198:C200"/>
    <mergeCell ref="D198:D200"/>
    <mergeCell ref="E198:E200"/>
    <mergeCell ref="B189:B191"/>
    <mergeCell ref="C189:C191"/>
    <mergeCell ref="D189:D191"/>
    <mergeCell ref="E189:E191"/>
    <mergeCell ref="B192:B194"/>
    <mergeCell ref="C192:C194"/>
    <mergeCell ref="D192:D194"/>
    <mergeCell ref="E192:E194"/>
    <mergeCell ref="B183:B185"/>
    <mergeCell ref="C183:C185"/>
    <mergeCell ref="D183:D185"/>
    <mergeCell ref="E183:E185"/>
    <mergeCell ref="B186:B188"/>
    <mergeCell ref="C186:C188"/>
    <mergeCell ref="D186:D188"/>
    <mergeCell ref="E186:E188"/>
    <mergeCell ref="B177:B179"/>
    <mergeCell ref="C177:C179"/>
    <mergeCell ref="D177:D179"/>
    <mergeCell ref="E177:E179"/>
    <mergeCell ref="B180:B182"/>
    <mergeCell ref="C180:C182"/>
    <mergeCell ref="D180:D182"/>
    <mergeCell ref="E180:E182"/>
    <mergeCell ref="B171:B173"/>
    <mergeCell ref="C171:C173"/>
    <mergeCell ref="D171:D173"/>
    <mergeCell ref="E171:E173"/>
    <mergeCell ref="B174:B176"/>
    <mergeCell ref="C174:C176"/>
    <mergeCell ref="D174:D176"/>
    <mergeCell ref="E174:E17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COGS</vt:lpstr>
      <vt:lpstr>Product Cost Basis</vt:lpstr>
      <vt:lpstr>Profit Forecast</vt:lpstr>
      <vt:lpstr>BlackSheepYoga</vt:lpstr>
      <vt:lpstr>Product Cost</vt:lpstr>
      <vt:lpstr>Cup of Joe</vt:lpstr>
      <vt:lpstr>Store Inventory</vt:lpstr>
      <vt:lpstr>Tea Pricing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Curth</dc:creator>
  <cp:lastModifiedBy>Joy Curth</cp:lastModifiedBy>
  <dcterms:created xsi:type="dcterms:W3CDTF">2018-03-31T14:45:11Z</dcterms:created>
  <dcterms:modified xsi:type="dcterms:W3CDTF">2018-03-31T15:04:11Z</dcterms:modified>
</cp:coreProperties>
</file>