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uy\OneDrive\Desktop\UTD MS FERM\3rd FALL 2020\FTEC 6334 - Machine Learning\Assignments\2\"/>
    </mc:Choice>
  </mc:AlternateContent>
  <xr:revisionPtr revIDLastSave="0" documentId="13_ncr:1_{A7EE9014-1B34-49B5-B87F-7537CB0F81EB}" xr6:coauthVersionLast="45" xr6:coauthVersionMax="45" xr10:uidLastSave="{00000000-0000-0000-0000-000000000000}"/>
  <bookViews>
    <workbookView xWindow="-90" yWindow="-90" windowWidth="19380" windowHeight="9765" activeTab="1" xr2:uid="{AB219472-A173-4942-882C-E6C36FFFB216}"/>
  </bookViews>
  <sheets>
    <sheet name="Original Data" sheetId="2" r:id="rId1"/>
    <sheet name="Part A + B + C + D" sheetId="7" r:id="rId2"/>
    <sheet name="Part E + F + G + H" sheetId="9" r:id="rId3"/>
    <sheet name="Regression - Testing result" sheetId="6" r:id="rId4"/>
  </sheets>
  <definedNames>
    <definedName name="solver_adj" localSheetId="1" hidden="1">'Part A + B + C + D'!$D$28:$D$31</definedName>
    <definedName name="solver_adj" localSheetId="2" hidden="1">'Part E + F + G + H'!#REF!</definedName>
    <definedName name="solver_adj" localSheetId="3" hidden="1">'Regression - Testing result'!#REF!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'Part A + B + C + D'!$D$33</definedName>
    <definedName name="solver_opt" localSheetId="2" hidden="1">'Part E + F + G + H'!#REF!</definedName>
    <definedName name="solver_opt" localSheetId="3" hidden="1">'Regression - Testing result'!#REF!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2" i="9" l="1"/>
  <c r="J42" i="9"/>
  <c r="I42" i="9"/>
  <c r="I39" i="9"/>
  <c r="I38" i="9"/>
  <c r="I37" i="9"/>
  <c r="I36" i="9"/>
  <c r="I35" i="9"/>
  <c r="I28" i="9" a="1"/>
  <c r="I28" i="9" s="1"/>
  <c r="J24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3" i="9"/>
  <c r="B49" i="9" a="1"/>
  <c r="B49" i="9" s="1"/>
  <c r="B42" i="9" a="1"/>
  <c r="B42" i="9" s="1"/>
  <c r="B35" i="9" a="1"/>
  <c r="B35" i="9" s="1"/>
  <c r="B28" i="9" a="1"/>
  <c r="B28" i="9" s="1"/>
  <c r="Q7" i="7"/>
  <c r="Q10" i="7"/>
  <c r="R10" i="7" s="1"/>
  <c r="S10" i="7" s="1"/>
  <c r="Q11" i="7"/>
  <c r="R11" i="7" s="1"/>
  <c r="S11" i="7" s="1"/>
  <c r="Q15" i="7"/>
  <c r="Q18" i="7"/>
  <c r="R18" i="7" s="1"/>
  <c r="S18" i="7" s="1"/>
  <c r="Q19" i="7"/>
  <c r="Q22" i="7"/>
  <c r="K22" i="7"/>
  <c r="J22" i="7"/>
  <c r="M22" i="7" s="1"/>
  <c r="E22" i="7"/>
  <c r="G22" i="7" s="1"/>
  <c r="H22" i="7" s="1"/>
  <c r="K21" i="7"/>
  <c r="J21" i="7"/>
  <c r="Q21" i="7" s="1"/>
  <c r="R21" i="7" s="1"/>
  <c r="S21" i="7" s="1"/>
  <c r="E21" i="7"/>
  <c r="G21" i="7" s="1"/>
  <c r="H21" i="7" s="1"/>
  <c r="K20" i="7"/>
  <c r="J20" i="7"/>
  <c r="M20" i="7" s="1"/>
  <c r="E20" i="7"/>
  <c r="G20" i="7" s="1"/>
  <c r="H20" i="7" s="1"/>
  <c r="K19" i="7"/>
  <c r="J19" i="7"/>
  <c r="M19" i="7" s="1"/>
  <c r="E19" i="7"/>
  <c r="G19" i="7" s="1"/>
  <c r="H19" i="7" s="1"/>
  <c r="K18" i="7"/>
  <c r="J18" i="7"/>
  <c r="M18" i="7" s="1"/>
  <c r="E18" i="7"/>
  <c r="G18" i="7" s="1"/>
  <c r="H18" i="7" s="1"/>
  <c r="K17" i="7"/>
  <c r="Q17" i="7" s="1"/>
  <c r="R17" i="7" s="1"/>
  <c r="S17" i="7" s="1"/>
  <c r="J17" i="7"/>
  <c r="E17" i="7"/>
  <c r="G17" i="7" s="1"/>
  <c r="H17" i="7" s="1"/>
  <c r="K16" i="7"/>
  <c r="J16" i="7"/>
  <c r="M16" i="7" s="1"/>
  <c r="E16" i="7"/>
  <c r="G16" i="7" s="1"/>
  <c r="H16" i="7" s="1"/>
  <c r="K15" i="7"/>
  <c r="J15" i="7"/>
  <c r="M15" i="7" s="1"/>
  <c r="E15" i="7"/>
  <c r="G15" i="7" s="1"/>
  <c r="H15" i="7" s="1"/>
  <c r="K14" i="7"/>
  <c r="J14" i="7"/>
  <c r="M14" i="7" s="1"/>
  <c r="E14" i="7"/>
  <c r="G14" i="7" s="1"/>
  <c r="H14" i="7" s="1"/>
  <c r="K13" i="7"/>
  <c r="J13" i="7"/>
  <c r="Q13" i="7" s="1"/>
  <c r="R13" i="7" s="1"/>
  <c r="S13" i="7" s="1"/>
  <c r="E13" i="7"/>
  <c r="G13" i="7" s="1"/>
  <c r="H13" i="7" s="1"/>
  <c r="K12" i="7"/>
  <c r="J12" i="7"/>
  <c r="M12" i="7" s="1"/>
  <c r="E12" i="7"/>
  <c r="G12" i="7" s="1"/>
  <c r="H12" i="7" s="1"/>
  <c r="K11" i="7"/>
  <c r="J11" i="7"/>
  <c r="M11" i="7" s="1"/>
  <c r="E11" i="7"/>
  <c r="G11" i="7" s="1"/>
  <c r="H11" i="7" s="1"/>
  <c r="K10" i="7"/>
  <c r="J10" i="7"/>
  <c r="M10" i="7" s="1"/>
  <c r="E10" i="7"/>
  <c r="G10" i="7" s="1"/>
  <c r="H10" i="7" s="1"/>
  <c r="K9" i="7"/>
  <c r="Q9" i="7" s="1"/>
  <c r="R9" i="7" s="1"/>
  <c r="S9" i="7" s="1"/>
  <c r="J9" i="7"/>
  <c r="E9" i="7"/>
  <c r="G9" i="7" s="1"/>
  <c r="H9" i="7" s="1"/>
  <c r="K8" i="7"/>
  <c r="J8" i="7"/>
  <c r="M8" i="7" s="1"/>
  <c r="E8" i="7"/>
  <c r="G8" i="7" s="1"/>
  <c r="H8" i="7" s="1"/>
  <c r="K7" i="7"/>
  <c r="J7" i="7"/>
  <c r="M7" i="7" s="1"/>
  <c r="E7" i="7"/>
  <c r="G7" i="7" s="1"/>
  <c r="H7" i="7" s="1"/>
  <c r="K6" i="7"/>
  <c r="J6" i="7"/>
  <c r="M6" i="7" s="1"/>
  <c r="E6" i="7"/>
  <c r="G6" i="7" s="1"/>
  <c r="H6" i="7" s="1"/>
  <c r="K5" i="7"/>
  <c r="J5" i="7"/>
  <c r="Q5" i="7" s="1"/>
  <c r="R5" i="7" s="1"/>
  <c r="S5" i="7" s="1"/>
  <c r="E5" i="7"/>
  <c r="G5" i="7" s="1"/>
  <c r="H5" i="7" s="1"/>
  <c r="K4" i="7"/>
  <c r="J4" i="7"/>
  <c r="M4" i="7" s="1"/>
  <c r="E4" i="7"/>
  <c r="G4" i="7" s="1"/>
  <c r="H4" i="7" s="1"/>
  <c r="K3" i="7"/>
  <c r="J3" i="7"/>
  <c r="M3" i="7" s="1"/>
  <c r="E3" i="7"/>
  <c r="G3" i="7" s="1"/>
  <c r="H3" i="7" s="1"/>
  <c r="M9" i="7" l="1"/>
  <c r="M17" i="7"/>
  <c r="Q16" i="7"/>
  <c r="R16" i="7" s="1"/>
  <c r="S16" i="7" s="1"/>
  <c r="Q8" i="7"/>
  <c r="R8" i="7" s="1"/>
  <c r="S8" i="7" s="1"/>
  <c r="R19" i="7"/>
  <c r="S19" i="7" s="1"/>
  <c r="R15" i="7"/>
  <c r="S15" i="7" s="1"/>
  <c r="R22" i="7"/>
  <c r="S22" i="7" s="1"/>
  <c r="Q14" i="7"/>
  <c r="R14" i="7" s="1"/>
  <c r="S14" i="7" s="1"/>
  <c r="Q6" i="7"/>
  <c r="R6" i="7" s="1"/>
  <c r="S6" i="7" s="1"/>
  <c r="Q3" i="7"/>
  <c r="R3" i="7" s="1"/>
  <c r="D35" i="7" s="1"/>
  <c r="R7" i="7"/>
  <c r="S7" i="7" s="1"/>
  <c r="M5" i="7"/>
  <c r="M13" i="7"/>
  <c r="M21" i="7"/>
  <c r="Q20" i="7"/>
  <c r="R20" i="7" s="1"/>
  <c r="S20" i="7" s="1"/>
  <c r="Q12" i="7"/>
  <c r="R12" i="7" s="1"/>
  <c r="S12" i="7" s="1"/>
  <c r="Q4" i="7"/>
  <c r="R4" i="7" s="1"/>
  <c r="S4" i="7" s="1"/>
  <c r="N8" i="7"/>
  <c r="O8" i="7" s="1"/>
  <c r="N16" i="7"/>
  <c r="O16" i="7" s="1"/>
  <c r="N10" i="7"/>
  <c r="O10" i="7" s="1"/>
  <c r="N18" i="7"/>
  <c r="O18" i="7" s="1"/>
  <c r="N9" i="7"/>
  <c r="O9" i="7" s="1"/>
  <c r="N17" i="7"/>
  <c r="O17" i="7" s="1"/>
  <c r="N4" i="7"/>
  <c r="O4" i="7" s="1"/>
  <c r="N12" i="7"/>
  <c r="O12" i="7" s="1"/>
  <c r="N20" i="7"/>
  <c r="O20" i="7" s="1"/>
  <c r="N7" i="7"/>
  <c r="O7" i="7" s="1"/>
  <c r="N15" i="7"/>
  <c r="O15" i="7" s="1"/>
  <c r="N5" i="7"/>
  <c r="O5" i="7" s="1"/>
  <c r="N13" i="7"/>
  <c r="O13" i="7" s="1"/>
  <c r="N21" i="7"/>
  <c r="O21" i="7" s="1"/>
  <c r="N3" i="7"/>
  <c r="N11" i="7"/>
  <c r="O11" i="7" s="1"/>
  <c r="N19" i="7"/>
  <c r="O19" i="7" s="1"/>
  <c r="N6" i="7"/>
  <c r="O6" i="7" s="1"/>
  <c r="N14" i="7"/>
  <c r="O14" i="7" s="1"/>
  <c r="N22" i="7"/>
  <c r="O22" i="7" s="1"/>
  <c r="S3" i="7" l="1"/>
  <c r="D33" i="7" s="1"/>
  <c r="D34" i="7"/>
  <c r="C34" i="7"/>
  <c r="C35" i="7"/>
  <c r="O3" i="7"/>
  <c r="C3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<sst xmlns="http://schemas.openxmlformats.org/spreadsheetml/2006/main" count="146" uniqueCount="88">
  <si>
    <t>Remodeled</t>
  </si>
  <si>
    <t>Neighborhood</t>
  </si>
  <si>
    <t>Age</t>
  </si>
  <si>
    <t>Price</t>
  </si>
  <si>
    <t>Area (SQFT)</t>
  </si>
  <si>
    <t>Y</t>
  </si>
  <si>
    <t>New</t>
  </si>
  <si>
    <t>Encoded Remodeled</t>
  </si>
  <si>
    <t>Calculated Price</t>
  </si>
  <si>
    <t>Adjusted Price</t>
  </si>
  <si>
    <t>Encoded Neighborhood 1</t>
  </si>
  <si>
    <t>Encoded Neighborhood 2</t>
  </si>
  <si>
    <t>Intercept</t>
  </si>
  <si>
    <t>Error</t>
  </si>
  <si>
    <t>Simulated Error
=NORMINV(RAND(), 5000, 2000)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</si>
  <si>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</si>
  <si>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</si>
  <si>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</si>
  <si>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</si>
  <si>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</si>
  <si>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</si>
  <si>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</si>
  <si>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</si>
  <si>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</si>
  <si>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</si>
  <si>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</si>
  <si>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</si>
  <si>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</si>
  <si>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</si>
  <si>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</si>
  <si>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</si>
  <si>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</si>
  <si>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</si>
  <si>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</si>
  <si>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</si>
  <si>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</si>
  <si>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</si>
  <si>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</si>
  <si>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Area</t>
  </si>
  <si>
    <t>Estimate with intercept</t>
  </si>
  <si>
    <t>b0</t>
  </si>
  <si>
    <t>b1</t>
  </si>
  <si>
    <t>b2</t>
  </si>
  <si>
    <t>b3</t>
  </si>
  <si>
    <t>b4</t>
  </si>
  <si>
    <t>Intercept =</t>
  </si>
  <si>
    <t>Coefficients Area =</t>
  </si>
  <si>
    <t>Coefficients Age =</t>
  </si>
  <si>
    <t>Coefficients Neighbor 1  =</t>
  </si>
  <si>
    <t>Coefficients Neighbor 2 =</t>
  </si>
  <si>
    <t>Part B</t>
  </si>
  <si>
    <t>Part D</t>
  </si>
  <si>
    <t>Part B. With Intercept</t>
  </si>
  <si>
    <t>Part A. Simulate Actual Price</t>
  </si>
  <si>
    <t>Error ^ 2</t>
  </si>
  <si>
    <t>SSE</t>
  </si>
  <si>
    <t>Average of Error</t>
  </si>
  <si>
    <t>St.dev of Errors</t>
  </si>
  <si>
    <t>-</t>
  </si>
  <si>
    <t>Part D. Without Intercept</t>
  </si>
  <si>
    <t>Estimate without intercept</t>
  </si>
  <si>
    <t xml:space="preserve">--&gt; Only intercept model can satisfy the concept of Average Model's Error equals 0 </t>
  </si>
  <si>
    <t>Golden Rule of Beta Hat: β ̂=〖(𝑋′𝑋)〗^(−1) 𝑋′ 𝑌</t>
  </si>
  <si>
    <t>Xs</t>
  </si>
  <si>
    <t>X'X</t>
  </si>
  <si>
    <t>(X'X)^(-1)</t>
  </si>
  <si>
    <t>X'Y</t>
  </si>
  <si>
    <t>Variance of Errors</t>
  </si>
  <si>
    <r>
      <t xml:space="preserve">Variance - Covariance Matrix = </t>
    </r>
    <r>
      <rPr>
        <b/>
        <sz val="11"/>
        <color theme="1"/>
        <rFont val="Calibri"/>
        <family val="2"/>
      </rPr>
      <t>σ^2(X'X)^(-1)</t>
    </r>
  </si>
  <si>
    <t>t-stat = β / st.dev of β</t>
  </si>
  <si>
    <t>Critical Value</t>
  </si>
  <si>
    <t>Lower</t>
  </si>
  <si>
    <t>Upper</t>
  </si>
  <si>
    <t>Statistically significant</t>
  </si>
  <si>
    <t>Yes</t>
  </si>
  <si>
    <t>No</t>
  </si>
  <si>
    <t>Hypothesis</t>
  </si>
  <si>
    <t>H0</t>
  </si>
  <si>
    <t>H1</t>
  </si>
  <si>
    <t>Coefficient = 0 
--&gt; insignificant</t>
  </si>
  <si>
    <t>Coefficient not equal 0
--&gt; significant</t>
  </si>
  <si>
    <t>--&gt; Reject H0 if t-stat lies outside the range of critical value --&gt; Significant</t>
  </si>
  <si>
    <t>Model</t>
  </si>
  <si>
    <t>Model (Using only significant coefficients)</t>
  </si>
  <si>
    <t>Price = 3048 + 157 * Area + 38568 * Neighbor1 - 11954 * Neighbor2 - 2812 * Age</t>
  </si>
  <si>
    <t>Neighbor1 
(House in Neighbor 3)</t>
  </si>
  <si>
    <t>Price = b1 * Area + b2 * Neighbor1 + b4 * Age</t>
  </si>
  <si>
    <t>Actual Price (Adjusted for Neighbor 1 &amp;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</si>
</sst>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9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Continuous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/>
    <xf numFmtId="0" fontId="0" fillId="0" borderId="7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12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7" fillId="0" borderId="0" xfId="0" applyNumberFormat="1" applyFont="1"/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2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0" fontId="1" fillId="2" borderId="4" xfId="0" applyNumberFormat="1" applyFont="1" applyFill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Fill="1"/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/>
    <xf numFmtId="0" fontId="0" fillId="0" borderId="0" xfId="0" applyNumberFormat="1" applyFill="1" applyBorder="1" applyAlignment="1">
      <alignment horizontal="center"/>
    </xf>
    <xf numFmtId="0" fontId="5" fillId="0" borderId="0" xfId="0" applyNumberFormat="1" applyFont="1" applyBorder="1" applyAlignment="1">
      <alignment horizontal="right" vertical="center"/>
    </xf>
    <xf numFmtId="0" fontId="5" fillId="0" borderId="0" xfId="0" applyNumberFormat="1" applyFont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1" fillId="0" borderId="5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0" fillId="0" borderId="0" xfId="0" quotePrefix="1" applyNumberFormat="1"/>
    <xf numFmtId="0" fontId="0" fillId="0" borderId="12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12" xfId="0" applyNumberFormat="1" applyFont="1" applyBorder="1" applyAlignment="1">
      <alignment horizontal="center"/>
    </xf>
    <xf numFmtId="0" fontId="0" fillId="0" borderId="13" xfId="0" applyNumberFormat="1" applyFont="1" applyBorder="1" applyAlignment="1">
      <alignment horizontal="center"/>
    </xf>
    <xf numFmtId="0" fontId="0" fillId="0" borderId="14" xfId="0" applyNumberFormat="1" applyFont="1" applyBorder="1" applyAlignment="1">
      <alignment horizontal="center"/>
    </xf>
    <xf numFmtId="0" fontId="0" fillId="0" borderId="12" xfId="0" quotePrefix="1" applyNumberFormat="1" applyFont="1" applyBorder="1" applyAlignment="1">
      <alignment horizontal="center"/>
    </xf>
    <xf numFmtId="0" fontId="1" fillId="0" borderId="0" xfId="0" quotePrefix="1" applyNumberFormat="1" applyFont="1" applyAlignment="1">
      <alignment horizontal="center" vertical="center"/>
    </xf>
    <xf numFmtId="0" fontId="0" fillId="0" borderId="15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0" fillId="0" borderId="13" xfId="0" applyNumberFormat="1" applyFill="1" applyBorder="1" applyAlignment="1">
      <alignment horizontal="center" vertical="center"/>
    </xf>
    <xf numFmtId="0" fontId="0" fillId="0" borderId="14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wrapText="1"/>
    </xf>
    <xf numFmtId="0" fontId="8" fillId="0" borderId="0" xfId="0" applyNumberFormat="1" applyFont="1" applyAlignment="1">
      <alignment horizontal="left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quotePrefix="1" applyNumberFormat="1" applyAlignment="1">
      <alignment horizontal="center" vertical="center"/>
    </xf>
    <xf numFmtId="0" fontId="1" fillId="2" borderId="0" xfId="0" quotePrefix="1" applyNumberFormat="1" applyFont="1" applyFill="1" applyAlignment="1">
      <alignment horizontal="center"/>
    </xf>
    <xf numFmtId="44" fontId="1" fillId="2" borderId="0" xfId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/>
    </xf>
    <xf numFmtId="0" fontId="0" fillId="3" borderId="8" xfId="0" quotePrefix="1" applyNumberFormat="1" applyFill="1" applyBorder="1" applyAlignment="1">
      <alignment horizontal="left" vertical="center"/>
    </xf>
    <xf numFmtId="0" fontId="0" fillId="3" borderId="0" xfId="0" quotePrefix="1" applyNumberFormat="1" applyFill="1" applyBorder="1" applyAlignment="1">
      <alignment horizontal="left" vertical="center"/>
    </xf>
    <xf numFmtId="0" fontId="1" fillId="0" borderId="0" xfId="0" applyNumberFormat="1" applyFont="1" applyAlignment="1">
      <alignment horizontal="center"/>
    </xf>
    <xf numFmtId="0" fontId="1" fillId="2" borderId="0" xfId="0" applyNumberFormat="1" applyFont="1" applyFill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0" fillId="3" borderId="0" xfId="0" quotePrefix="1" applyNumberFormat="1" applyFill="1" applyAlignment="1"/>
    <xf numFmtId="0" fontId="0" fillId="0" borderId="0" xfId="0" quotePrefix="1" applyNumberFormat="1" applyFill="1" applyAlignment="1"/>
    <xf numFmtId="0" fontId="0" fillId="3" borderId="0" xfId="0" quotePrefix="1" applyNumberFormat="1" applyFill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64B5-7711-4566-9B07-7419F0C55504}">
  <dimension ref="A1:H21"/>
  <sheetViews>
    <sheetView workbookViewId="0">
      <selection activeCell="C32" sqref="C32"/>
    </sheetView>
  </sheetViews>
  <sheetFormatPr defaultRowHeight="14.75" x14ac:dyDescent="0.75"/>
  <cols>
    <col min="1" max="5" width="15.7265625" style="2" customWidth="1"/>
    <col min="6" max="6" width="13" customWidth="1"/>
    <col min="7" max="7" width="11.86328125" style="2" customWidth="1"/>
    <col min="8" max="8" width="12" bestFit="1" customWidth="1"/>
  </cols>
  <sheetData>
    <row r="1" spans="1:8" x14ac:dyDescent="0.7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</row>
    <row r="2" spans="1:8" x14ac:dyDescent="0.75">
      <c r="A2" s="2">
        <v>1500</v>
      </c>
      <c r="C2" s="2">
        <v>2</v>
      </c>
      <c r="D2" s="2">
        <v>20</v>
      </c>
      <c r="F2" s="2"/>
    </row>
    <row r="3" spans="1:8" x14ac:dyDescent="0.75">
      <c r="A3" s="2">
        <v>2500</v>
      </c>
      <c r="C3" s="2">
        <v>2</v>
      </c>
      <c r="D3" s="2" t="s">
        <v>6</v>
      </c>
      <c r="F3" s="2"/>
    </row>
    <row r="4" spans="1:8" x14ac:dyDescent="0.75">
      <c r="A4" s="2">
        <v>5000</v>
      </c>
      <c r="C4" s="2">
        <v>3</v>
      </c>
      <c r="D4" s="2">
        <v>14</v>
      </c>
      <c r="F4" s="2"/>
    </row>
    <row r="5" spans="1:8" x14ac:dyDescent="0.75">
      <c r="A5" s="2">
        <v>4700</v>
      </c>
      <c r="B5" s="2" t="s">
        <v>5</v>
      </c>
      <c r="C5" s="2">
        <v>3</v>
      </c>
      <c r="D5" s="2">
        <v>12</v>
      </c>
      <c r="F5" s="2"/>
    </row>
    <row r="6" spans="1:8" x14ac:dyDescent="0.75">
      <c r="A6" s="2">
        <v>3500</v>
      </c>
      <c r="C6" s="2">
        <v>3</v>
      </c>
      <c r="D6" s="2">
        <v>5</v>
      </c>
      <c r="F6" s="2"/>
    </row>
    <row r="7" spans="1:8" x14ac:dyDescent="0.75">
      <c r="A7" s="2">
        <v>1000</v>
      </c>
      <c r="C7" s="2">
        <v>1</v>
      </c>
      <c r="D7" s="2">
        <v>25</v>
      </c>
      <c r="F7" s="2"/>
    </row>
    <row r="8" spans="1:8" x14ac:dyDescent="0.75">
      <c r="A8" s="2">
        <v>1500</v>
      </c>
      <c r="C8" s="2">
        <v>2</v>
      </c>
      <c r="D8" s="2">
        <v>4</v>
      </c>
      <c r="F8" s="2"/>
    </row>
    <row r="9" spans="1:8" x14ac:dyDescent="0.75">
      <c r="A9" s="2">
        <v>1600</v>
      </c>
      <c r="B9" s="2" t="s">
        <v>5</v>
      </c>
      <c r="C9" s="2">
        <v>3</v>
      </c>
      <c r="D9" s="2">
        <v>3</v>
      </c>
      <c r="F9" s="2"/>
    </row>
    <row r="10" spans="1:8" x14ac:dyDescent="0.75">
      <c r="A10" s="2">
        <v>2000</v>
      </c>
      <c r="C10" s="2">
        <v>1</v>
      </c>
      <c r="D10" s="2">
        <v>1</v>
      </c>
      <c r="F10" s="2"/>
    </row>
    <row r="11" spans="1:8" x14ac:dyDescent="0.75">
      <c r="A11" s="2">
        <v>3000</v>
      </c>
      <c r="C11" s="2">
        <v>1</v>
      </c>
      <c r="D11" s="2" t="s">
        <v>6</v>
      </c>
      <c r="F11" s="2"/>
    </row>
    <row r="12" spans="1:8" x14ac:dyDescent="0.75">
      <c r="A12" s="2">
        <v>3600</v>
      </c>
      <c r="C12" s="2">
        <v>2</v>
      </c>
      <c r="D12" s="2">
        <v>10</v>
      </c>
      <c r="F12" s="2"/>
    </row>
    <row r="13" spans="1:8" x14ac:dyDescent="0.75">
      <c r="A13" s="2">
        <v>4100</v>
      </c>
      <c r="C13" s="2">
        <v>2</v>
      </c>
      <c r="D13" s="2">
        <v>35</v>
      </c>
      <c r="F13" s="2"/>
    </row>
    <row r="14" spans="1:8" x14ac:dyDescent="0.75">
      <c r="A14" s="2">
        <v>4300</v>
      </c>
      <c r="B14" s="2" t="s">
        <v>5</v>
      </c>
      <c r="C14" s="2">
        <v>2</v>
      </c>
      <c r="D14" s="2">
        <v>22</v>
      </c>
      <c r="F14" s="2"/>
    </row>
    <row r="15" spans="1:8" x14ac:dyDescent="0.75">
      <c r="A15" s="2">
        <v>6000</v>
      </c>
      <c r="C15" s="2">
        <v>1</v>
      </c>
      <c r="D15" s="2">
        <v>12</v>
      </c>
      <c r="F15" s="2"/>
    </row>
    <row r="16" spans="1:8" x14ac:dyDescent="0.75">
      <c r="A16" s="2">
        <v>8000</v>
      </c>
      <c r="C16" s="2">
        <v>3</v>
      </c>
      <c r="D16" s="2">
        <v>28</v>
      </c>
      <c r="F16" s="2"/>
    </row>
    <row r="17" spans="1:6" x14ac:dyDescent="0.75">
      <c r="A17" s="2">
        <v>6700</v>
      </c>
      <c r="C17" s="2">
        <v>1</v>
      </c>
      <c r="D17" s="2">
        <v>6</v>
      </c>
      <c r="F17" s="2"/>
    </row>
    <row r="18" spans="1:6" x14ac:dyDescent="0.75">
      <c r="A18" s="2">
        <v>1400</v>
      </c>
      <c r="C18" s="2">
        <v>1</v>
      </c>
      <c r="D18" s="2">
        <v>4</v>
      </c>
      <c r="F18" s="2"/>
    </row>
    <row r="19" spans="1:6" x14ac:dyDescent="0.75">
      <c r="A19" s="2">
        <v>1800</v>
      </c>
      <c r="B19" s="2" t="s">
        <v>5</v>
      </c>
      <c r="C19" s="2">
        <v>1</v>
      </c>
      <c r="D19" s="2">
        <v>9</v>
      </c>
      <c r="F19" s="2"/>
    </row>
    <row r="20" spans="1:6" x14ac:dyDescent="0.75">
      <c r="A20" s="2">
        <v>2200</v>
      </c>
      <c r="C20" s="2">
        <v>1</v>
      </c>
      <c r="D20" s="2">
        <v>11</v>
      </c>
      <c r="F20" s="2"/>
    </row>
    <row r="21" spans="1:6" x14ac:dyDescent="0.75">
      <c r="A21" s="2">
        <v>2800</v>
      </c>
      <c r="C21" s="2">
        <v>1</v>
      </c>
      <c r="D21" s="2" t="s">
        <v>6</v>
      </c>
      <c r="F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D70E-2FDA-46F0-BC18-E35DF4A46228}">
  <dimension ref="A1:W37"/>
  <sheetViews>
    <sheetView tabSelected="1" zoomScale="63" workbookViewId="0">
      <selection activeCell="G38" sqref="G38"/>
    </sheetView>
  </sheetViews>
  <sheetFormatPr defaultColWidth="9.1328125" defaultRowHeight="14.75" x14ac:dyDescent="0.75"/>
  <cols>
    <col min="1" max="1" width="24.1328125" style="6" customWidth="1"/>
    <col min="2" max="2" width="12.26953125" style="6" customWidth="1"/>
    <col min="3" max="4" width="14.26953125" style="6" customWidth="1"/>
    <col min="5" max="5" width="11.7265625" style="6" customWidth="1"/>
    <col min="6" max="6" width="32.86328125" style="6" customWidth="1"/>
    <col min="7" max="7" width="11.86328125" style="6" customWidth="1"/>
    <col min="8" max="8" width="14.40625" style="31" customWidth="1"/>
    <col min="9" max="9" width="3.26953125" style="6" customWidth="1"/>
    <col min="10" max="11" width="17.1328125" style="31" customWidth="1"/>
    <col min="12" max="12" width="3.26953125" style="31" customWidth="1"/>
    <col min="13" max="13" width="10.40625" style="31" customWidth="1"/>
    <col min="14" max="15" width="14.40625" style="31" customWidth="1"/>
    <col min="16" max="16" width="3.1328125" style="31" customWidth="1"/>
    <col min="17" max="17" width="10" style="31" customWidth="1"/>
    <col min="18" max="19" width="14.26953125" style="31" customWidth="1"/>
    <col min="20" max="22" width="9.1328125" style="31"/>
    <col min="23" max="23" width="14.1328125" style="31" customWidth="1"/>
    <col min="24" max="16384" width="9.1328125" style="31"/>
  </cols>
  <sheetData>
    <row r="1" spans="1:23" x14ac:dyDescent="0.75">
      <c r="A1" s="85" t="s">
        <v>53</v>
      </c>
      <c r="B1" s="85"/>
      <c r="C1" s="85"/>
      <c r="D1" s="85"/>
      <c r="E1" s="85"/>
      <c r="F1" s="85"/>
      <c r="G1" s="85"/>
      <c r="H1" s="85"/>
      <c r="M1" s="85" t="s">
        <v>52</v>
      </c>
      <c r="N1" s="85"/>
      <c r="O1" s="85"/>
      <c r="Q1" s="85" t="s">
        <v>59</v>
      </c>
      <c r="R1" s="85"/>
      <c r="S1" s="85"/>
    </row>
    <row r="2" spans="1:23" s="37" customFormat="1" ht="59" x14ac:dyDescent="0.75">
      <c r="A2" s="32" t="s">
        <v>4</v>
      </c>
      <c r="B2" s="32" t="s">
        <v>0</v>
      </c>
      <c r="C2" s="32" t="s">
        <v>1</v>
      </c>
      <c r="D2" s="32" t="s">
        <v>2</v>
      </c>
      <c r="E2" s="33" t="s">
        <v>7</v>
      </c>
      <c r="F2" s="33" t="s">
        <v>14</v>
      </c>
      <c r="G2" s="33" t="s">
        <v>8</v>
      </c>
      <c r="H2" s="33" t="s">
        <v>87</v>
      </c>
      <c r="I2" s="32"/>
      <c r="J2" s="33" t="s">
        <v>10</v>
      </c>
      <c r="K2" s="33" t="s">
        <v>11</v>
      </c>
      <c r="L2" s="34"/>
      <c r="M2" s="35" t="s">
        <v>39</v>
      </c>
      <c r="N2" s="35" t="s">
        <v>13</v>
      </c>
      <c r="O2" s="35" t="s">
        <v>54</v>
      </c>
      <c r="P2" s="36"/>
      <c r="Q2" s="35" t="s">
        <v>60</v>
      </c>
      <c r="R2" s="35" t="s">
        <v>13</v>
      </c>
      <c r="S2" s="35" t="s">
        <v>54</v>
      </c>
      <c r="U2" s="33"/>
      <c r="V2" s="32"/>
      <c r="W2" s="32"/>
    </row>
    <row r="3" spans="1:23" x14ac:dyDescent="0.75">
      <c r="A3" s="6">
        <v>1500</v>
      </c>
      <c r="C3" s="6">
        <v>2</v>
      </c>
      <c r="D3" s="6">
        <v>20</v>
      </c>
      <c r="E3" s="6">
        <f>IF(B3="Y", 1, 0)</f>
        <v>0</v>
      </c>
      <c r="F3" s="6">
        <v>5042.6070941412845</v>
      </c>
      <c r="G3" s="6">
        <f>A3*150+E3*50000-D3*2000+F3</f>
        <v>190042.60709414128</v>
      </c>
      <c r="H3" s="6">
        <f>IF(C3=1, G3+15*A3, IF(C3=2, G3-5*A3, G3))</f>
        <v>182542.60709414128</v>
      </c>
      <c r="J3" s="6">
        <f>IF(C3=1,1,0)</f>
        <v>0</v>
      </c>
      <c r="K3" s="6">
        <f>IF(C3=2,1,0)</f>
        <v>1</v>
      </c>
      <c r="L3" s="38"/>
      <c r="M3" s="39">
        <f xml:space="preserve"> C$27 + C$28*A3 + C$29*J3 + C$30*K3 + C$31*D3</f>
        <v>170350.21351516835</v>
      </c>
      <c r="N3" s="39">
        <f>H3 - M3</f>
        <v>12192.393578972929</v>
      </c>
      <c r="O3" s="39">
        <f xml:space="preserve"> N3 ^ 2</f>
        <v>148654461.18458033</v>
      </c>
      <c r="P3" s="38"/>
      <c r="Q3" s="40">
        <f xml:space="preserve"> D$28*A3 + D$29*J3 + D$30*K3 + D$31*D3</f>
        <v>169874.63155016047</v>
      </c>
      <c r="R3" s="40">
        <f>H3 - Q3</f>
        <v>12667.975543980807</v>
      </c>
      <c r="S3" s="40">
        <f xml:space="preserve"> R3 ^ 2</f>
        <v>160477604.38289583</v>
      </c>
      <c r="U3" s="40"/>
    </row>
    <row r="4" spans="1:23" x14ac:dyDescent="0.75">
      <c r="A4" s="6">
        <v>2500</v>
      </c>
      <c r="C4" s="6">
        <v>2</v>
      </c>
      <c r="D4" s="6">
        <v>0</v>
      </c>
      <c r="E4" s="6">
        <f t="shared" ref="E4:E22" si="0">IF(B4="Y", 1, 0)</f>
        <v>0</v>
      </c>
      <c r="F4" s="6">
        <v>8273.8350706486708</v>
      </c>
      <c r="G4" s="6">
        <f t="shared" ref="G4:G22" si="1">A4*150+E4*50000-D4*2000+F4</f>
        <v>383273.8350706487</v>
      </c>
      <c r="H4" s="6">
        <f t="shared" ref="H4:H22" si="2">IF(C4=1, G4+15*A4, IF(C4=2, G4-5*A4, G4))</f>
        <v>370773.8350706487</v>
      </c>
      <c r="J4" s="6">
        <f t="shared" ref="J4:J22" si="3">IF(C4=1,1,0)</f>
        <v>0</v>
      </c>
      <c r="K4" s="6">
        <f t="shared" ref="K4:K22" si="4">IF(C4=2,1,0)</f>
        <v>1</v>
      </c>
      <c r="M4" s="39">
        <f t="shared" ref="M4:M22" si="5" xml:space="preserve"> C$27 + C$28*A4 + C$29*J4 + C$30*K4 + C$31*D4</f>
        <v>383576.3601728683</v>
      </c>
      <c r="N4" s="39">
        <f t="shared" ref="N4:N22" si="6">H4 - M4</f>
        <v>-12802.525102219603</v>
      </c>
      <c r="O4" s="39">
        <f t="shared" ref="O4:O22" si="7" xml:space="preserve"> N4 ^ 2</f>
        <v>163904648.99296305</v>
      </c>
      <c r="P4" s="38"/>
      <c r="Q4" s="40">
        <f t="shared" ref="Q4:Q22" si="8" xml:space="preserve"> D$28*A4 + D$29*J4 + D$30*K4 + D$31*D4</f>
        <v>383201.4124966691</v>
      </c>
      <c r="R4" s="40">
        <f t="shared" ref="R4:R22" si="9">H4 - Q4</f>
        <v>-12427.577426020405</v>
      </c>
      <c r="S4" s="40">
        <f t="shared" ref="S4:S22" si="10" xml:space="preserve"> R4 ^ 2</f>
        <v>154444680.67973197</v>
      </c>
      <c r="U4" s="40"/>
    </row>
    <row r="5" spans="1:23" x14ac:dyDescent="0.75">
      <c r="A5" s="6">
        <v>5000</v>
      </c>
      <c r="C5" s="6">
        <v>3</v>
      </c>
      <c r="D5" s="6">
        <v>14</v>
      </c>
      <c r="E5" s="6">
        <f t="shared" si="0"/>
        <v>0</v>
      </c>
      <c r="F5" s="6">
        <v>4732.6185671133953</v>
      </c>
      <c r="G5" s="6">
        <f t="shared" si="1"/>
        <v>726732.61856711342</v>
      </c>
      <c r="H5" s="6">
        <f t="shared" si="2"/>
        <v>726732.61856711342</v>
      </c>
      <c r="J5" s="6">
        <f t="shared" si="3"/>
        <v>0</v>
      </c>
      <c r="K5" s="6">
        <f t="shared" si="4"/>
        <v>0</v>
      </c>
      <c r="M5" s="39">
        <f t="shared" si="5"/>
        <v>748649.35075817758</v>
      </c>
      <c r="N5" s="39">
        <f t="shared" si="6"/>
        <v>-21916.732191064162</v>
      </c>
      <c r="O5" s="39">
        <f t="shared" si="7"/>
        <v>480343149.9348281</v>
      </c>
      <c r="Q5" s="40">
        <f t="shared" si="8"/>
        <v>747719.87479532487</v>
      </c>
      <c r="R5" s="40">
        <f t="shared" si="9"/>
        <v>-20987.256228211452</v>
      </c>
      <c r="S5" s="40">
        <f t="shared" si="10"/>
        <v>440464923.98860037</v>
      </c>
      <c r="U5" s="40"/>
    </row>
    <row r="6" spans="1:23" x14ac:dyDescent="0.75">
      <c r="A6" s="6">
        <v>4700</v>
      </c>
      <c r="B6" s="6" t="s">
        <v>5</v>
      </c>
      <c r="C6" s="6">
        <v>3</v>
      </c>
      <c r="D6" s="6">
        <v>12</v>
      </c>
      <c r="E6" s="6">
        <f t="shared" si="0"/>
        <v>1</v>
      </c>
      <c r="F6" s="6">
        <v>5804.5603178154925</v>
      </c>
      <c r="G6" s="6">
        <f t="shared" si="1"/>
        <v>736804.56031781551</v>
      </c>
      <c r="H6" s="6">
        <f t="shared" si="2"/>
        <v>736804.56031781551</v>
      </c>
      <c r="J6" s="6">
        <f t="shared" si="3"/>
        <v>0</v>
      </c>
      <c r="K6" s="6">
        <f t="shared" si="4"/>
        <v>0</v>
      </c>
      <c r="M6" s="39">
        <f t="shared" si="5"/>
        <v>707174.76968589542</v>
      </c>
      <c r="N6" s="39">
        <f t="shared" si="6"/>
        <v>29629.790631920099</v>
      </c>
      <c r="O6" s="39">
        <f t="shared" si="7"/>
        <v>877924492.89142013</v>
      </c>
      <c r="Q6" s="40">
        <f t="shared" si="8"/>
        <v>706101.7724367911</v>
      </c>
      <c r="R6" s="40">
        <f t="shared" si="9"/>
        <v>30702.787881024415</v>
      </c>
      <c r="S6" s="40">
        <f t="shared" si="10"/>
        <v>942661183.6671797</v>
      </c>
      <c r="U6" s="40"/>
    </row>
    <row r="7" spans="1:23" x14ac:dyDescent="0.75">
      <c r="A7" s="6">
        <v>3500</v>
      </c>
      <c r="C7" s="6">
        <v>3</v>
      </c>
      <c r="D7" s="6">
        <v>5</v>
      </c>
      <c r="E7" s="6">
        <f t="shared" si="0"/>
        <v>0</v>
      </c>
      <c r="F7" s="6">
        <v>6175.0398056788335</v>
      </c>
      <c r="G7" s="6">
        <f t="shared" si="1"/>
        <v>521175.03980567883</v>
      </c>
      <c r="H7" s="6">
        <f t="shared" si="2"/>
        <v>521175.03980567883</v>
      </c>
      <c r="J7" s="6">
        <f t="shared" si="3"/>
        <v>0</v>
      </c>
      <c r="K7" s="6">
        <f t="shared" si="4"/>
        <v>0</v>
      </c>
      <c r="M7" s="39">
        <f t="shared" si="5"/>
        <v>538464.7875311384</v>
      </c>
      <c r="N7" s="39">
        <f t="shared" si="6"/>
        <v>-17289.747725459572</v>
      </c>
      <c r="O7" s="39">
        <f t="shared" si="7"/>
        <v>298935376.41003448</v>
      </c>
      <c r="Q7" s="40">
        <f t="shared" si="8"/>
        <v>536831.8715119788</v>
      </c>
      <c r="R7" s="40">
        <f t="shared" si="9"/>
        <v>-15656.83170629997</v>
      </c>
      <c r="S7" s="40">
        <f t="shared" si="10"/>
        <v>245136379.07940003</v>
      </c>
      <c r="U7" s="40"/>
    </row>
    <row r="8" spans="1:23" x14ac:dyDescent="0.75">
      <c r="A8" s="6">
        <v>1000</v>
      </c>
      <c r="C8" s="6">
        <v>1</v>
      </c>
      <c r="D8" s="6">
        <v>25</v>
      </c>
      <c r="E8" s="6">
        <f t="shared" si="0"/>
        <v>0</v>
      </c>
      <c r="F8" s="6">
        <v>5898.4297478039098</v>
      </c>
      <c r="G8" s="6">
        <f t="shared" si="1"/>
        <v>105898.42974780391</v>
      </c>
      <c r="H8" s="6">
        <f t="shared" si="2"/>
        <v>120898.42974780391</v>
      </c>
      <c r="J8" s="6">
        <f t="shared" si="3"/>
        <v>1</v>
      </c>
      <c r="K8" s="6">
        <f t="shared" si="4"/>
        <v>0</v>
      </c>
      <c r="M8" s="39">
        <f t="shared" si="5"/>
        <v>128317.89059320185</v>
      </c>
      <c r="N8" s="39">
        <f t="shared" si="6"/>
        <v>-7419.4608453979454</v>
      </c>
      <c r="O8" s="39">
        <f t="shared" si="7"/>
        <v>55048399.236393191</v>
      </c>
      <c r="Q8" s="40">
        <f t="shared" si="8"/>
        <v>127800.9039660054</v>
      </c>
      <c r="R8" s="40">
        <f t="shared" si="9"/>
        <v>-6902.4742182014888</v>
      </c>
      <c r="S8" s="40">
        <f t="shared" si="10"/>
        <v>47644150.332936257</v>
      </c>
      <c r="U8" s="40"/>
    </row>
    <row r="9" spans="1:23" x14ac:dyDescent="0.75">
      <c r="A9" s="6">
        <v>1500</v>
      </c>
      <c r="C9" s="6">
        <v>2</v>
      </c>
      <c r="D9" s="6">
        <v>4</v>
      </c>
      <c r="E9" s="6">
        <f t="shared" si="0"/>
        <v>0</v>
      </c>
      <c r="F9" s="6">
        <v>5014.6228857714277</v>
      </c>
      <c r="G9" s="6">
        <f t="shared" si="1"/>
        <v>222014.62288577142</v>
      </c>
      <c r="H9" s="6">
        <f t="shared" si="2"/>
        <v>214514.62288577142</v>
      </c>
      <c r="J9" s="6">
        <f t="shared" si="3"/>
        <v>0</v>
      </c>
      <c r="K9" s="6">
        <f t="shared" si="4"/>
        <v>1</v>
      </c>
      <c r="M9" s="39">
        <f t="shared" si="5"/>
        <v>215336.73936522403</v>
      </c>
      <c r="N9" s="39">
        <f t="shared" si="6"/>
        <v>-822.11647945261211</v>
      </c>
      <c r="O9" s="39">
        <f t="shared" si="7"/>
        <v>675875.50578755722</v>
      </c>
      <c r="Q9" s="40">
        <f t="shared" si="8"/>
        <v>214634.4954009981</v>
      </c>
      <c r="R9" s="40">
        <f t="shared" si="9"/>
        <v>-119.87251522668521</v>
      </c>
      <c r="S9" s="40">
        <f t="shared" si="10"/>
        <v>14369.419906771878</v>
      </c>
      <c r="U9" s="40"/>
    </row>
    <row r="10" spans="1:23" x14ac:dyDescent="0.75">
      <c r="A10" s="6">
        <v>1600</v>
      </c>
      <c r="B10" s="6" t="s">
        <v>5</v>
      </c>
      <c r="C10" s="6">
        <v>3</v>
      </c>
      <c r="D10" s="6">
        <v>3</v>
      </c>
      <c r="E10" s="6">
        <f t="shared" si="0"/>
        <v>1</v>
      </c>
      <c r="F10" s="6">
        <v>1393.9445438716298</v>
      </c>
      <c r="G10" s="6">
        <f t="shared" si="1"/>
        <v>285393.94454387162</v>
      </c>
      <c r="H10" s="6">
        <f t="shared" si="2"/>
        <v>285393.94454387162</v>
      </c>
      <c r="J10" s="6">
        <f t="shared" si="3"/>
        <v>0</v>
      </c>
      <c r="K10" s="6">
        <f t="shared" si="4"/>
        <v>0</v>
      </c>
      <c r="M10" s="39">
        <f t="shared" si="5"/>
        <v>245801.42350664776</v>
      </c>
      <c r="N10" s="39">
        <f t="shared" si="6"/>
        <v>39592.521037223865</v>
      </c>
      <c r="O10" s="39">
        <f t="shared" si="7"/>
        <v>1567567722.0830142</v>
      </c>
      <c r="Q10" s="40">
        <f t="shared" si="8"/>
        <v>243410.64734070649</v>
      </c>
      <c r="R10" s="40">
        <f t="shared" si="9"/>
        <v>41983.29720316513</v>
      </c>
      <c r="S10" s="40">
        <f t="shared" si="10"/>
        <v>1762597244.049293</v>
      </c>
      <c r="U10" s="40"/>
    </row>
    <row r="11" spans="1:23" x14ac:dyDescent="0.75">
      <c r="A11" s="6">
        <v>2000</v>
      </c>
      <c r="C11" s="6">
        <v>1</v>
      </c>
      <c r="D11" s="6">
        <v>1</v>
      </c>
      <c r="E11" s="6">
        <f t="shared" si="0"/>
        <v>0</v>
      </c>
      <c r="F11" s="6">
        <v>6786.0231444237552</v>
      </c>
      <c r="G11" s="6">
        <f t="shared" si="1"/>
        <v>304786.02314442373</v>
      </c>
      <c r="H11" s="6">
        <f t="shared" si="2"/>
        <v>334786.02314442373</v>
      </c>
      <c r="J11" s="6">
        <f t="shared" si="3"/>
        <v>1</v>
      </c>
      <c r="K11" s="6">
        <f t="shared" si="4"/>
        <v>0</v>
      </c>
      <c r="M11" s="39">
        <f t="shared" si="5"/>
        <v>352790.66871341574</v>
      </c>
      <c r="N11" s="39">
        <f t="shared" si="6"/>
        <v>-18004.645568992011</v>
      </c>
      <c r="O11" s="39">
        <f t="shared" si="7"/>
        <v>324167262.06502366</v>
      </c>
      <c r="Q11" s="40">
        <f t="shared" si="8"/>
        <v>352317.65087522345</v>
      </c>
      <c r="R11" s="40">
        <f t="shared" si="9"/>
        <v>-17531.627730799722</v>
      </c>
      <c r="S11" s="40">
        <f t="shared" si="10"/>
        <v>307357970.8913458</v>
      </c>
      <c r="U11" s="40"/>
    </row>
    <row r="12" spans="1:23" x14ac:dyDescent="0.75">
      <c r="A12" s="6">
        <v>3000</v>
      </c>
      <c r="C12" s="6">
        <v>1</v>
      </c>
      <c r="D12" s="6">
        <v>0</v>
      </c>
      <c r="E12" s="6">
        <f t="shared" si="0"/>
        <v>0</v>
      </c>
      <c r="F12" s="6">
        <v>8309.8101893075327</v>
      </c>
      <c r="G12" s="6">
        <f t="shared" si="1"/>
        <v>458309.81018930755</v>
      </c>
      <c r="H12" s="6">
        <f t="shared" si="2"/>
        <v>503309.81018930755</v>
      </c>
      <c r="J12" s="6">
        <f t="shared" si="3"/>
        <v>1</v>
      </c>
      <c r="K12" s="6">
        <f t="shared" si="4"/>
        <v>0</v>
      </c>
      <c r="M12" s="39">
        <f t="shared" si="5"/>
        <v>512595.31592417456</v>
      </c>
      <c r="N12" s="39">
        <f t="shared" si="6"/>
        <v>-9285.5057348670089</v>
      </c>
      <c r="O12" s="39">
        <f t="shared" si="7"/>
        <v>86220616.752248108</v>
      </c>
      <c r="Q12" s="40">
        <f t="shared" si="8"/>
        <v>512492.09349886241</v>
      </c>
      <c r="R12" s="40">
        <f t="shared" si="9"/>
        <v>-9182.2833095548558</v>
      </c>
      <c r="S12" s="40">
        <f t="shared" si="10"/>
        <v>84314326.776929677</v>
      </c>
      <c r="U12" s="40"/>
    </row>
    <row r="13" spans="1:23" x14ac:dyDescent="0.75">
      <c r="A13" s="6">
        <v>3600</v>
      </c>
      <c r="C13" s="6">
        <v>2</v>
      </c>
      <c r="D13" s="6">
        <v>10</v>
      </c>
      <c r="E13" s="6">
        <f t="shared" si="0"/>
        <v>0</v>
      </c>
      <c r="F13" s="6">
        <v>5776.7772286793652</v>
      </c>
      <c r="G13" s="6">
        <f t="shared" si="1"/>
        <v>525776.77722867939</v>
      </c>
      <c r="H13" s="6">
        <f t="shared" si="2"/>
        <v>507776.77722867939</v>
      </c>
      <c r="J13" s="6">
        <f t="shared" si="3"/>
        <v>0</v>
      </c>
      <c r="K13" s="6">
        <f t="shared" si="4"/>
        <v>1</v>
      </c>
      <c r="M13" s="39">
        <f t="shared" si="5"/>
        <v>528152.06979622692</v>
      </c>
      <c r="N13" s="39">
        <f t="shared" si="6"/>
        <v>-20375.292567547527</v>
      </c>
      <c r="O13" s="39">
        <f t="shared" si="7"/>
        <v>415152547.21315747</v>
      </c>
      <c r="Q13" s="40">
        <f t="shared" si="8"/>
        <v>528341.14383615332</v>
      </c>
      <c r="R13" s="40">
        <f t="shared" si="9"/>
        <v>-20564.36660747393</v>
      </c>
      <c r="S13" s="40">
        <f t="shared" si="10"/>
        <v>422893173.96658885</v>
      </c>
      <c r="U13" s="40"/>
    </row>
    <row r="14" spans="1:23" x14ac:dyDescent="0.75">
      <c r="A14" s="6">
        <v>4100</v>
      </c>
      <c r="C14" s="6">
        <v>2</v>
      </c>
      <c r="D14" s="6">
        <v>35</v>
      </c>
      <c r="E14" s="6">
        <f t="shared" si="0"/>
        <v>0</v>
      </c>
      <c r="F14" s="6">
        <v>5110.567248726572</v>
      </c>
      <c r="G14" s="6">
        <f t="shared" si="1"/>
        <v>550110.56724872661</v>
      </c>
      <c r="H14" s="6">
        <f t="shared" si="2"/>
        <v>529610.56724872661</v>
      </c>
      <c r="J14" s="6">
        <f t="shared" si="3"/>
        <v>0</v>
      </c>
      <c r="K14" s="6">
        <f t="shared" si="4"/>
        <v>1</v>
      </c>
      <c r="M14" s="39">
        <f t="shared" si="5"/>
        <v>536357.11782808008</v>
      </c>
      <c r="N14" s="39">
        <f t="shared" si="6"/>
        <v>-6746.5505793534685</v>
      </c>
      <c r="O14" s="39">
        <f t="shared" si="7"/>
        <v>45515944.719774619</v>
      </c>
      <c r="Q14" s="40">
        <f t="shared" si="8"/>
        <v>537092.33213570027</v>
      </c>
      <c r="R14" s="40">
        <f t="shared" si="9"/>
        <v>-7481.7648869736586</v>
      </c>
      <c r="S14" s="40">
        <f t="shared" si="10"/>
        <v>55976805.82395196</v>
      </c>
      <c r="U14" s="40"/>
    </row>
    <row r="15" spans="1:23" x14ac:dyDescent="0.75">
      <c r="A15" s="6">
        <v>4300</v>
      </c>
      <c r="B15" s="6" t="s">
        <v>5</v>
      </c>
      <c r="C15" s="6">
        <v>2</v>
      </c>
      <c r="D15" s="6">
        <v>22</v>
      </c>
      <c r="E15" s="6">
        <f t="shared" si="0"/>
        <v>1</v>
      </c>
      <c r="F15" s="6">
        <v>3357.5541381005623</v>
      </c>
      <c r="G15" s="6">
        <f t="shared" si="1"/>
        <v>654357.55413810059</v>
      </c>
      <c r="H15" s="6">
        <f t="shared" si="2"/>
        <v>632857.55413810059</v>
      </c>
      <c r="J15" s="6">
        <f t="shared" si="3"/>
        <v>0</v>
      </c>
      <c r="K15" s="6">
        <f t="shared" si="4"/>
        <v>1</v>
      </c>
      <c r="M15" s="39">
        <f t="shared" si="5"/>
        <v>604307.26795027626</v>
      </c>
      <c r="N15" s="39">
        <f t="shared" si="6"/>
        <v>28550.286187824327</v>
      </c>
      <c r="O15" s="39">
        <f t="shared" si="7"/>
        <v>815118841.4066726</v>
      </c>
      <c r="Q15" s="40">
        <f t="shared" si="8"/>
        <v>604935.11174109811</v>
      </c>
      <c r="R15" s="40">
        <f t="shared" si="9"/>
        <v>27922.44239700248</v>
      </c>
      <c r="S15" s="40">
        <f t="shared" si="10"/>
        <v>779662789.41392159</v>
      </c>
      <c r="U15" s="40"/>
    </row>
    <row r="16" spans="1:23" x14ac:dyDescent="0.75">
      <c r="A16" s="6">
        <v>6000</v>
      </c>
      <c r="C16" s="6">
        <v>1</v>
      </c>
      <c r="D16" s="6">
        <v>12</v>
      </c>
      <c r="E16" s="6">
        <f t="shared" si="0"/>
        <v>0</v>
      </c>
      <c r="F16" s="6">
        <v>9881.4768580704931</v>
      </c>
      <c r="G16" s="6">
        <f t="shared" si="1"/>
        <v>885881.47685807047</v>
      </c>
      <c r="H16" s="6">
        <f t="shared" si="2"/>
        <v>975881.47685807047</v>
      </c>
      <c r="J16" s="6">
        <f t="shared" si="3"/>
        <v>1</v>
      </c>
      <c r="K16" s="6">
        <f t="shared" si="4"/>
        <v>0</v>
      </c>
      <c r="M16" s="39">
        <f t="shared" si="5"/>
        <v>949834.38957202388</v>
      </c>
      <c r="N16" s="39">
        <f t="shared" si="6"/>
        <v>26047.08728604659</v>
      </c>
      <c r="O16" s="39">
        <f t="shared" si="7"/>
        <v>678450756.08692992</v>
      </c>
      <c r="Q16" s="40">
        <f t="shared" si="8"/>
        <v>951053.04900961905</v>
      </c>
      <c r="R16" s="40">
        <f t="shared" si="9"/>
        <v>24828.427848451422</v>
      </c>
      <c r="S16" s="40">
        <f t="shared" si="10"/>
        <v>616450829.42575812</v>
      </c>
      <c r="U16" s="40"/>
    </row>
    <row r="17" spans="1:23" x14ac:dyDescent="0.75">
      <c r="A17" s="6">
        <v>8000</v>
      </c>
      <c r="C17" s="6">
        <v>3</v>
      </c>
      <c r="D17" s="6">
        <v>28</v>
      </c>
      <c r="E17" s="6">
        <f t="shared" si="0"/>
        <v>0</v>
      </c>
      <c r="F17" s="6">
        <v>6254.360433880528</v>
      </c>
      <c r="G17" s="6">
        <f t="shared" si="1"/>
        <v>1150254.3604338805</v>
      </c>
      <c r="H17" s="6">
        <f t="shared" si="2"/>
        <v>1150254.3604338805</v>
      </c>
      <c r="J17" s="6">
        <f t="shared" si="3"/>
        <v>0</v>
      </c>
      <c r="K17" s="6">
        <f t="shared" si="4"/>
        <v>0</v>
      </c>
      <c r="M17" s="39">
        <f t="shared" si="5"/>
        <v>1180265.10867477</v>
      </c>
      <c r="N17" s="39">
        <f t="shared" si="6"/>
        <v>-30010.748240889516</v>
      </c>
      <c r="O17" s="39">
        <f t="shared" si="7"/>
        <v>900645009.97805321</v>
      </c>
      <c r="Q17" s="40">
        <f t="shared" si="8"/>
        <v>1180685.8473247266</v>
      </c>
      <c r="R17" s="40">
        <f t="shared" si="9"/>
        <v>-30431.486890846165</v>
      </c>
      <c r="S17" s="40">
        <f t="shared" si="10"/>
        <v>926075394.38774204</v>
      </c>
      <c r="U17" s="40"/>
    </row>
    <row r="18" spans="1:23" x14ac:dyDescent="0.75">
      <c r="A18" s="6">
        <v>6700</v>
      </c>
      <c r="C18" s="6">
        <v>1</v>
      </c>
      <c r="D18" s="6">
        <v>6</v>
      </c>
      <c r="E18" s="6">
        <f t="shared" si="0"/>
        <v>0</v>
      </c>
      <c r="F18" s="6">
        <v>5431.6237268617642</v>
      </c>
      <c r="G18" s="6">
        <f t="shared" si="1"/>
        <v>998431.62372686178</v>
      </c>
      <c r="H18" s="6">
        <f t="shared" si="2"/>
        <v>1098931.6237268618</v>
      </c>
      <c r="J18" s="6">
        <f t="shared" si="3"/>
        <v>1</v>
      </c>
      <c r="K18" s="6">
        <f t="shared" si="4"/>
        <v>0</v>
      </c>
      <c r="M18" s="39">
        <f t="shared" si="5"/>
        <v>1076599.429307386</v>
      </c>
      <c r="N18" s="39">
        <f t="shared" si="6"/>
        <v>22332.194419475738</v>
      </c>
      <c r="O18" s="39">
        <f t="shared" si="7"/>
        <v>498726907.58926332</v>
      </c>
      <c r="Q18" s="40">
        <f t="shared" si="8"/>
        <v>1078001.8637467562</v>
      </c>
      <c r="R18" s="40">
        <f t="shared" si="9"/>
        <v>20929.759980105562</v>
      </c>
      <c r="S18" s="40">
        <f t="shared" si="10"/>
        <v>438054852.82482839</v>
      </c>
      <c r="U18" s="40"/>
    </row>
    <row r="19" spans="1:23" x14ac:dyDescent="0.75">
      <c r="A19" s="6">
        <v>1400</v>
      </c>
      <c r="C19" s="6">
        <v>1</v>
      </c>
      <c r="D19" s="6">
        <v>4</v>
      </c>
      <c r="E19" s="6">
        <f t="shared" si="0"/>
        <v>0</v>
      </c>
      <c r="F19" s="6">
        <v>4569.2760873151965</v>
      </c>
      <c r="G19" s="6">
        <f t="shared" si="1"/>
        <v>206569.2760873152</v>
      </c>
      <c r="H19" s="6">
        <f t="shared" si="2"/>
        <v>227569.2760873152</v>
      </c>
      <c r="J19" s="6">
        <f t="shared" si="3"/>
        <v>1</v>
      </c>
      <c r="K19" s="6">
        <f t="shared" si="4"/>
        <v>0</v>
      </c>
      <c r="M19" s="39">
        <f t="shared" si="5"/>
        <v>250159.90150945209</v>
      </c>
      <c r="N19" s="39">
        <f t="shared" si="6"/>
        <v>-22590.625422136887</v>
      </c>
      <c r="O19" s="39">
        <f t="shared" si="7"/>
        <v>510336356.96329743</v>
      </c>
      <c r="Q19" s="40">
        <f t="shared" si="8"/>
        <v>249499.00572341442</v>
      </c>
      <c r="R19" s="40">
        <f t="shared" si="9"/>
        <v>-21929.729636099219</v>
      </c>
      <c r="S19" s="40">
        <f t="shared" si="10"/>
        <v>480913041.91240835</v>
      </c>
      <c r="U19" s="40"/>
    </row>
    <row r="20" spans="1:23" x14ac:dyDescent="0.75">
      <c r="A20" s="6">
        <v>1800</v>
      </c>
      <c r="B20" s="6" t="s">
        <v>5</v>
      </c>
      <c r="C20" s="6">
        <v>1</v>
      </c>
      <c r="D20" s="6">
        <v>9</v>
      </c>
      <c r="E20" s="6">
        <f t="shared" si="0"/>
        <v>1</v>
      </c>
      <c r="F20" s="6">
        <v>4222.985339353886</v>
      </c>
      <c r="G20" s="6">
        <f t="shared" si="1"/>
        <v>306222.98533935391</v>
      </c>
      <c r="H20" s="6">
        <f t="shared" si="2"/>
        <v>333222.98533935391</v>
      </c>
      <c r="J20" s="6">
        <f t="shared" si="3"/>
        <v>1</v>
      </c>
      <c r="K20" s="6">
        <f t="shared" si="4"/>
        <v>0</v>
      </c>
      <c r="M20" s="39">
        <f t="shared" si="5"/>
        <v>298898.8079193618</v>
      </c>
      <c r="N20" s="39">
        <f t="shared" si="6"/>
        <v>34324.177419992106</v>
      </c>
      <c r="O20" s="39">
        <f t="shared" si="7"/>
        <v>1178149155.5590959</v>
      </c>
      <c r="Q20" s="40">
        <f t="shared" si="8"/>
        <v>298462.3287232123</v>
      </c>
      <c r="R20" s="40">
        <f t="shared" si="9"/>
        <v>34760.656616141612</v>
      </c>
      <c r="S20" s="40">
        <f t="shared" si="10"/>
        <v>1208303248.3853097</v>
      </c>
      <c r="U20" s="40"/>
    </row>
    <row r="21" spans="1:23" x14ac:dyDescent="0.75">
      <c r="A21" s="6">
        <v>2200</v>
      </c>
      <c r="C21" s="6">
        <v>1</v>
      </c>
      <c r="D21" s="6">
        <v>11</v>
      </c>
      <c r="E21" s="6">
        <f t="shared" si="0"/>
        <v>0</v>
      </c>
      <c r="F21" s="6">
        <v>3144.812411788349</v>
      </c>
      <c r="G21" s="6">
        <f t="shared" si="1"/>
        <v>311144.81241178833</v>
      </c>
      <c r="H21" s="6">
        <f t="shared" si="2"/>
        <v>344144.81241178833</v>
      </c>
      <c r="J21" s="6">
        <f t="shared" si="3"/>
        <v>1</v>
      </c>
      <c r="K21" s="6">
        <f t="shared" si="4"/>
        <v>0</v>
      </c>
      <c r="M21" s="39">
        <f t="shared" si="5"/>
        <v>356072.68792615697</v>
      </c>
      <c r="N21" s="39">
        <f t="shared" si="6"/>
        <v>-11927.875514368643</v>
      </c>
      <c r="O21" s="39">
        <f t="shared" si="7"/>
        <v>142274214.28627503</v>
      </c>
      <c r="Q21" s="40">
        <f t="shared" si="8"/>
        <v>355818.12619504222</v>
      </c>
      <c r="R21" s="40">
        <f t="shared" si="9"/>
        <v>-11673.313783253892</v>
      </c>
      <c r="S21" s="40">
        <f t="shared" si="10"/>
        <v>136266254.68230531</v>
      </c>
      <c r="U21" s="40"/>
    </row>
    <row r="22" spans="1:23" x14ac:dyDescent="0.75">
      <c r="A22" s="6">
        <v>2800</v>
      </c>
      <c r="C22" s="6">
        <v>1</v>
      </c>
      <c r="D22" s="6">
        <v>0</v>
      </c>
      <c r="E22" s="6">
        <f t="shared" si="0"/>
        <v>0</v>
      </c>
      <c r="F22" s="6">
        <v>5718.0029257567176</v>
      </c>
      <c r="G22" s="6">
        <f t="shared" si="1"/>
        <v>425718.00292575674</v>
      </c>
      <c r="H22" s="6">
        <f t="shared" si="2"/>
        <v>467718.00292575674</v>
      </c>
      <c r="J22" s="6">
        <f t="shared" si="3"/>
        <v>1</v>
      </c>
      <c r="K22" s="6">
        <f t="shared" si="4"/>
        <v>0</v>
      </c>
      <c r="M22" s="39">
        <f t="shared" si="5"/>
        <v>481196.71805514849</v>
      </c>
      <c r="N22" s="39">
        <f t="shared" si="6"/>
        <v>-13478.715129391756</v>
      </c>
      <c r="O22" s="39">
        <f t="shared" si="7"/>
        <v>181675761.53929421</v>
      </c>
      <c r="Q22" s="40">
        <f t="shared" si="8"/>
        <v>481016.70327227004</v>
      </c>
      <c r="R22" s="40">
        <f t="shared" si="9"/>
        <v>-13298.700346513302</v>
      </c>
      <c r="S22" s="40">
        <f t="shared" si="10"/>
        <v>176855430.90635303</v>
      </c>
      <c r="U22" s="40"/>
    </row>
    <row r="23" spans="1:23" x14ac:dyDescent="0.75">
      <c r="M23" s="41"/>
      <c r="N23" s="41"/>
      <c r="O23" s="41"/>
      <c r="Q23" s="40"/>
    </row>
    <row r="24" spans="1:23" x14ac:dyDescent="0.75">
      <c r="M24" s="41"/>
      <c r="N24" s="41"/>
      <c r="O24" s="41"/>
      <c r="S24" s="7"/>
      <c r="T24" s="42"/>
      <c r="W24" s="43"/>
    </row>
    <row r="25" spans="1:23" x14ac:dyDescent="0.75">
      <c r="M25" s="41"/>
      <c r="N25" s="41"/>
      <c r="O25" s="41"/>
      <c r="S25" s="7"/>
      <c r="T25" s="42"/>
      <c r="W25" s="43"/>
    </row>
    <row r="26" spans="1:23" x14ac:dyDescent="0.75">
      <c r="C26" s="44" t="s">
        <v>50</v>
      </c>
      <c r="D26" s="44" t="s">
        <v>51</v>
      </c>
      <c r="M26" s="41"/>
      <c r="N26" s="41"/>
      <c r="O26" s="41"/>
      <c r="S26" s="7"/>
      <c r="T26" s="42"/>
      <c r="W26" s="43"/>
    </row>
    <row r="27" spans="1:23" x14ac:dyDescent="0.75">
      <c r="A27" s="45" t="s">
        <v>45</v>
      </c>
      <c r="B27" s="46" t="s">
        <v>40</v>
      </c>
      <c r="C27" s="67">
        <v>3047.614151324633</v>
      </c>
      <c r="D27" s="70" t="s">
        <v>58</v>
      </c>
      <c r="R27" s="43"/>
      <c r="T27" s="42"/>
      <c r="V27" s="43"/>
    </row>
    <row r="28" spans="1:23" x14ac:dyDescent="0.75">
      <c r="A28" s="45" t="s">
        <v>46</v>
      </c>
      <c r="B28" s="46" t="s">
        <v>41</v>
      </c>
      <c r="C28" s="68">
        <v>156.99298934513035</v>
      </c>
      <c r="D28" s="68">
        <v>157.37695113296158</v>
      </c>
      <c r="T28" s="21"/>
    </row>
    <row r="29" spans="1:23" x14ac:dyDescent="0.75">
      <c r="A29" s="45" t="s">
        <v>48</v>
      </c>
      <c r="B29" s="46" t="s">
        <v>42</v>
      </c>
      <c r="C29" s="68">
        <v>38568.73373745889</v>
      </c>
      <c r="D29" s="68">
        <v>40361.240099977644</v>
      </c>
      <c r="T29" s="21"/>
    </row>
    <row r="30" spans="1:23" x14ac:dyDescent="0.75">
      <c r="A30" s="45" t="s">
        <v>49</v>
      </c>
      <c r="B30" s="46" t="s">
        <v>43</v>
      </c>
      <c r="C30" s="68">
        <v>-11953.727341282196</v>
      </c>
      <c r="D30" s="68">
        <v>-10240.965335734856</v>
      </c>
      <c r="T30" s="21"/>
    </row>
    <row r="31" spans="1:23" x14ac:dyDescent="0.75">
      <c r="A31" s="45" t="s">
        <v>47</v>
      </c>
      <c r="B31" s="46" t="s">
        <v>44</v>
      </c>
      <c r="C31" s="69">
        <v>-2811.6578656284814</v>
      </c>
      <c r="D31" s="69">
        <v>-2797.4914906773529</v>
      </c>
    </row>
    <row r="32" spans="1:23" x14ac:dyDescent="0.75">
      <c r="B32" s="48"/>
      <c r="C32" s="47"/>
      <c r="D32" s="47"/>
    </row>
    <row r="33" spans="1:10" s="6" customFormat="1" x14ac:dyDescent="0.75">
      <c r="A33" s="51" t="s">
        <v>55</v>
      </c>
      <c r="C33" s="67">
        <f xml:space="preserve"> SUM(O3:O22)</f>
        <v>9369487500.3981056</v>
      </c>
      <c r="D33" s="67">
        <f xml:space="preserve"> SUM(S3:S22)</f>
        <v>9386564654.997385</v>
      </c>
      <c r="H33" s="31"/>
      <c r="J33" s="31"/>
    </row>
    <row r="34" spans="1:10" s="6" customFormat="1" x14ac:dyDescent="0.75">
      <c r="A34" s="51" t="s">
        <v>56</v>
      </c>
      <c r="C34" s="68">
        <f>AVERAGE(N3:N22)</f>
        <v>-0.10452698425287962</v>
      </c>
      <c r="D34" s="68">
        <f>AVERAGE(R3:R22)</f>
        <v>280.40310921983399</v>
      </c>
      <c r="E34" s="93" t="s">
        <v>61</v>
      </c>
      <c r="F34" s="91"/>
      <c r="G34" s="91"/>
      <c r="H34" s="91"/>
      <c r="I34" s="91"/>
      <c r="J34" s="92"/>
    </row>
    <row r="35" spans="1:10" s="6" customFormat="1" x14ac:dyDescent="0.75">
      <c r="A35" s="51" t="s">
        <v>57</v>
      </c>
      <c r="C35" s="69">
        <f>_xlfn.STDEV.P(N3:N22)</f>
        <v>21644.268872128236</v>
      </c>
      <c r="D35" s="69">
        <f>_xlfn.STDEV.P(R3:R22)</f>
        <v>21662.169947773218</v>
      </c>
      <c r="H35" s="31"/>
      <c r="J35" s="31"/>
    </row>
    <row r="37" spans="1:10" x14ac:dyDescent="0.75">
      <c r="A37" s="44" t="s">
        <v>82</v>
      </c>
      <c r="B37" s="78" t="s">
        <v>84</v>
      </c>
    </row>
  </sheetData>
  <mergeCells count="3">
    <mergeCell ref="M1:O1"/>
    <mergeCell ref="Q1:S1"/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BFD3-1DDE-46BC-8F5D-A41D67F4B503}">
  <dimension ref="A1:O53"/>
  <sheetViews>
    <sheetView topLeftCell="A41" zoomScale="66" workbookViewId="0">
      <selection activeCell="J56" sqref="J56"/>
    </sheetView>
  </sheetViews>
  <sheetFormatPr defaultColWidth="9.1328125" defaultRowHeight="14.75" x14ac:dyDescent="0.75"/>
  <cols>
    <col min="1" max="2" width="25.54296875" style="31" customWidth="1"/>
    <col min="3" max="3" width="18.1328125" style="6" customWidth="1"/>
    <col min="4" max="5" width="18.1328125" style="31" customWidth="1"/>
    <col min="6" max="6" width="18.1328125" style="6" customWidth="1"/>
    <col min="7" max="7" width="5.54296875" style="53" customWidth="1"/>
    <col min="8" max="8" width="13.86328125" style="6" customWidth="1"/>
    <col min="9" max="9" width="25.7265625" style="6" customWidth="1"/>
    <col min="10" max="10" width="23.26953125" style="31" customWidth="1"/>
    <col min="11" max="12" width="18.1328125" style="31" customWidth="1"/>
    <col min="13" max="13" width="14.54296875" style="31" customWidth="1"/>
    <col min="14" max="16384" width="9.1328125" style="31"/>
  </cols>
  <sheetData>
    <row r="1" spans="1:10" ht="27" customHeight="1" x14ac:dyDescent="0.75">
      <c r="A1" s="49" t="s">
        <v>5</v>
      </c>
      <c r="B1" s="90" t="s">
        <v>63</v>
      </c>
      <c r="C1" s="89"/>
      <c r="D1" s="89"/>
      <c r="E1" s="89"/>
      <c r="F1" s="89"/>
      <c r="G1" s="52"/>
      <c r="H1" s="52"/>
    </row>
    <row r="2" spans="1:10" s="37" customFormat="1" ht="29.5" x14ac:dyDescent="0.75">
      <c r="A2" s="50" t="s">
        <v>9</v>
      </c>
      <c r="B2" s="42" t="s">
        <v>12</v>
      </c>
      <c r="C2" s="32" t="s">
        <v>4</v>
      </c>
      <c r="D2" s="33" t="s">
        <v>10</v>
      </c>
      <c r="E2" s="33" t="s">
        <v>11</v>
      </c>
      <c r="F2" s="32" t="s">
        <v>2</v>
      </c>
      <c r="G2" s="52"/>
      <c r="H2" s="32"/>
      <c r="J2" s="32" t="s">
        <v>13</v>
      </c>
    </row>
    <row r="3" spans="1:10" x14ac:dyDescent="0.75">
      <c r="A3" s="23">
        <v>182542.60709414128</v>
      </c>
      <c r="B3" s="25">
        <v>1</v>
      </c>
      <c r="C3" s="6">
        <v>1500</v>
      </c>
      <c r="D3" s="6">
        <v>0</v>
      </c>
      <c r="E3" s="6">
        <v>1</v>
      </c>
      <c r="F3" s="6">
        <v>20</v>
      </c>
      <c r="J3" s="6">
        <f>A3 - B$49 - B$50*C3 -B$51*D3 - B$52*E3 - B$53*F3</f>
        <v>12193.926419316471</v>
      </c>
    </row>
    <row r="4" spans="1:10" x14ac:dyDescent="0.75">
      <c r="A4" s="23">
        <v>370773.8350706487</v>
      </c>
      <c r="B4" s="25">
        <v>1</v>
      </c>
      <c r="C4" s="6">
        <v>2500</v>
      </c>
      <c r="D4" s="6">
        <v>0</v>
      </c>
      <c r="E4" s="6">
        <v>1</v>
      </c>
      <c r="F4" s="6">
        <v>0</v>
      </c>
      <c r="J4" s="6">
        <f t="shared" ref="J4:J22" si="0">A4 - B$49 - B$50*C4 -B$51*D4 - B$52*E4 - B$53*F4</f>
        <v>-12802.429827110784</v>
      </c>
    </row>
    <row r="5" spans="1:10" x14ac:dyDescent="0.75">
      <c r="A5" s="23">
        <v>726732.61856711342</v>
      </c>
      <c r="B5" s="25">
        <v>1</v>
      </c>
      <c r="C5" s="6">
        <v>5000</v>
      </c>
      <c r="D5" s="6">
        <v>0</v>
      </c>
      <c r="E5" s="6">
        <v>0</v>
      </c>
      <c r="F5" s="6">
        <v>14</v>
      </c>
      <c r="J5" s="6">
        <f t="shared" si="0"/>
        <v>-21917.877853802522</v>
      </c>
    </row>
    <row r="6" spans="1:10" x14ac:dyDescent="0.75">
      <c r="A6" s="23">
        <v>736804.56031781551</v>
      </c>
      <c r="B6" s="25">
        <v>1</v>
      </c>
      <c r="C6" s="6">
        <v>4700</v>
      </c>
      <c r="D6" s="6">
        <v>0</v>
      </c>
      <c r="E6" s="6">
        <v>0</v>
      </c>
      <c r="F6" s="6">
        <v>12</v>
      </c>
      <c r="J6" s="6">
        <f t="shared" si="0"/>
        <v>29628.688878513174</v>
      </c>
    </row>
    <row r="7" spans="1:10" x14ac:dyDescent="0.75">
      <c r="A7" s="23">
        <v>521175.03980567883</v>
      </c>
      <c r="B7" s="25">
        <v>1</v>
      </c>
      <c r="C7" s="6">
        <v>3500</v>
      </c>
      <c r="D7" s="6">
        <v>0</v>
      </c>
      <c r="E7" s="6">
        <v>0</v>
      </c>
      <c r="F7" s="6">
        <v>5</v>
      </c>
      <c r="J7" s="6">
        <f t="shared" si="0"/>
        <v>-17290.625421510777</v>
      </c>
    </row>
    <row r="8" spans="1:10" x14ac:dyDescent="0.75">
      <c r="A8" s="23">
        <v>120898.42974780391</v>
      </c>
      <c r="B8" s="25">
        <v>1</v>
      </c>
      <c r="C8" s="6">
        <v>1000</v>
      </c>
      <c r="D8" s="6">
        <v>1</v>
      </c>
      <c r="E8" s="6">
        <v>0</v>
      </c>
      <c r="F8" s="6">
        <v>25</v>
      </c>
      <c r="J8" s="6">
        <f t="shared" si="0"/>
        <v>-7417.3087252487458</v>
      </c>
    </row>
    <row r="9" spans="1:10" x14ac:dyDescent="0.75">
      <c r="A9" s="23">
        <v>214514.62288577142</v>
      </c>
      <c r="B9" s="25">
        <v>1</v>
      </c>
      <c r="C9" s="6">
        <v>1500</v>
      </c>
      <c r="D9" s="6">
        <v>0</v>
      </c>
      <c r="E9" s="6">
        <v>1</v>
      </c>
      <c r="F9" s="6">
        <v>4</v>
      </c>
      <c r="J9" s="6">
        <f t="shared" si="0"/>
        <v>-821.35835958700045</v>
      </c>
    </row>
    <row r="10" spans="1:10" x14ac:dyDescent="0.75">
      <c r="A10" s="23">
        <v>285393.94454387162</v>
      </c>
      <c r="B10" s="25">
        <v>1</v>
      </c>
      <c r="C10" s="6">
        <v>1600</v>
      </c>
      <c r="D10" s="6">
        <v>0</v>
      </c>
      <c r="E10" s="6">
        <v>0</v>
      </c>
      <c r="F10" s="6">
        <v>3</v>
      </c>
      <c r="J10" s="6">
        <f t="shared" si="0"/>
        <v>39592.437913923874</v>
      </c>
    </row>
    <row r="11" spans="1:10" x14ac:dyDescent="0.75">
      <c r="A11" s="23">
        <v>334786.02314442373</v>
      </c>
      <c r="B11" s="25">
        <v>1</v>
      </c>
      <c r="C11" s="6">
        <v>2000</v>
      </c>
      <c r="D11" s="6">
        <v>1</v>
      </c>
      <c r="E11" s="6">
        <v>0</v>
      </c>
      <c r="F11" s="6">
        <v>1</v>
      </c>
      <c r="J11" s="6">
        <f t="shared" si="0"/>
        <v>-18004.124694197002</v>
      </c>
    </row>
    <row r="12" spans="1:10" x14ac:dyDescent="0.75">
      <c r="A12" s="23">
        <v>503309.81018930755</v>
      </c>
      <c r="B12" s="25">
        <v>1</v>
      </c>
      <c r="C12" s="6">
        <v>3000</v>
      </c>
      <c r="D12" s="6">
        <v>1</v>
      </c>
      <c r="E12" s="6">
        <v>0</v>
      </c>
      <c r="F12" s="6">
        <v>0</v>
      </c>
      <c r="J12" s="6">
        <f t="shared" si="0"/>
        <v>-9285.5024447391916</v>
      </c>
    </row>
    <row r="13" spans="1:10" x14ac:dyDescent="0.75">
      <c r="A13" s="23">
        <v>507776.77722867939</v>
      </c>
      <c r="B13" s="25">
        <v>1</v>
      </c>
      <c r="C13" s="6">
        <v>3600</v>
      </c>
      <c r="D13" s="6">
        <v>0</v>
      </c>
      <c r="E13" s="6">
        <v>1</v>
      </c>
      <c r="F13" s="6">
        <v>10</v>
      </c>
      <c r="J13" s="6">
        <f t="shared" si="0"/>
        <v>-20375.229173241009</v>
      </c>
    </row>
    <row r="14" spans="1:10" x14ac:dyDescent="0.75">
      <c r="A14" s="23">
        <v>529610.56724872661</v>
      </c>
      <c r="B14" s="25">
        <v>1</v>
      </c>
      <c r="C14" s="6">
        <v>4100</v>
      </c>
      <c r="D14" s="6">
        <v>0</v>
      </c>
      <c r="E14" s="6">
        <v>1</v>
      </c>
      <c r="F14" s="6">
        <v>35</v>
      </c>
      <c r="J14" s="6">
        <f t="shared" si="0"/>
        <v>-6745.5112666188506</v>
      </c>
    </row>
    <row r="15" spans="1:10" x14ac:dyDescent="0.75">
      <c r="A15" s="23">
        <v>632857.55413810059</v>
      </c>
      <c r="B15" s="25">
        <v>1</v>
      </c>
      <c r="C15" s="6">
        <v>4300</v>
      </c>
      <c r="D15" s="6">
        <v>0</v>
      </c>
      <c r="E15" s="6">
        <v>1</v>
      </c>
      <c r="F15" s="6">
        <v>22</v>
      </c>
      <c r="J15" s="6">
        <f t="shared" si="0"/>
        <v>28550.602207243035</v>
      </c>
    </row>
    <row r="16" spans="1:10" x14ac:dyDescent="0.75">
      <c r="A16" s="23">
        <v>975881.47685807047</v>
      </c>
      <c r="B16" s="25">
        <v>1</v>
      </c>
      <c r="C16" s="6">
        <v>6000</v>
      </c>
      <c r="D16" s="6">
        <v>1</v>
      </c>
      <c r="E16" s="6">
        <v>0</v>
      </c>
      <c r="F16" s="6">
        <v>12</v>
      </c>
      <c r="J16" s="6">
        <f t="shared" si="0"/>
        <v>26046.264122620953</v>
      </c>
    </row>
    <row r="17" spans="1:13" x14ac:dyDescent="0.75">
      <c r="A17" s="23">
        <v>1150254.3604338805</v>
      </c>
      <c r="B17" s="25">
        <v>1</v>
      </c>
      <c r="C17" s="6">
        <v>8000</v>
      </c>
      <c r="D17" s="6">
        <v>0</v>
      </c>
      <c r="E17" s="6">
        <v>0</v>
      </c>
      <c r="F17" s="6">
        <v>28</v>
      </c>
      <c r="J17" s="6">
        <f t="shared" si="0"/>
        <v>-30012.623517121421</v>
      </c>
    </row>
    <row r="18" spans="1:13" x14ac:dyDescent="0.75">
      <c r="A18" s="23">
        <v>1098931.6237268618</v>
      </c>
      <c r="B18" s="25">
        <v>1</v>
      </c>
      <c r="C18" s="6">
        <v>6700</v>
      </c>
      <c r="D18" s="6">
        <v>1</v>
      </c>
      <c r="E18" s="6">
        <v>0</v>
      </c>
      <c r="F18" s="6">
        <v>6</v>
      </c>
      <c r="J18" s="6">
        <f t="shared" si="0"/>
        <v>22330.752320624801</v>
      </c>
    </row>
    <row r="19" spans="1:13" x14ac:dyDescent="0.75">
      <c r="A19" s="23">
        <v>227569.2760873152</v>
      </c>
      <c r="B19" s="25">
        <v>1</v>
      </c>
      <c r="C19" s="6">
        <v>1400</v>
      </c>
      <c r="D19" s="6">
        <v>1</v>
      </c>
      <c r="E19" s="6">
        <v>0</v>
      </c>
      <c r="F19" s="6">
        <v>4</v>
      </c>
      <c r="J19" s="6">
        <f t="shared" si="0"/>
        <v>-22589.677788469882</v>
      </c>
    </row>
    <row r="20" spans="1:13" x14ac:dyDescent="0.75">
      <c r="A20" s="23">
        <v>333222.98533935391</v>
      </c>
      <c r="B20" s="25">
        <v>1</v>
      </c>
      <c r="C20" s="6">
        <v>1800</v>
      </c>
      <c r="D20" s="6">
        <v>1</v>
      </c>
      <c r="E20" s="6">
        <v>0</v>
      </c>
      <c r="F20" s="6">
        <v>9</v>
      </c>
      <c r="J20" s="6">
        <f t="shared" si="0"/>
        <v>34325.179487953515</v>
      </c>
    </row>
    <row r="21" spans="1:13" x14ac:dyDescent="0.75">
      <c r="A21" s="23">
        <v>344144.81241178833</v>
      </c>
      <c r="B21" s="25">
        <v>1</v>
      </c>
      <c r="C21" s="6">
        <v>2200</v>
      </c>
      <c r="D21" s="6">
        <v>1</v>
      </c>
      <c r="E21" s="6">
        <v>0</v>
      </c>
      <c r="F21" s="6">
        <v>11</v>
      </c>
      <c r="J21" s="6">
        <f t="shared" si="0"/>
        <v>-11926.964272202429</v>
      </c>
    </row>
    <row r="22" spans="1:13" x14ac:dyDescent="0.75">
      <c r="A22" s="23">
        <v>467718.00292575674</v>
      </c>
      <c r="B22" s="25">
        <v>1</v>
      </c>
      <c r="C22" s="6">
        <v>2800</v>
      </c>
      <c r="D22" s="6">
        <v>1</v>
      </c>
      <c r="E22" s="6">
        <v>0</v>
      </c>
      <c r="F22" s="6">
        <v>0</v>
      </c>
      <c r="J22" s="6">
        <f t="shared" si="0"/>
        <v>-13478.618006336474</v>
      </c>
    </row>
    <row r="24" spans="1:13" x14ac:dyDescent="0.75">
      <c r="I24" s="60" t="s">
        <v>67</v>
      </c>
      <c r="J24" s="6">
        <f>_xlfn.VAR.P(J3:J22)</f>
        <v>468474373.95290774</v>
      </c>
    </row>
    <row r="25" spans="1:13" x14ac:dyDescent="0.75">
      <c r="A25" s="89" t="s">
        <v>62</v>
      </c>
      <c r="B25" s="89"/>
      <c r="C25" s="89"/>
      <c r="D25" s="89"/>
      <c r="E25" s="89"/>
      <c r="F25" s="89"/>
      <c r="G25" s="52"/>
      <c r="H25" s="52"/>
      <c r="I25" s="31"/>
    </row>
    <row r="26" spans="1:13" x14ac:dyDescent="0.75">
      <c r="A26" s="89"/>
      <c r="B26" s="89"/>
      <c r="C26" s="89"/>
      <c r="D26" s="89"/>
      <c r="E26" s="89"/>
      <c r="F26" s="89"/>
      <c r="G26" s="52"/>
      <c r="H26" s="52"/>
      <c r="I26" s="85" t="s">
        <v>68</v>
      </c>
      <c r="J26" s="85"/>
      <c r="K26" s="85"/>
      <c r="L26" s="85"/>
      <c r="M26" s="85"/>
    </row>
    <row r="27" spans="1:13" x14ac:dyDescent="0.75">
      <c r="A27" s="6"/>
      <c r="C27" s="31"/>
      <c r="F27" s="31"/>
      <c r="G27" s="54"/>
      <c r="H27" s="31"/>
      <c r="I27" s="59" t="s">
        <v>40</v>
      </c>
      <c r="J27" s="59" t="s">
        <v>41</v>
      </c>
      <c r="K27" s="59" t="s">
        <v>42</v>
      </c>
      <c r="L27" s="59" t="s">
        <v>43</v>
      </c>
      <c r="M27" s="59" t="s">
        <v>44</v>
      </c>
    </row>
    <row r="28" spans="1:13" x14ac:dyDescent="0.75">
      <c r="A28" s="7" t="s">
        <v>64</v>
      </c>
      <c r="B28" s="12" cm="1">
        <f t="array" ref="B28:F32">MMULT(TRANSPOSE(B3:F22),B3:F22)</f>
        <v>20</v>
      </c>
      <c r="C28" s="13">
        <v>67200</v>
      </c>
      <c r="D28" s="13">
        <v>9</v>
      </c>
      <c r="E28" s="13">
        <v>6</v>
      </c>
      <c r="F28" s="14">
        <v>221</v>
      </c>
      <c r="G28" s="55"/>
      <c r="H28" s="58" t="s">
        <v>40</v>
      </c>
      <c r="I28" s="61" cm="1">
        <f t="array" ref="I28:M32">J24*_xlfn.ANCHORARRAY(B35)</f>
        <v>254707253.22159711</v>
      </c>
      <c r="J28" s="13">
        <v>-32087.084159944821</v>
      </c>
      <c r="K28" s="13">
        <v>-149848413.89019415</v>
      </c>
      <c r="L28" s="13">
        <v>-143145865.35977262</v>
      </c>
      <c r="M28" s="14">
        <v>-1185102.7952957375</v>
      </c>
    </row>
    <row r="29" spans="1:13" x14ac:dyDescent="0.75">
      <c r="A29" s="6"/>
      <c r="B29" s="15">
        <v>67200</v>
      </c>
      <c r="C29" s="16">
        <v>297680000</v>
      </c>
      <c r="D29" s="16">
        <v>26900</v>
      </c>
      <c r="E29" s="16">
        <v>17500</v>
      </c>
      <c r="F29" s="17">
        <v>868000</v>
      </c>
      <c r="G29" s="55"/>
      <c r="H29" s="58" t="s">
        <v>41</v>
      </c>
      <c r="I29" s="15">
        <v>-32087.084159944836</v>
      </c>
      <c r="J29" s="42">
        <v>8.6002439025183737</v>
      </c>
      <c r="K29" s="16">
        <v>10726.372245004146</v>
      </c>
      <c r="L29" s="16">
        <v>15723.907068379745</v>
      </c>
      <c r="M29" s="17">
        <v>-575.00226093056187</v>
      </c>
    </row>
    <row r="30" spans="1:13" x14ac:dyDescent="0.75">
      <c r="A30" s="6"/>
      <c r="B30" s="15">
        <v>9</v>
      </c>
      <c r="C30" s="16">
        <v>26900</v>
      </c>
      <c r="D30" s="16">
        <v>9</v>
      </c>
      <c r="E30" s="16">
        <v>0</v>
      </c>
      <c r="F30" s="17">
        <v>68</v>
      </c>
      <c r="G30" s="55"/>
      <c r="H30" s="58" t="s">
        <v>42</v>
      </c>
      <c r="I30" s="15">
        <v>-149848413.89019415</v>
      </c>
      <c r="J30" s="16">
        <v>10726.372245004137</v>
      </c>
      <c r="K30" s="42">
        <v>165428936.81071115</v>
      </c>
      <c r="L30" s="16">
        <v>109706217.540144</v>
      </c>
      <c r="M30" s="17">
        <v>583974.32761240134</v>
      </c>
    </row>
    <row r="31" spans="1:13" x14ac:dyDescent="0.75">
      <c r="A31" s="6"/>
      <c r="B31" s="15">
        <v>6</v>
      </c>
      <c r="C31" s="16">
        <v>17500</v>
      </c>
      <c r="D31" s="16">
        <v>0</v>
      </c>
      <c r="E31" s="16">
        <v>6</v>
      </c>
      <c r="F31" s="17">
        <v>91</v>
      </c>
      <c r="G31" s="55"/>
      <c r="H31" s="58" t="s">
        <v>43</v>
      </c>
      <c r="I31" s="15">
        <v>-143145865.35977259</v>
      </c>
      <c r="J31" s="16">
        <v>15723.907068379733</v>
      </c>
      <c r="K31" s="16">
        <v>109706217.54014401</v>
      </c>
      <c r="L31" s="42">
        <v>202577945.178</v>
      </c>
      <c r="M31" s="17">
        <v>-1794356.9082758471</v>
      </c>
    </row>
    <row r="32" spans="1:13" x14ac:dyDescent="0.75">
      <c r="A32" s="6"/>
      <c r="B32" s="18">
        <v>221</v>
      </c>
      <c r="C32" s="19">
        <v>868000</v>
      </c>
      <c r="D32" s="19">
        <v>68</v>
      </c>
      <c r="E32" s="19">
        <v>91</v>
      </c>
      <c r="F32" s="20">
        <v>4407</v>
      </c>
      <c r="G32" s="55"/>
      <c r="H32" s="58" t="s">
        <v>44</v>
      </c>
      <c r="I32" s="18">
        <v>-1185102.7952957423</v>
      </c>
      <c r="J32" s="19">
        <v>-575.00226093056062</v>
      </c>
      <c r="K32" s="19">
        <v>583974.32761240064</v>
      </c>
      <c r="L32" s="19">
        <v>-1794356.9082758483</v>
      </c>
      <c r="M32" s="62">
        <v>307025.25041444344</v>
      </c>
    </row>
    <row r="33" spans="1:15" x14ac:dyDescent="0.75">
      <c r="A33" s="6"/>
      <c r="B33" s="16"/>
      <c r="C33" s="16"/>
      <c r="D33" s="16"/>
      <c r="E33" s="16"/>
      <c r="F33" s="21"/>
      <c r="G33" s="56"/>
      <c r="H33" s="21"/>
    </row>
    <row r="34" spans="1:15" x14ac:dyDescent="0.75">
      <c r="A34" s="6"/>
      <c r="B34" s="16"/>
      <c r="C34" s="16"/>
      <c r="D34" s="16"/>
      <c r="E34" s="16"/>
      <c r="F34" s="21"/>
      <c r="G34" s="56"/>
      <c r="H34" s="21"/>
      <c r="I34" s="44" t="s">
        <v>69</v>
      </c>
      <c r="J34" s="74" t="s">
        <v>73</v>
      </c>
    </row>
    <row r="35" spans="1:15" x14ac:dyDescent="0.75">
      <c r="A35" s="7" t="s">
        <v>65</v>
      </c>
      <c r="B35" s="12" cm="1">
        <f t="array" ref="B35:F39">MINVERSE(_xlfn.ANCHORARRAY(B28))</f>
        <v>0.54369516751240898</v>
      </c>
      <c r="C35" s="13">
        <v>-6.8492720080288319E-5</v>
      </c>
      <c r="D35" s="13">
        <v>-0.31986469745569757</v>
      </c>
      <c r="E35" s="13">
        <v>-0.30555751460198766</v>
      </c>
      <c r="F35" s="22">
        <v>-2.5297067698624364E-3</v>
      </c>
      <c r="G35" s="57"/>
      <c r="H35" s="58" t="s">
        <v>40</v>
      </c>
      <c r="I35" s="64">
        <f>B49 / I28^(1/2)</f>
        <v>0.19092592018533369</v>
      </c>
      <c r="J35" s="28" t="s">
        <v>75</v>
      </c>
    </row>
    <row r="36" spans="1:15" x14ac:dyDescent="0.75">
      <c r="A36" s="6"/>
      <c r="B36" s="15">
        <v>-6.8492720080288346E-5</v>
      </c>
      <c r="C36" s="16">
        <v>1.8357981526184595E-8</v>
      </c>
      <c r="D36" s="16">
        <v>2.2896390584818604E-5</v>
      </c>
      <c r="E36" s="16">
        <v>3.3564070827832205E-5</v>
      </c>
      <c r="F36" s="23">
        <v>-1.2273931999285036E-6</v>
      </c>
      <c r="G36" s="57"/>
      <c r="H36" s="58" t="s">
        <v>41</v>
      </c>
      <c r="I36" s="65">
        <f>B50 / J29^(1/2)</f>
        <v>53.533565897907039</v>
      </c>
      <c r="J36" s="29" t="s">
        <v>74</v>
      </c>
    </row>
    <row r="37" spans="1:15" x14ac:dyDescent="0.75">
      <c r="A37" s="6"/>
      <c r="B37" s="24">
        <v>-0.31986469745569757</v>
      </c>
      <c r="C37" s="25">
        <v>2.2896390584818583E-5</v>
      </c>
      <c r="D37" s="25">
        <v>0.35312270213384284</v>
      </c>
      <c r="E37" s="25">
        <v>0.23417762772051209</v>
      </c>
      <c r="F37" s="23">
        <v>1.2465448700745879E-3</v>
      </c>
      <c r="G37" s="57"/>
      <c r="H37" s="58" t="s">
        <v>42</v>
      </c>
      <c r="I37" s="65">
        <f>B51 / K30^(1/2)</f>
        <v>2.9986075933824461</v>
      </c>
      <c r="J37" s="75" t="s">
        <v>74</v>
      </c>
    </row>
    <row r="38" spans="1:15" x14ac:dyDescent="0.75">
      <c r="A38" s="6"/>
      <c r="B38" s="15">
        <v>-0.3055575146019876</v>
      </c>
      <c r="C38" s="25">
        <v>3.3564070827832178E-5</v>
      </c>
      <c r="D38" s="25">
        <v>0.23417762772051212</v>
      </c>
      <c r="E38" s="25">
        <v>0.43242054729414864</v>
      </c>
      <c r="F38" s="23">
        <v>-3.8302135784618616E-3</v>
      </c>
      <c r="G38" s="57"/>
      <c r="H38" s="58" t="s">
        <v>43</v>
      </c>
      <c r="I38" s="65">
        <f>B52 / L31^(1/2)</f>
        <v>-0.83991311689130432</v>
      </c>
      <c r="J38" s="75" t="s">
        <v>75</v>
      </c>
    </row>
    <row r="39" spans="1:15" x14ac:dyDescent="0.75">
      <c r="A39" s="6"/>
      <c r="B39" s="18">
        <v>-2.5297067698624473E-3</v>
      </c>
      <c r="C39" s="26">
        <v>-1.2273931999285009E-6</v>
      </c>
      <c r="D39" s="26">
        <v>1.2465448700745864E-3</v>
      </c>
      <c r="E39" s="26">
        <v>-3.8302135784618642E-3</v>
      </c>
      <c r="F39" s="27">
        <v>6.5537256141422673E-4</v>
      </c>
      <c r="G39" s="57"/>
      <c r="H39" s="58" t="s">
        <v>44</v>
      </c>
      <c r="I39" s="66">
        <f>B53 / M32^(1/2)</f>
        <v>-5.0743790415320662</v>
      </c>
      <c r="J39" s="76" t="s">
        <v>74</v>
      </c>
    </row>
    <row r="40" spans="1:15" x14ac:dyDescent="0.75">
      <c r="A40" s="6"/>
      <c r="B40" s="16"/>
      <c r="C40" s="21"/>
      <c r="D40" s="21"/>
      <c r="E40" s="21"/>
      <c r="F40" s="21"/>
      <c r="G40" s="56"/>
      <c r="H40" s="21"/>
    </row>
    <row r="41" spans="1:15" x14ac:dyDescent="0.75">
      <c r="A41" s="6"/>
      <c r="B41" s="16"/>
      <c r="C41" s="21"/>
      <c r="D41" s="21"/>
      <c r="E41" s="21"/>
      <c r="F41" s="21"/>
      <c r="G41" s="56"/>
      <c r="H41" s="31"/>
      <c r="I41" s="71" t="s">
        <v>71</v>
      </c>
      <c r="J41" s="32" t="s">
        <v>72</v>
      </c>
    </row>
    <row r="42" spans="1:15" x14ac:dyDescent="0.75">
      <c r="A42" s="7" t="s">
        <v>66</v>
      </c>
      <c r="B42" s="28" cm="1">
        <f t="array" ref="B42:B46">MMULT(TRANSPOSE(B3:F22), A3:A22)</f>
        <v>10264898.927765112</v>
      </c>
      <c r="C42" s="21"/>
      <c r="D42" s="21"/>
      <c r="E42" s="21"/>
      <c r="F42" s="21"/>
      <c r="G42" s="56"/>
      <c r="H42" s="79" t="s">
        <v>70</v>
      </c>
      <c r="I42" s="72">
        <f>NORMINV(0.05, 0, 1)</f>
        <v>-1.6448536269514726</v>
      </c>
      <c r="J42" s="73">
        <f>NORMINV(1-0.05, 0, 1)</f>
        <v>1.6448536269514715</v>
      </c>
      <c r="K42" s="63"/>
    </row>
    <row r="43" spans="1:15" x14ac:dyDescent="0.75">
      <c r="A43" s="6"/>
      <c r="B43" s="29">
        <v>45326288001.927856</v>
      </c>
      <c r="C43" s="21"/>
      <c r="D43" s="21"/>
      <c r="E43" s="21"/>
      <c r="F43" s="21"/>
      <c r="G43" s="56"/>
      <c r="H43" s="21"/>
    </row>
    <row r="44" spans="1:15" x14ac:dyDescent="0.75">
      <c r="A44" s="6"/>
      <c r="B44" s="29">
        <v>4406462.4404306812</v>
      </c>
      <c r="C44" s="21"/>
      <c r="D44" s="21"/>
      <c r="E44" s="21"/>
      <c r="F44" s="21"/>
      <c r="G44" s="56"/>
      <c r="H44" s="31"/>
      <c r="I44" s="32" t="s">
        <v>77</v>
      </c>
      <c r="J44" s="32" t="s">
        <v>78</v>
      </c>
    </row>
    <row r="45" spans="1:15" ht="29.5" x14ac:dyDescent="0.75">
      <c r="A45" s="6"/>
      <c r="B45" s="29">
        <v>2438075.9636660684</v>
      </c>
      <c r="C45" s="21"/>
      <c r="D45" s="21"/>
      <c r="E45" s="21"/>
      <c r="F45" s="21"/>
      <c r="G45" s="56"/>
      <c r="H45" s="80" t="s">
        <v>76</v>
      </c>
      <c r="I45" s="77" t="s">
        <v>79</v>
      </c>
      <c r="J45" s="77" t="s">
        <v>80</v>
      </c>
      <c r="K45" s="86" t="s">
        <v>81</v>
      </c>
      <c r="L45" s="87"/>
      <c r="M45" s="87"/>
      <c r="N45" s="87"/>
      <c r="O45" s="87"/>
    </row>
    <row r="46" spans="1:15" x14ac:dyDescent="0.75">
      <c r="A46" s="6"/>
      <c r="B46" s="30">
        <v>126087296.09944902</v>
      </c>
      <c r="C46" s="21"/>
      <c r="D46" s="21"/>
      <c r="E46" s="21"/>
      <c r="F46" s="21"/>
      <c r="G46" s="56"/>
      <c r="H46" s="21"/>
    </row>
    <row r="47" spans="1:15" x14ac:dyDescent="0.75">
      <c r="H47" s="31"/>
      <c r="I47" s="85" t="s">
        <v>83</v>
      </c>
      <c r="J47" s="85"/>
      <c r="K47" s="85"/>
    </row>
    <row r="48" spans="1:15" x14ac:dyDescent="0.75">
      <c r="B48" s="7" t="s">
        <v>31</v>
      </c>
      <c r="I48" s="88" t="s">
        <v>86</v>
      </c>
      <c r="J48" s="88"/>
      <c r="K48" s="88"/>
    </row>
    <row r="49" spans="1:11" ht="29.5" x14ac:dyDescent="0.75">
      <c r="A49" s="32" t="s">
        <v>40</v>
      </c>
      <c r="B49" s="28" cm="1">
        <f t="array" ref="B49:B53">MMULT(_xlfn.ANCHORARRAY(B35),_xlfn.ANCHORARRAY(B42))</f>
        <v>3047.0918712945422</v>
      </c>
      <c r="H49" s="31"/>
      <c r="I49" s="40" t="s">
        <v>38</v>
      </c>
      <c r="J49" s="81" t="s">
        <v>85</v>
      </c>
      <c r="K49" s="40" t="s">
        <v>2</v>
      </c>
    </row>
    <row r="50" spans="1:11" x14ac:dyDescent="0.75">
      <c r="A50" s="32" t="s">
        <v>41</v>
      </c>
      <c r="B50" s="29">
        <v>156.99345850976766</v>
      </c>
      <c r="I50" s="82">
        <v>3500</v>
      </c>
      <c r="J50" s="40">
        <v>0</v>
      </c>
      <c r="K50" s="40">
        <v>10</v>
      </c>
    </row>
    <row r="51" spans="1:11" x14ac:dyDescent="0.75">
      <c r="A51" s="32" t="s">
        <v>42</v>
      </c>
      <c r="B51" s="29">
        <v>38567.845233449218</v>
      </c>
    </row>
    <row r="52" spans="1:11" x14ac:dyDescent="0.75">
      <c r="A52" s="32" t="s">
        <v>43</v>
      </c>
      <c r="B52" s="29">
        <v>-11954.473247954214</v>
      </c>
      <c r="I52" s="83" t="s">
        <v>3</v>
      </c>
      <c r="J52" s="84">
        <f>B50*I50 + B51*J50 + B53*K50</f>
        <v>521360.04192760331</v>
      </c>
    </row>
    <row r="53" spans="1:11" x14ac:dyDescent="0.75">
      <c r="A53" s="32" t="s">
        <v>44</v>
      </c>
      <c r="B53" s="30">
        <v>-2811.7062856583507</v>
      </c>
    </row>
  </sheetData>
  <mergeCells count="6">
    <mergeCell ref="K45:O45"/>
    <mergeCell ref="I47:K47"/>
    <mergeCell ref="I48:K48"/>
    <mergeCell ref="A25:F26"/>
    <mergeCell ref="B1:F1"/>
    <mergeCell ref="I26:M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B981-7136-434D-99EA-E97F5C0A1D0A}">
  <dimension ref="A1:I48"/>
  <sheetViews>
    <sheetView topLeftCell="A24" zoomScale="66" workbookViewId="0">
      <selection activeCell="E51" sqref="E51"/>
    </sheetView>
  </sheetViews>
  <sheetFormatPr defaultRowHeight="14.75" x14ac:dyDescent="0.75"/>
  <cols>
    <col min="1" max="1" width="25.54296875" customWidth="1"/>
    <col min="2" max="2" width="18.1328125" style="2" customWidth="1"/>
    <col min="3" max="4" width="18.1328125" customWidth="1"/>
    <col min="5" max="6" width="18.1328125" style="2" customWidth="1"/>
    <col min="7" max="9" width="18.1328125" customWidth="1"/>
  </cols>
  <sheetData>
    <row r="1" spans="1:6" s="5" customFormat="1" ht="29.5" x14ac:dyDescent="0.75">
      <c r="A1" s="3" t="s">
        <v>9</v>
      </c>
      <c r="B1" s="3" t="s">
        <v>4</v>
      </c>
      <c r="C1" s="4" t="s">
        <v>10</v>
      </c>
      <c r="D1" s="4" t="s">
        <v>11</v>
      </c>
      <c r="E1" s="3" t="s">
        <v>2</v>
      </c>
      <c r="F1" s="3"/>
    </row>
    <row r="2" spans="1:6" x14ac:dyDescent="0.75">
      <c r="A2" s="2">
        <v>182542.60709414128</v>
      </c>
      <c r="B2" s="2">
        <v>1500</v>
      </c>
      <c r="C2" s="2">
        <v>0</v>
      </c>
      <c r="D2" s="2">
        <v>1</v>
      </c>
      <c r="E2" s="2">
        <v>20</v>
      </c>
    </row>
    <row r="3" spans="1:6" x14ac:dyDescent="0.75">
      <c r="A3" s="2">
        <v>370773.8350706487</v>
      </c>
      <c r="B3" s="2">
        <v>2500</v>
      </c>
      <c r="C3" s="2">
        <v>0</v>
      </c>
      <c r="D3" s="2">
        <v>1</v>
      </c>
      <c r="E3" s="2">
        <v>0</v>
      </c>
    </row>
    <row r="4" spans="1:6" x14ac:dyDescent="0.75">
      <c r="A4" s="2">
        <v>726732.61856711342</v>
      </c>
      <c r="B4" s="2">
        <v>5000</v>
      </c>
      <c r="C4" s="2">
        <v>0</v>
      </c>
      <c r="D4" s="2">
        <v>0</v>
      </c>
      <c r="E4" s="2">
        <v>14</v>
      </c>
    </row>
    <row r="5" spans="1:6" x14ac:dyDescent="0.75">
      <c r="A5" s="2">
        <v>736804.56031781551</v>
      </c>
      <c r="B5" s="2">
        <v>4700</v>
      </c>
      <c r="C5" s="2">
        <v>0</v>
      </c>
      <c r="D5" s="2">
        <v>0</v>
      </c>
      <c r="E5" s="2">
        <v>12</v>
      </c>
    </row>
    <row r="6" spans="1:6" x14ac:dyDescent="0.75">
      <c r="A6" s="2">
        <v>521175.03980567883</v>
      </c>
      <c r="B6" s="2">
        <v>3500</v>
      </c>
      <c r="C6" s="2">
        <v>0</v>
      </c>
      <c r="D6" s="2">
        <v>0</v>
      </c>
      <c r="E6" s="2">
        <v>5</v>
      </c>
    </row>
    <row r="7" spans="1:6" x14ac:dyDescent="0.75">
      <c r="A7" s="2">
        <v>120898.42974780391</v>
      </c>
      <c r="B7" s="2">
        <v>1000</v>
      </c>
      <c r="C7" s="2">
        <v>1</v>
      </c>
      <c r="D7" s="2">
        <v>0</v>
      </c>
      <c r="E7" s="2">
        <v>25</v>
      </c>
    </row>
    <row r="8" spans="1:6" x14ac:dyDescent="0.75">
      <c r="A8" s="2">
        <v>214514.62288577142</v>
      </c>
      <c r="B8" s="2">
        <v>1500</v>
      </c>
      <c r="C8" s="2">
        <v>0</v>
      </c>
      <c r="D8" s="2">
        <v>1</v>
      </c>
      <c r="E8" s="2">
        <v>4</v>
      </c>
    </row>
    <row r="9" spans="1:6" x14ac:dyDescent="0.75">
      <c r="A9" s="2">
        <v>285393.94454387162</v>
      </c>
      <c r="B9" s="2">
        <v>1600</v>
      </c>
      <c r="C9" s="2">
        <v>0</v>
      </c>
      <c r="D9" s="2">
        <v>0</v>
      </c>
      <c r="E9" s="2">
        <v>3</v>
      </c>
    </row>
    <row r="10" spans="1:6" x14ac:dyDescent="0.75">
      <c r="A10" s="2">
        <v>334786.02314442373</v>
      </c>
      <c r="B10" s="2">
        <v>2000</v>
      </c>
      <c r="C10" s="2">
        <v>1</v>
      </c>
      <c r="D10" s="2">
        <v>0</v>
      </c>
      <c r="E10" s="2">
        <v>1</v>
      </c>
    </row>
    <row r="11" spans="1:6" x14ac:dyDescent="0.75">
      <c r="A11" s="2">
        <v>503309.81018930755</v>
      </c>
      <c r="B11" s="2">
        <v>3000</v>
      </c>
      <c r="C11" s="2">
        <v>1</v>
      </c>
      <c r="D11" s="2">
        <v>0</v>
      </c>
      <c r="E11" s="2">
        <v>0</v>
      </c>
    </row>
    <row r="12" spans="1:6" x14ac:dyDescent="0.75">
      <c r="A12" s="2">
        <v>507776.77722867939</v>
      </c>
      <c r="B12" s="2">
        <v>3600</v>
      </c>
      <c r="C12" s="2">
        <v>0</v>
      </c>
      <c r="D12" s="2">
        <v>1</v>
      </c>
      <c r="E12" s="2">
        <v>10</v>
      </c>
    </row>
    <row r="13" spans="1:6" x14ac:dyDescent="0.75">
      <c r="A13" s="2">
        <v>529610.56724872661</v>
      </c>
      <c r="B13" s="2">
        <v>4100</v>
      </c>
      <c r="C13" s="2">
        <v>0</v>
      </c>
      <c r="D13" s="2">
        <v>1</v>
      </c>
      <c r="E13" s="2">
        <v>35</v>
      </c>
    </row>
    <row r="14" spans="1:6" x14ac:dyDescent="0.75">
      <c r="A14" s="2">
        <v>632857.55413810059</v>
      </c>
      <c r="B14" s="2">
        <v>4300</v>
      </c>
      <c r="C14" s="2">
        <v>0</v>
      </c>
      <c r="D14" s="2">
        <v>1</v>
      </c>
      <c r="E14" s="2">
        <v>22</v>
      </c>
    </row>
    <row r="15" spans="1:6" x14ac:dyDescent="0.75">
      <c r="A15" s="2">
        <v>975881.47685807047</v>
      </c>
      <c r="B15" s="2">
        <v>6000</v>
      </c>
      <c r="C15" s="2">
        <v>1</v>
      </c>
      <c r="D15" s="2">
        <v>0</v>
      </c>
      <c r="E15" s="2">
        <v>12</v>
      </c>
    </row>
    <row r="16" spans="1:6" x14ac:dyDescent="0.75">
      <c r="A16" s="2">
        <v>1150254.3604338805</v>
      </c>
      <c r="B16" s="2">
        <v>8000</v>
      </c>
      <c r="C16" s="2">
        <v>0</v>
      </c>
      <c r="D16" s="2">
        <v>0</v>
      </c>
      <c r="E16" s="2">
        <v>28</v>
      </c>
    </row>
    <row r="17" spans="1:6" x14ac:dyDescent="0.75">
      <c r="A17" s="2">
        <v>1098931.6237268618</v>
      </c>
      <c r="B17" s="2">
        <v>6700</v>
      </c>
      <c r="C17" s="2">
        <v>1</v>
      </c>
      <c r="D17" s="2">
        <v>0</v>
      </c>
      <c r="E17" s="2">
        <v>6</v>
      </c>
    </row>
    <row r="18" spans="1:6" x14ac:dyDescent="0.75">
      <c r="A18" s="2">
        <v>227569.2760873152</v>
      </c>
      <c r="B18" s="2">
        <v>1400</v>
      </c>
      <c r="C18" s="2">
        <v>1</v>
      </c>
      <c r="D18" s="2">
        <v>0</v>
      </c>
      <c r="E18" s="2">
        <v>4</v>
      </c>
    </row>
    <row r="19" spans="1:6" x14ac:dyDescent="0.75">
      <c r="A19" s="2">
        <v>333222.98533935391</v>
      </c>
      <c r="B19" s="2">
        <v>1800</v>
      </c>
      <c r="C19" s="2">
        <v>1</v>
      </c>
      <c r="D19" s="2">
        <v>0</v>
      </c>
      <c r="E19" s="2">
        <v>9</v>
      </c>
    </row>
    <row r="20" spans="1:6" x14ac:dyDescent="0.75">
      <c r="A20" s="2">
        <v>344144.81241178833</v>
      </c>
      <c r="B20" s="2">
        <v>2200</v>
      </c>
      <c r="C20" s="2">
        <v>1</v>
      </c>
      <c r="D20" s="2">
        <v>0</v>
      </c>
      <c r="E20" s="2">
        <v>11</v>
      </c>
    </row>
    <row r="21" spans="1:6" x14ac:dyDescent="0.75">
      <c r="A21" s="2">
        <v>467718.00292575674</v>
      </c>
      <c r="B21" s="2">
        <v>2800</v>
      </c>
      <c r="C21" s="2">
        <v>1</v>
      </c>
      <c r="D21" s="2">
        <v>0</v>
      </c>
      <c r="E21" s="2">
        <v>0</v>
      </c>
    </row>
    <row r="25" spans="1:6" x14ac:dyDescent="0.75">
      <c r="A25" t="s">
        <v>15</v>
      </c>
      <c r="B25"/>
      <c r="E25"/>
      <c r="F25"/>
    </row>
    <row r="26" spans="1:6" ht="15.5" thickBot="1" x14ac:dyDescent="0.9">
      <c r="B26"/>
      <c r="E26"/>
      <c r="F26"/>
    </row>
    <row r="27" spans="1:6" x14ac:dyDescent="0.75">
      <c r="A27" s="11" t="s">
        <v>16</v>
      </c>
      <c r="B27" s="11"/>
      <c r="E27"/>
      <c r="F27"/>
    </row>
    <row r="28" spans="1:6" x14ac:dyDescent="0.75">
      <c r="A28" s="8" t="s">
        <v>17</v>
      </c>
      <c r="B28" s="8">
        <v>0.99719829829654794</v>
      </c>
      <c r="E28"/>
      <c r="F28"/>
    </row>
    <row r="29" spans="1:6" x14ac:dyDescent="0.75">
      <c r="A29" s="8" t="s">
        <v>18</v>
      </c>
      <c r="B29" s="8">
        <v>0.99440444612553103</v>
      </c>
      <c r="E29"/>
      <c r="F29"/>
    </row>
    <row r="30" spans="1:6" x14ac:dyDescent="0.75">
      <c r="A30" s="8" t="s">
        <v>19</v>
      </c>
      <c r="B30" s="8">
        <v>0.99291229842567263</v>
      </c>
      <c r="E30"/>
      <c r="F30"/>
    </row>
    <row r="31" spans="1:6" x14ac:dyDescent="0.75">
      <c r="A31" s="8" t="s">
        <v>20</v>
      </c>
      <c r="B31" s="8">
        <v>24992.648891301575</v>
      </c>
      <c r="E31"/>
      <c r="F31"/>
    </row>
    <row r="32" spans="1:6" ht="15.5" thickBot="1" x14ac:dyDescent="0.9">
      <c r="A32" s="9" t="s">
        <v>21</v>
      </c>
      <c r="B32" s="9">
        <v>20</v>
      </c>
      <c r="E32"/>
      <c r="F32"/>
    </row>
    <row r="33" spans="1:9" x14ac:dyDescent="0.75">
      <c r="B33"/>
      <c r="E33"/>
      <c r="F33"/>
    </row>
    <row r="34" spans="1:9" ht="15.5" thickBot="1" x14ac:dyDescent="0.9">
      <c r="A34" t="s">
        <v>22</v>
      </c>
      <c r="B34"/>
      <c r="E34"/>
      <c r="F34"/>
    </row>
    <row r="35" spans="1:9" x14ac:dyDescent="0.75">
      <c r="A35" s="10"/>
      <c r="B35" s="10" t="s">
        <v>26</v>
      </c>
      <c r="C35" s="10" t="s">
        <v>27</v>
      </c>
      <c r="D35" s="10" t="s">
        <v>28</v>
      </c>
      <c r="E35" s="10" t="s">
        <v>29</v>
      </c>
      <c r="F35" s="10" t="s">
        <v>30</v>
      </c>
    </row>
    <row r="36" spans="1:9" x14ac:dyDescent="0.75">
      <c r="A36" s="8" t="s">
        <v>23</v>
      </c>
      <c r="B36" s="8">
        <v>4</v>
      </c>
      <c r="C36" s="8">
        <v>1665082709614.1704</v>
      </c>
      <c r="D36" s="8">
        <v>416270677403.5426</v>
      </c>
      <c r="E36" s="8">
        <v>666.42494320092737</v>
      </c>
      <c r="F36" s="8">
        <v>1.0866570561846638E-16</v>
      </c>
    </row>
    <row r="37" spans="1:9" x14ac:dyDescent="0.75">
      <c r="A37" s="8" t="s">
        <v>24</v>
      </c>
      <c r="B37" s="8">
        <v>15</v>
      </c>
      <c r="C37" s="8">
        <v>9369487479.0581665</v>
      </c>
      <c r="D37" s="8">
        <v>624632498.60387778</v>
      </c>
      <c r="E37" s="8"/>
      <c r="F37" s="8"/>
    </row>
    <row r="38" spans="1:9" ht="15.5" thickBot="1" x14ac:dyDescent="0.9">
      <c r="A38" s="9" t="s">
        <v>25</v>
      </c>
      <c r="B38" s="9">
        <v>19</v>
      </c>
      <c r="C38" s="9">
        <v>1674452197093.2285</v>
      </c>
      <c r="D38" s="9"/>
      <c r="E38" s="9"/>
      <c r="F38" s="9"/>
    </row>
    <row r="39" spans="1:9" ht="15.5" thickBot="1" x14ac:dyDescent="0.9">
      <c r="B39"/>
      <c r="E39"/>
      <c r="F39"/>
    </row>
    <row r="40" spans="1:9" x14ac:dyDescent="0.75">
      <c r="A40" s="10"/>
      <c r="B40" s="10" t="s">
        <v>31</v>
      </c>
      <c r="C40" s="10" t="s">
        <v>20</v>
      </c>
      <c r="D40" s="10" t="s">
        <v>32</v>
      </c>
      <c r="E40" s="10" t="s">
        <v>33</v>
      </c>
      <c r="F40" s="10" t="s">
        <v>34</v>
      </c>
      <c r="G40" s="10" t="s">
        <v>35</v>
      </c>
      <c r="H40" s="10" t="s">
        <v>36</v>
      </c>
      <c r="I40" s="10" t="s">
        <v>37</v>
      </c>
    </row>
    <row r="41" spans="1:9" x14ac:dyDescent="0.75">
      <c r="A41" s="8" t="s">
        <v>12</v>
      </c>
      <c r="B41" s="8">
        <v>3047.0918712900275</v>
      </c>
      <c r="C41" s="8">
        <v>18428.501592970882</v>
      </c>
      <c r="D41" s="8">
        <v>0.16534669712117392</v>
      </c>
      <c r="E41" s="8">
        <v>0.87087893589778043</v>
      </c>
      <c r="F41" s="8">
        <v>-36232.32947439533</v>
      </c>
      <c r="G41" s="8">
        <v>42326.513216975392</v>
      </c>
      <c r="H41" s="8">
        <v>-36232.32947439533</v>
      </c>
      <c r="I41" s="8">
        <v>42326.513216975392</v>
      </c>
    </row>
    <row r="42" spans="1:9" x14ac:dyDescent="0.75">
      <c r="A42" s="8" t="s">
        <v>4</v>
      </c>
      <c r="B42" s="8">
        <v>156.99345850976871</v>
      </c>
      <c r="C42" s="8">
        <v>3.3862947110410402</v>
      </c>
      <c r="D42" s="8">
        <v>46.361428022756058</v>
      </c>
      <c r="E42" s="8">
        <v>1.2991928793620667E-17</v>
      </c>
      <c r="F42" s="8">
        <v>149.77574218678882</v>
      </c>
      <c r="G42" s="8">
        <v>164.21117483274861</v>
      </c>
      <c r="H42" s="8">
        <v>149.77574218678882</v>
      </c>
      <c r="I42" s="8">
        <v>164.21117483274861</v>
      </c>
    </row>
    <row r="43" spans="1:9" x14ac:dyDescent="0.75">
      <c r="A43" s="8" t="s">
        <v>10</v>
      </c>
      <c r="B43" s="8">
        <v>38567.845233451109</v>
      </c>
      <c r="C43" s="8">
        <v>14851.663736686716</v>
      </c>
      <c r="D43" s="8">
        <v>2.5968703518502418</v>
      </c>
      <c r="E43" s="8">
        <v>2.0224592910875985E-2</v>
      </c>
      <c r="F43" s="8">
        <v>6912.2733110836307</v>
      </c>
      <c r="G43" s="8">
        <v>70223.417155818592</v>
      </c>
      <c r="H43" s="8">
        <v>6912.2733110836307</v>
      </c>
      <c r="I43" s="8">
        <v>70223.417155818592</v>
      </c>
    </row>
    <row r="44" spans="1:9" x14ac:dyDescent="0.75">
      <c r="A44" s="8" t="s">
        <v>11</v>
      </c>
      <c r="B44" s="8">
        <v>-11954.473247952799</v>
      </c>
      <c r="C44" s="8">
        <v>16434.838815881354</v>
      </c>
      <c r="D44" s="8">
        <v>-0.72738609619955163</v>
      </c>
      <c r="E44" s="8">
        <v>0.47818986985790646</v>
      </c>
      <c r="F44" s="8">
        <v>-46984.502973411247</v>
      </c>
      <c r="G44" s="8">
        <v>23075.556477505652</v>
      </c>
      <c r="H44" s="8">
        <v>-46984.502973411247</v>
      </c>
      <c r="I44" s="8">
        <v>23075.556477505652</v>
      </c>
    </row>
    <row r="45" spans="1:9" ht="15.5" thickBot="1" x14ac:dyDescent="0.9">
      <c r="A45" s="9" t="s">
        <v>2</v>
      </c>
      <c r="B45" s="9">
        <v>-2811.7062856583243</v>
      </c>
      <c r="C45" s="9">
        <v>639.81794328745707</v>
      </c>
      <c r="D45" s="9">
        <v>-4.3945411583980576</v>
      </c>
      <c r="E45" s="9">
        <v>5.2259033114382056E-4</v>
      </c>
      <c r="F45" s="9">
        <v>-4175.4459501193642</v>
      </c>
      <c r="G45" s="9">
        <v>-1447.9666211972847</v>
      </c>
      <c r="H45" s="9">
        <v>-4175.4459501193642</v>
      </c>
      <c r="I45" s="9">
        <v>-1447.9666211972847</v>
      </c>
    </row>
    <row r="46" spans="1:9" x14ac:dyDescent="0.75">
      <c r="B46"/>
      <c r="E46"/>
      <c r="F46"/>
    </row>
    <row r="47" spans="1:9" x14ac:dyDescent="0.75">
      <c r="B47"/>
      <c r="E47"/>
      <c r="F47"/>
    </row>
    <row r="48" spans="1:9" x14ac:dyDescent="0.75">
      <c r="B48"/>
      <c r="E48"/>
      <c r="F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Part A + B + C + D</vt:lpstr>
      <vt:lpstr>Part E + F + G + H</vt:lpstr>
      <vt:lpstr>Regression - Testing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Thu Uyên Nguyễn</cp:lastModifiedBy>
  <dcterms:created xsi:type="dcterms:W3CDTF">2020-09-03T00:56:35Z</dcterms:created>
  <dcterms:modified xsi:type="dcterms:W3CDTF">2020-09-11T18:09:37Z</dcterms:modified>
</cp:coreProperties>
</file>