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己用\龙的文档(北理)\大一下\物理实验\我自己的备份\2024.5.9 周四上午 动态法测杨氏模量\"/>
    </mc:Choice>
  </mc:AlternateContent>
  <xr:revisionPtr revIDLastSave="0" documentId="13_ncr:1_{5468A76A-9ED3-4E42-A869-008503A549A7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O30" i="2"/>
  <c r="L30" i="2"/>
  <c r="N30" i="2"/>
  <c r="K32" i="2"/>
  <c r="K31" i="2"/>
  <c r="K33" i="2"/>
  <c r="J30" i="2"/>
  <c r="F30" i="2"/>
  <c r="G30" i="2" s="1"/>
  <c r="I30" i="2" s="1"/>
  <c r="F31" i="2"/>
  <c r="G31" i="2" s="1"/>
  <c r="I31" i="2" s="1"/>
  <c r="F32" i="2"/>
  <c r="G32" i="2" s="1"/>
  <c r="I32" i="2" s="1"/>
  <c r="F33" i="2"/>
  <c r="G33" i="2" s="1"/>
  <c r="I33" i="2" s="1"/>
  <c r="O26" i="2"/>
  <c r="N26" i="2"/>
  <c r="B19" i="2"/>
  <c r="D9" i="2"/>
  <c r="C9" i="2"/>
  <c r="B9" i="2"/>
  <c r="H39" i="2"/>
  <c r="J39" i="2" s="1"/>
  <c r="E39" i="2"/>
  <c r="G39" i="2" s="1"/>
  <c r="H38" i="2"/>
  <c r="J38" i="2" s="1"/>
  <c r="E38" i="2"/>
  <c r="G38" i="2" s="1"/>
  <c r="H37" i="2"/>
  <c r="J37" i="2" s="1"/>
  <c r="H36" i="2"/>
  <c r="J36" i="2" s="1"/>
  <c r="W34" i="2"/>
  <c r="V34" i="2"/>
  <c r="G20" i="2"/>
  <c r="J19" i="2" s="1"/>
  <c r="F20" i="2"/>
  <c r="I19" i="2" s="1"/>
  <c r="D23" i="2" s="1"/>
  <c r="G18" i="2"/>
  <c r="J17" i="2" s="1"/>
  <c r="D18" i="2"/>
  <c r="C18" i="2"/>
  <c r="B18" i="2"/>
  <c r="A18" i="2"/>
  <c r="D10" i="2"/>
  <c r="C10" i="2"/>
  <c r="C19" i="2" s="1"/>
  <c r="B10" i="2"/>
  <c r="F18" i="2" s="1"/>
  <c r="I17" i="2" s="1"/>
  <c r="B23" i="2" s="1"/>
  <c r="D8" i="2"/>
  <c r="C8" i="2"/>
  <c r="B8" i="2"/>
  <c r="D7" i="2"/>
  <c r="C7" i="2"/>
  <c r="G19" i="2" s="1"/>
  <c r="J18" i="2" s="1"/>
  <c r="B7" i="2"/>
  <c r="B24" i="1"/>
  <c r="B25" i="1" s="1"/>
  <c r="C19" i="1"/>
  <c r="B19" i="1"/>
  <c r="B20" i="1" s="1"/>
  <c r="K18" i="1"/>
  <c r="K17" i="1"/>
  <c r="E14" i="1"/>
  <c r="D14" i="1"/>
  <c r="C14" i="1"/>
  <c r="B14" i="1"/>
  <c r="A14" i="1"/>
  <c r="I7" i="1"/>
  <c r="H7" i="1"/>
  <c r="G7" i="1"/>
  <c r="F7" i="1"/>
  <c r="J8" i="1" s="1"/>
  <c r="J9" i="1" s="1"/>
  <c r="J10" i="1" s="1"/>
  <c r="J6" i="1"/>
  <c r="I6" i="1"/>
  <c r="H6" i="1"/>
  <c r="G6" i="1"/>
  <c r="F6" i="1"/>
  <c r="E6" i="1"/>
  <c r="J7" i="1" s="1"/>
  <c r="D6" i="1"/>
  <c r="C6" i="1"/>
  <c r="B6" i="1"/>
  <c r="A6" i="1"/>
  <c r="J3" i="1"/>
  <c r="I3" i="1"/>
  <c r="H3" i="1"/>
  <c r="G3" i="1"/>
  <c r="F3" i="1"/>
  <c r="E3" i="1"/>
  <c r="D3" i="1"/>
  <c r="C3" i="1"/>
  <c r="B3" i="1"/>
  <c r="A3" i="1"/>
  <c r="T34" i="2" l="1"/>
  <c r="U34" i="2"/>
  <c r="E36" i="2"/>
  <c r="G36" i="2" s="1"/>
  <c r="J31" i="2"/>
  <c r="J32" i="2"/>
  <c r="E37" i="2"/>
  <c r="G37" i="2" s="1"/>
  <c r="L32" i="2"/>
  <c r="D19" i="2"/>
  <c r="H15" i="1"/>
  <c r="I15" i="1" s="1"/>
  <c r="B12" i="2"/>
  <c r="B24" i="2" s="1"/>
  <c r="F19" i="2"/>
  <c r="I18" i="2" s="1"/>
  <c r="C23" i="2" s="1"/>
  <c r="C12" i="2"/>
  <c r="C20" i="2" s="1"/>
  <c r="D12" i="2"/>
  <c r="D24" i="2" s="1"/>
  <c r="B20" i="2"/>
  <c r="B15" i="1"/>
  <c r="L31" i="2" l="1"/>
  <c r="J33" i="2"/>
  <c r="L33" i="2" s="1"/>
  <c r="C24" i="2"/>
  <c r="D20" i="2"/>
</calcChain>
</file>

<file path=xl/sharedStrings.xml><?xml version="1.0" encoding="utf-8"?>
<sst xmlns="http://schemas.openxmlformats.org/spreadsheetml/2006/main" count="78" uniqueCount="46">
  <si>
    <t>逐差法</t>
  </si>
  <si>
    <t>D</t>
  </si>
  <si>
    <t>L</t>
  </si>
  <si>
    <t>d</t>
  </si>
  <si>
    <t>b</t>
  </si>
  <si>
    <t>K</t>
  </si>
  <si>
    <t>E</t>
  </si>
  <si>
    <t>不确定度的计算</t>
  </si>
  <si>
    <t>dL</t>
  </si>
  <si>
    <t>dd</t>
  </si>
  <si>
    <t>dD</t>
  </si>
  <si>
    <t>db</t>
  </si>
  <si>
    <t>dyi</t>
  </si>
  <si>
    <t>uE</t>
  </si>
  <si>
    <t>相对不确定度</t>
  </si>
  <si>
    <t>线性回归法</t>
  </si>
  <si>
    <t>平均</t>
  </si>
  <si>
    <t>作图法</t>
  </si>
  <si>
    <t>f</t>
  </si>
  <si>
    <t>m</t>
  </si>
  <si>
    <t>径长比</t>
  </si>
  <si>
    <t>T1</t>
  </si>
  <si>
    <t>不确定度</t>
  </si>
  <si>
    <t>合成</t>
  </si>
  <si>
    <t>df</t>
  </si>
  <si>
    <t>dm</t>
  </si>
  <si>
    <t>A类（f）</t>
  </si>
  <si>
    <t>（d）</t>
  </si>
  <si>
    <t>u</t>
  </si>
  <si>
    <t>u(%)</t>
  </si>
  <si>
    <t>d/L</t>
  </si>
  <si>
    <t>uE/E</t>
  </si>
  <si>
    <t>钢棒</t>
  </si>
  <si>
    <t>铜棒</t>
  </si>
  <si>
    <t>细铝棒</t>
  </si>
  <si>
    <t>粗铝棒</t>
  </si>
  <si>
    <t>um</t>
  </si>
  <si>
    <t>ul</t>
  </si>
  <si>
    <t>ufA</t>
  </si>
  <si>
    <t>ufB</t>
  </si>
  <si>
    <t>ufC</t>
  </si>
  <si>
    <t>udA</t>
  </si>
  <si>
    <t>udB</t>
  </si>
  <si>
    <t>udC</t>
  </si>
  <si>
    <t>注：我上的张力达老师班不用算A类不确定度，因此修改了uE的计算公式</t>
    <phoneticPr fontId="2" type="noConversion"/>
  </si>
  <si>
    <r>
      <t>千分尺零度数d</t>
    </r>
    <r>
      <rPr>
        <vertAlign val="subscript"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=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</si>
</sst>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;_"/>
    <numFmt numFmtId="177" formatCode="0.00_ "/>
    <numFmt numFmtId="178" formatCode="0.00;_"/>
    <numFmt numFmtId="179" formatCode="0.0000E+00"/>
    <numFmt numFmtId="180" formatCode="0.00000E+00"/>
    <numFmt numFmtId="181" formatCode="0.00000%"/>
    <numFmt numFmtId="182" formatCode="0.0_ "/>
    <numFmt numFmtId="183" formatCode="0.000_ "/>
    <numFmt numFmtId="184" formatCode="0.000E+00"/>
    <numFmt numFmtId="185" formatCode="0.000"/>
    <numFmt numFmtId="186" formatCode="0.0%"/>
  </numFmts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2" fontId="0" fillId="2" borderId="0" xfId="0" applyNumberFormat="1" applyFill="1" applyAlignment="1">
      <alignment horizontal="center" vertical="center"/>
    </xf>
    <xf numFmtId="182" fontId="0" fillId="3" borderId="0" xfId="0" applyNumberFormat="1" applyFill="1" applyAlignment="1">
      <alignment horizontal="center" vertical="center"/>
    </xf>
    <xf numFmtId="11" fontId="0" fillId="4" borderId="0" xfId="0" applyNumberFormat="1" applyFill="1">
      <alignment vertical="center"/>
    </xf>
    <xf numFmtId="182" fontId="0" fillId="0" borderId="7" xfId="0" applyNumberFormat="1" applyBorder="1" applyAlignment="1">
      <alignment horizontal="center" vertical="center"/>
    </xf>
    <xf numFmtId="182" fontId="0" fillId="0" borderId="8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82" fontId="0" fillId="2" borderId="0" xfId="0" applyNumberFormat="1" applyFill="1">
      <alignment vertical="center"/>
    </xf>
    <xf numFmtId="182" fontId="0" fillId="0" borderId="3" xfId="0" applyNumberFormat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2" fontId="1" fillId="6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84" fontId="0" fillId="4" borderId="0" xfId="0" applyNumberFormat="1" applyFill="1">
      <alignment vertical="center"/>
    </xf>
    <xf numFmtId="184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0" fillId="0" borderId="9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8" fontId="0" fillId="2" borderId="13" xfId="0" applyNumberForma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14" xfId="0" applyNumberFormat="1" applyFill="1" applyBorder="1" applyAlignment="1">
      <alignment horizontal="center" vertical="center"/>
    </xf>
    <xf numFmtId="0" fontId="0" fillId="2" borderId="15" xfId="0" applyFill="1" applyBorder="1">
      <alignment vertical="center"/>
    </xf>
    <xf numFmtId="179" fontId="0" fillId="2" borderId="16" xfId="0" applyNumberFormat="1" applyFill="1" applyBorder="1">
      <alignment vertical="center"/>
    </xf>
    <xf numFmtId="179" fontId="0" fillId="2" borderId="17" xfId="0" applyNumberFormat="1" applyFill="1" applyBorder="1">
      <alignment vertical="center"/>
    </xf>
    <xf numFmtId="0" fontId="0" fillId="0" borderId="10" xfId="0" applyBorder="1">
      <alignment vertical="center"/>
    </xf>
    <xf numFmtId="180" fontId="0" fillId="0" borderId="13" xfId="0" applyNumberFormat="1" applyBorder="1" applyAlignment="1">
      <alignment horizontal="right" vertical="center"/>
    </xf>
    <xf numFmtId="180" fontId="0" fillId="2" borderId="0" xfId="0" applyNumberFormat="1" applyFill="1">
      <alignment vertical="center"/>
    </xf>
    <xf numFmtId="180" fontId="0" fillId="2" borderId="14" xfId="0" applyNumberFormat="1" applyFill="1" applyBorder="1">
      <alignment vertical="center"/>
    </xf>
    <xf numFmtId="0" fontId="0" fillId="0" borderId="13" xfId="0" applyBorder="1" applyAlignment="1">
      <alignment horizontal="right" vertical="center"/>
    </xf>
    <xf numFmtId="181" fontId="0" fillId="2" borderId="0" xfId="0" applyNumberFormat="1" applyFill="1">
      <alignment vertical="center"/>
    </xf>
    <xf numFmtId="181" fontId="0" fillId="2" borderId="14" xfId="0" applyNumberFormat="1" applyFill="1" applyBorder="1">
      <alignment vertical="center"/>
    </xf>
    <xf numFmtId="0" fontId="0" fillId="0" borderId="15" xfId="0" applyBorder="1" applyAlignment="1">
      <alignment horizontal="right" vertical="center"/>
    </xf>
    <xf numFmtId="11" fontId="0" fillId="0" borderId="16" xfId="0" applyNumberFormat="1" applyBorder="1">
      <alignment vertical="center"/>
    </xf>
    <xf numFmtId="179" fontId="0" fillId="0" borderId="16" xfId="0" applyNumberFormat="1" applyBorder="1">
      <alignment vertical="center"/>
    </xf>
    <xf numFmtId="179" fontId="0" fillId="0" borderId="17" xfId="0" applyNumberFormat="1" applyBorder="1">
      <alignment vertical="center"/>
    </xf>
    <xf numFmtId="0" fontId="4" fillId="0" borderId="10" xfId="0" applyFont="1" applyBorder="1">
      <alignment vertical="center"/>
    </xf>
    <xf numFmtId="178" fontId="0" fillId="0" borderId="0" xfId="0" applyNumberFormat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85" fontId="0" fillId="0" borderId="0" xfId="0" applyNumberFormat="1">
      <alignment vertical="center"/>
    </xf>
    <xf numFmtId="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8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B15" sqref="B15"/>
    </sheetView>
  </sheetViews>
  <sheetFormatPr defaultColWidth="9" defaultRowHeight="14.1" x14ac:dyDescent="0.4"/>
  <cols>
    <col min="1" max="3" width="12.734375" customWidth="1"/>
    <col min="4" max="9" width="11.62890625" customWidth="1"/>
    <col min="10" max="10" width="14.89453125" customWidth="1"/>
  </cols>
  <sheetData>
    <row r="1" spans="1:12" x14ac:dyDescent="0.4">
      <c r="A1" s="74" t="s">
        <v>0</v>
      </c>
      <c r="B1" s="74"/>
    </row>
    <row r="2" spans="1:12" x14ac:dyDescent="0.4">
      <c r="A2" s="2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t="s">
        <v>1</v>
      </c>
      <c r="L2" s="2">
        <v>1676.5</v>
      </c>
    </row>
    <row r="3" spans="1:12" x14ac:dyDescent="0.4">
      <c r="A3" s="5">
        <f t="shared" ref="A3:C3" si="0">A2*9.8</f>
        <v>0</v>
      </c>
      <c r="B3" s="5">
        <f t="shared" si="0"/>
        <v>9.8000000000000007</v>
      </c>
      <c r="C3" s="5">
        <f t="shared" si="0"/>
        <v>19.600000000000001</v>
      </c>
      <c r="D3" s="5">
        <f t="shared" ref="D3:J3" si="1">D2*9.8</f>
        <v>29.400000000000002</v>
      </c>
      <c r="E3" s="5">
        <f t="shared" si="1"/>
        <v>39.200000000000003</v>
      </c>
      <c r="F3" s="5">
        <f t="shared" si="1"/>
        <v>49</v>
      </c>
      <c r="G3" s="5">
        <f t="shared" si="1"/>
        <v>58.800000000000004</v>
      </c>
      <c r="H3" s="5">
        <f t="shared" si="1"/>
        <v>68.600000000000009</v>
      </c>
      <c r="I3" s="5">
        <f t="shared" si="1"/>
        <v>78.400000000000006</v>
      </c>
      <c r="J3" s="5">
        <f t="shared" si="1"/>
        <v>88.2</v>
      </c>
      <c r="K3" t="s">
        <v>2</v>
      </c>
      <c r="L3" s="2">
        <v>828.5</v>
      </c>
    </row>
    <row r="4" spans="1:12" x14ac:dyDescent="0.4">
      <c r="A4" s="6">
        <v>90</v>
      </c>
      <c r="B4" s="7">
        <v>98.9</v>
      </c>
      <c r="C4" s="7">
        <v>107.8</v>
      </c>
      <c r="D4" s="7">
        <v>116.2</v>
      </c>
      <c r="E4" s="7">
        <v>125.5</v>
      </c>
      <c r="F4" s="7">
        <v>134.19999999999999</v>
      </c>
      <c r="G4" s="7">
        <v>143.1</v>
      </c>
      <c r="H4" s="7">
        <v>151.6</v>
      </c>
      <c r="I4" s="7">
        <v>160.80000000000001</v>
      </c>
      <c r="J4" s="18">
        <v>169.3</v>
      </c>
      <c r="K4" t="s">
        <v>3</v>
      </c>
      <c r="L4" s="19">
        <v>0.504</v>
      </c>
    </row>
    <row r="5" spans="1:12" x14ac:dyDescent="0.4">
      <c r="A5" s="8">
        <v>91.2</v>
      </c>
      <c r="B5" s="9">
        <v>99.7</v>
      </c>
      <c r="C5" s="9">
        <v>109.1</v>
      </c>
      <c r="D5" s="9">
        <v>117.4</v>
      </c>
      <c r="E5" s="9">
        <v>127.6</v>
      </c>
      <c r="F5" s="9">
        <v>135.80000000000001</v>
      </c>
      <c r="G5" s="9">
        <v>145</v>
      </c>
      <c r="H5" s="9">
        <v>152.30000000000001</v>
      </c>
      <c r="I5" s="9">
        <v>162.69999999999999</v>
      </c>
      <c r="J5" s="20">
        <v>169.3</v>
      </c>
      <c r="K5" t="s">
        <v>4</v>
      </c>
      <c r="L5" s="5">
        <v>77</v>
      </c>
    </row>
    <row r="6" spans="1:12" x14ac:dyDescent="0.4">
      <c r="A6" s="10">
        <f>(A4+A5)/2</f>
        <v>90.6</v>
      </c>
      <c r="B6" s="10">
        <f t="shared" ref="B6:J6" si="2">(B4+B5)/2</f>
        <v>99.300000000000011</v>
      </c>
      <c r="C6" s="10">
        <f t="shared" si="2"/>
        <v>108.44999999999999</v>
      </c>
      <c r="D6" s="10">
        <f t="shared" si="2"/>
        <v>116.80000000000001</v>
      </c>
      <c r="E6" s="10">
        <f t="shared" si="2"/>
        <v>126.55</v>
      </c>
      <c r="F6" s="10">
        <f t="shared" si="2"/>
        <v>135</v>
      </c>
      <c r="G6" s="10">
        <f t="shared" si="2"/>
        <v>144.05000000000001</v>
      </c>
      <c r="H6" s="10">
        <f t="shared" si="2"/>
        <v>151.94999999999999</v>
      </c>
      <c r="I6" s="10">
        <f t="shared" si="2"/>
        <v>161.75</v>
      </c>
      <c r="J6" s="10">
        <f t="shared" si="2"/>
        <v>169.3</v>
      </c>
    </row>
    <row r="7" spans="1:12" x14ac:dyDescent="0.4">
      <c r="F7" s="11">
        <f>F6-A6</f>
        <v>44.400000000000006</v>
      </c>
      <c r="G7" s="11">
        <f t="shared" ref="G7:J7" si="3">G6-B6</f>
        <v>44.75</v>
      </c>
      <c r="H7" s="11">
        <f t="shared" si="3"/>
        <v>43.5</v>
      </c>
      <c r="I7" s="11">
        <f t="shared" si="3"/>
        <v>44.949999999999989</v>
      </c>
      <c r="J7" s="11">
        <f t="shared" si="3"/>
        <v>42.750000000000014</v>
      </c>
    </row>
    <row r="8" spans="1:12" x14ac:dyDescent="0.4">
      <c r="J8" s="21">
        <f>AVERAGE(F7:J7)</f>
        <v>44.070000000000007</v>
      </c>
    </row>
    <row r="9" spans="1:12" x14ac:dyDescent="0.4">
      <c r="I9" s="1" t="s">
        <v>5</v>
      </c>
      <c r="J9" s="22">
        <f>J8/(5*9.8)</f>
        <v>0.89938775510204094</v>
      </c>
    </row>
    <row r="10" spans="1:12" x14ac:dyDescent="0.4">
      <c r="I10" s="1" t="s">
        <v>6</v>
      </c>
      <c r="J10" s="23">
        <f>8*L2*L3*10^3/(3.1415926*L4^2*L5*J9)*10^3</f>
        <v>201065437726.48749</v>
      </c>
    </row>
    <row r="11" spans="1:12" x14ac:dyDescent="0.4">
      <c r="A11" s="74" t="s">
        <v>7</v>
      </c>
      <c r="B11" s="74"/>
    </row>
    <row r="12" spans="1:12" x14ac:dyDescent="0.4">
      <c r="A12" s="2" t="s">
        <v>8</v>
      </c>
      <c r="B12" s="2" t="s">
        <v>9</v>
      </c>
      <c r="C12" s="2" t="s">
        <v>10</v>
      </c>
      <c r="D12" s="2" t="s">
        <v>11</v>
      </c>
      <c r="E12" s="2" t="s">
        <v>12</v>
      </c>
    </row>
    <row r="13" spans="1:12" x14ac:dyDescent="0.4">
      <c r="A13" s="2">
        <v>6</v>
      </c>
      <c r="B13" s="2">
        <v>4.0000000000000001E-3</v>
      </c>
      <c r="C13" s="2">
        <v>6</v>
      </c>
      <c r="D13" s="2">
        <v>1</v>
      </c>
      <c r="E13" s="2">
        <v>1</v>
      </c>
    </row>
    <row r="14" spans="1:12" x14ac:dyDescent="0.4">
      <c r="A14">
        <f>A13/SQRT(3)</f>
        <v>3.4641016151377548</v>
      </c>
      <c r="B14">
        <f t="shared" ref="B14:E14" si="4">B13/SQRT(3)</f>
        <v>2.3094010767585032E-3</v>
      </c>
      <c r="C14">
        <f t="shared" si="4"/>
        <v>3.4641016151377548</v>
      </c>
      <c r="D14">
        <f t="shared" si="4"/>
        <v>0.57735026918962584</v>
      </c>
      <c r="E14">
        <f t="shared" si="4"/>
        <v>0.57735026918962584</v>
      </c>
    </row>
    <row r="15" spans="1:12" x14ac:dyDescent="0.4">
      <c r="A15" s="1" t="s">
        <v>13</v>
      </c>
      <c r="B15" s="12">
        <f>SQRT(L3^2*C14^2+L2^2*A14^2+4*L2^2*L3^2*B14^2/L4^2+L2^2*L3^2*D14^2/L5^2+L2^2*L3^2*(E14/9.8)^2/J9^2)*8*10^6/(3.14159*L4^2*L5*J9)</f>
        <v>13416818965.33201</v>
      </c>
      <c r="G15" t="s">
        <v>14</v>
      </c>
      <c r="H15">
        <f>SQRT(C14^2/L2^2+A14^2/L3^2+E14^2/(J8/5)^2+D14^2/L5^2+4*B14^2/L4^2)</f>
        <v>6.6728563661682172E-2</v>
      </c>
      <c r="I15" s="24">
        <f>H15*J10</f>
        <v>13416807861.495913</v>
      </c>
    </row>
    <row r="16" spans="1:12" x14ac:dyDescent="0.4">
      <c r="A16" s="74" t="s">
        <v>15</v>
      </c>
      <c r="B16" s="74"/>
      <c r="K16" t="s">
        <v>16</v>
      </c>
    </row>
    <row r="17" spans="1:11" x14ac:dyDescent="0.4">
      <c r="A17" s="5">
        <v>0</v>
      </c>
      <c r="B17" s="5">
        <v>9.8000000000000007</v>
      </c>
      <c r="C17" s="5">
        <v>19.600000000000001</v>
      </c>
      <c r="D17" s="5">
        <v>29.4</v>
      </c>
      <c r="E17" s="5">
        <v>39.200000000000003</v>
      </c>
      <c r="F17" s="5">
        <v>49</v>
      </c>
      <c r="G17" s="5">
        <v>58.8</v>
      </c>
      <c r="H17" s="5">
        <v>68.599999999999994</v>
      </c>
      <c r="I17" s="5">
        <v>78.400000000000006</v>
      </c>
      <c r="J17" s="5">
        <v>88.2</v>
      </c>
      <c r="K17" s="25">
        <f>AVERAGE(A17:J17)</f>
        <v>44.099999999999994</v>
      </c>
    </row>
    <row r="18" spans="1:11" x14ac:dyDescent="0.4">
      <c r="A18" s="13">
        <v>90.6</v>
      </c>
      <c r="B18" s="14">
        <v>99.3</v>
      </c>
      <c r="C18" s="14">
        <v>108.45</v>
      </c>
      <c r="D18" s="14">
        <v>116.8</v>
      </c>
      <c r="E18" s="14">
        <v>126.55</v>
      </c>
      <c r="F18" s="14">
        <v>135</v>
      </c>
      <c r="G18" s="14">
        <v>144.05000000000001</v>
      </c>
      <c r="H18" s="14">
        <v>151.94999999999999</v>
      </c>
      <c r="I18" s="14">
        <v>161.75</v>
      </c>
      <c r="J18" s="26">
        <v>169.3</v>
      </c>
      <c r="K18" s="25">
        <f>AVERAGE(A18:J18)</f>
        <v>130.375</v>
      </c>
    </row>
    <row r="19" spans="1:11" x14ac:dyDescent="0.4">
      <c r="A19" s="1" t="s">
        <v>5</v>
      </c>
      <c r="B19" s="15">
        <f>SLOPE(A18:J18,A17:J17)</f>
        <v>0.89867037724180598</v>
      </c>
      <c r="C19">
        <f>INTERCEPT(A18:J18,A17:J17)</f>
        <v>90.743636363636369</v>
      </c>
    </row>
    <row r="20" spans="1:11" x14ac:dyDescent="0.4">
      <c r="A20" s="1" t="s">
        <v>6</v>
      </c>
      <c r="B20" s="16">
        <f>8*L2*L3*10^3/(3.1415926*L4^2*L5*B19)*10^3</f>
        <v>201225941396.28256</v>
      </c>
    </row>
    <row r="23" spans="1:11" x14ac:dyDescent="0.4">
      <c r="A23" s="74" t="s">
        <v>17</v>
      </c>
      <c r="B23" s="74"/>
    </row>
    <row r="24" spans="1:11" x14ac:dyDescent="0.4">
      <c r="A24" s="1" t="s">
        <v>5</v>
      </c>
      <c r="B24" s="17">
        <f>(F18-A18)/(F17-A17)</f>
        <v>0.90612244897959193</v>
      </c>
    </row>
    <row r="25" spans="1:11" x14ac:dyDescent="0.4">
      <c r="A25" s="1" t="s">
        <v>6</v>
      </c>
      <c r="B25" s="3">
        <f>8*L2*L3*10^3/(3.1415926*L4^2*L5*B24)*10^3</f>
        <v>199571032446.08792</v>
      </c>
    </row>
  </sheetData>
  <mergeCells count="4">
    <mergeCell ref="A1:B1"/>
    <mergeCell ref="A11:B11"/>
    <mergeCell ref="A16:B16"/>
    <mergeCell ref="A23:B23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tabSelected="1" topLeftCell="A15" workbookViewId="0">
      <selection activeCell="K31" sqref="K31"/>
    </sheetView>
  </sheetViews>
  <sheetFormatPr defaultColWidth="9" defaultRowHeight="14.1" x14ac:dyDescent="0.4"/>
  <cols>
    <col min="1" max="1" width="12.734375" customWidth="1"/>
    <col min="2" max="2" width="12.89453125" customWidth="1"/>
    <col min="3" max="4" width="12.734375" customWidth="1"/>
    <col min="5" max="5" width="12.7890625"/>
    <col min="6" max="6" width="18.89453125" bestFit="1" customWidth="1"/>
    <col min="7" max="12" width="12.7890625"/>
    <col min="15" max="15" width="12.7890625"/>
  </cols>
  <sheetData>
    <row r="1" spans="1:12" x14ac:dyDescent="0.4">
      <c r="A1" s="1" t="s">
        <v>2</v>
      </c>
      <c r="B1" s="29">
        <v>199.74</v>
      </c>
      <c r="C1" s="30">
        <v>200.04</v>
      </c>
      <c r="D1" s="31">
        <v>198.64</v>
      </c>
      <c r="E1" s="2"/>
      <c r="F1" t="s">
        <v>18</v>
      </c>
      <c r="G1" s="29">
        <v>571</v>
      </c>
      <c r="H1" s="30">
        <v>371</v>
      </c>
      <c r="I1" s="31">
        <v>578</v>
      </c>
      <c r="J1" s="2"/>
    </row>
    <row r="2" spans="1:12" x14ac:dyDescent="0.4">
      <c r="A2" s="1" t="s">
        <v>19</v>
      </c>
      <c r="B2" s="32">
        <v>29.79</v>
      </c>
      <c r="C2" s="27">
        <v>32.78</v>
      </c>
      <c r="D2" s="33">
        <v>10.7</v>
      </c>
      <c r="E2" s="27"/>
      <c r="G2" s="32">
        <v>570</v>
      </c>
      <c r="H2" s="27">
        <v>373</v>
      </c>
      <c r="I2" s="33">
        <v>573</v>
      </c>
      <c r="J2" s="27"/>
    </row>
    <row r="3" spans="1:12" x14ac:dyDescent="0.4">
      <c r="A3" s="1"/>
      <c r="B3" s="34"/>
      <c r="C3" s="2"/>
      <c r="D3" s="35"/>
      <c r="E3" s="2"/>
      <c r="G3" s="41">
        <v>575</v>
      </c>
      <c r="H3">
        <v>375</v>
      </c>
      <c r="I3" s="42">
        <v>570</v>
      </c>
    </row>
    <row r="4" spans="1:12" x14ac:dyDescent="0.4">
      <c r="A4" s="1"/>
      <c r="B4" s="36">
        <v>4.8529999999999998</v>
      </c>
      <c r="C4" s="28">
        <v>4.8579999999999997</v>
      </c>
      <c r="D4" s="37">
        <v>4.8360000000000003</v>
      </c>
      <c r="E4" s="28"/>
      <c r="G4" s="38">
        <v>574</v>
      </c>
      <c r="H4" s="39">
        <v>373</v>
      </c>
      <c r="I4" s="40">
        <v>566</v>
      </c>
      <c r="J4" s="28"/>
    </row>
    <row r="5" spans="1:12" x14ac:dyDescent="0.4">
      <c r="A5" s="1"/>
      <c r="B5" s="36">
        <v>4.8339999999999996</v>
      </c>
      <c r="C5" s="28">
        <v>4.8540000000000001</v>
      </c>
      <c r="D5" s="37">
        <v>4.8419999999999996</v>
      </c>
      <c r="E5" s="28"/>
    </row>
    <row r="6" spans="1:12" x14ac:dyDescent="0.4">
      <c r="A6" s="1"/>
      <c r="B6" s="38">
        <v>4.8380000000000001</v>
      </c>
      <c r="C6" s="39">
        <v>4.8490000000000002</v>
      </c>
      <c r="D6" s="40">
        <v>4.84</v>
      </c>
      <c r="E6" s="28"/>
    </row>
    <row r="7" spans="1:12" x14ac:dyDescent="0.4">
      <c r="A7" s="1" t="s">
        <v>3</v>
      </c>
      <c r="B7" s="67">
        <f>AVERAGE(B4:B6)</f>
        <v>4.8416666666666659</v>
      </c>
      <c r="C7" s="68">
        <f t="shared" ref="C7:D7" si="0">AVERAGE(C4:C6)</f>
        <v>4.8536666666666664</v>
      </c>
      <c r="D7" s="69">
        <f t="shared" si="0"/>
        <v>4.8393333333333333</v>
      </c>
      <c r="E7" s="28"/>
    </row>
    <row r="8" spans="1:12" x14ac:dyDescent="0.4">
      <c r="A8" s="1" t="s">
        <v>20</v>
      </c>
      <c r="B8" s="41">
        <f>B7/B1</f>
        <v>2.4239845132004934E-2</v>
      </c>
      <c r="C8">
        <f t="shared" ref="C8:D8" si="1">C7/C1</f>
        <v>2.4263480637205893E-2</v>
      </c>
      <c r="D8" s="42">
        <f t="shared" si="1"/>
        <v>2.4362330514162978E-2</v>
      </c>
    </row>
    <row r="9" spans="1:12" x14ac:dyDescent="0.4">
      <c r="A9" s="1" t="s">
        <v>21</v>
      </c>
      <c r="B9" s="41">
        <f>(B8-0.02)/0.02*0.006+1.002</f>
        <v>1.0032719535396015</v>
      </c>
      <c r="C9">
        <f>(C8-0.02)/0.02*0.006+1.002</f>
        <v>1.0032790441911619</v>
      </c>
      <c r="D9" s="42">
        <f>(D8-0.02)/0.02*0.006+1.002</f>
        <v>1.0033086991542488</v>
      </c>
    </row>
    <row r="10" spans="1:12" x14ac:dyDescent="0.4">
      <c r="A10" s="1" t="s">
        <v>18</v>
      </c>
      <c r="B10" s="48">
        <f>AVERAGE(G1:G4)</f>
        <v>572.5</v>
      </c>
      <c r="C10" s="49">
        <f>AVERAGE(H1:H4)</f>
        <v>373</v>
      </c>
      <c r="D10" s="50">
        <f>AVERAGE(I1:I4)</f>
        <v>571.75</v>
      </c>
      <c r="E10" s="66"/>
    </row>
    <row r="11" spans="1:12" x14ac:dyDescent="0.4">
      <c r="B11" s="41"/>
      <c r="D11" s="42"/>
    </row>
    <row r="12" spans="1:12" x14ac:dyDescent="0.4">
      <c r="A12" s="1" t="s">
        <v>6</v>
      </c>
      <c r="B12" s="51">
        <f>1.6067*B1^3*B2*B10^2/B7^4*B9</f>
        <v>228239360543.21259</v>
      </c>
      <c r="C12" s="52">
        <f>1.6067*C1^3*C2*C10^2/C7^4*C9</f>
        <v>106036136774.63536</v>
      </c>
      <c r="D12" s="53">
        <f t="shared" ref="D12" si="2">1.6067*D1^3*D2*D10^2/D7^4*D9</f>
        <v>80579295484.570221</v>
      </c>
      <c r="E12" s="4"/>
    </row>
    <row r="15" spans="1:12" x14ac:dyDescent="0.4">
      <c r="A15" s="54" t="s">
        <v>22</v>
      </c>
      <c r="B15" s="43"/>
      <c r="C15" s="43"/>
      <c r="D15" s="44"/>
      <c r="F15" s="65"/>
      <c r="G15" s="43"/>
      <c r="H15" s="43"/>
      <c r="I15" s="43" t="s">
        <v>23</v>
      </c>
      <c r="J15" s="43"/>
      <c r="K15" s="43"/>
      <c r="L15" s="44"/>
    </row>
    <row r="16" spans="1:12" x14ac:dyDescent="0.4">
      <c r="A16" s="34" t="s">
        <v>24</v>
      </c>
      <c r="B16" s="2" t="s">
        <v>25</v>
      </c>
      <c r="C16" s="2" t="s">
        <v>8</v>
      </c>
      <c r="D16" s="35" t="s">
        <v>9</v>
      </c>
      <c r="F16" s="41"/>
      <c r="I16" t="s">
        <v>18</v>
      </c>
      <c r="J16" t="s">
        <v>3</v>
      </c>
      <c r="K16" t="s">
        <v>19</v>
      </c>
      <c r="L16" s="42" t="s">
        <v>2</v>
      </c>
    </row>
    <row r="17" spans="1:31" x14ac:dyDescent="0.4">
      <c r="A17" s="34">
        <v>2</v>
      </c>
      <c r="B17" s="2">
        <v>0.02</v>
      </c>
      <c r="C17" s="2">
        <v>0.02</v>
      </c>
      <c r="D17" s="35">
        <v>4.0000000000000001E-3</v>
      </c>
      <c r="F17" s="41" t="s">
        <v>26</v>
      </c>
      <c r="G17" t="s">
        <v>27</v>
      </c>
      <c r="I17">
        <f>SQRT(F18^2+A18^2)</f>
        <v>1.5545631755148026</v>
      </c>
      <c r="J17">
        <f>SQRT(G18^2+D18^2)</f>
        <v>6.1191865835619353E-3</v>
      </c>
      <c r="K17">
        <v>0.01</v>
      </c>
      <c r="L17" s="42">
        <v>0.01</v>
      </c>
    </row>
    <row r="18" spans="1:31" x14ac:dyDescent="0.4">
      <c r="A18" s="34">
        <f>A17/2</f>
        <v>1</v>
      </c>
      <c r="B18" s="2">
        <f>B17/2</f>
        <v>0.01</v>
      </c>
      <c r="C18" s="2">
        <f>C17/2</f>
        <v>0.01</v>
      </c>
      <c r="D18" s="35">
        <f>D17/2</f>
        <v>2E-3</v>
      </c>
      <c r="F18" s="41">
        <f>SQRT(((G1-B10)^2+(G2-B10)^2+(G3-B10)^2+(G4-B10)^2)/12)</f>
        <v>1.1902380714238083</v>
      </c>
      <c r="G18">
        <f>SQRT(((B4-B7)^2+(B5-B7)^2+(B6-B7)^2)/6)</f>
        <v>5.7831171909658186E-3</v>
      </c>
      <c r="I18">
        <f>SQRT(F19^2+A18^2)</f>
        <v>1.2909944487358056</v>
      </c>
      <c r="J18">
        <f>SQRT(G19^2+D18^2)</f>
        <v>3.2829526005985796E-3</v>
      </c>
      <c r="L18" s="42"/>
    </row>
    <row r="19" spans="1:31" x14ac:dyDescent="0.4">
      <c r="A19" s="55" t="s">
        <v>28</v>
      </c>
      <c r="B19" s="56">
        <f>SQRT(9*B2^2*B10^2*L17^2+B1^2*B10^2*K17^2+4*B1^2*B2^2*I17^2+25^2*B1^2*B2^2*B10^2/B7^2*J17^2)*1.6067*B10*B1^2*B9/B7^4</f>
        <v>7317792361.8009892</v>
      </c>
      <c r="C19" s="56">
        <f>SQRT(9*C2^2*C10^2*C18^2+C1^2*C10^2*B18^2+4*C1^2*C2^2*A18^2+25^2*C1^2*C2^2*C10^2/C7^2*D18^2)*1.6067*C10*C1^2*C9/C7^4</f>
        <v>1231967217.1354017</v>
      </c>
      <c r="D19" s="57">
        <f>SQRT(9*D2^2*D10^2*C18^2+D1^2*D10^2*B18^2+4*D1^2*D2^2*A18^2+25^2*D1^2*D2^2*D10^2/D7^2*D18^2)*1.6067*D10*D1^2*D9/D7^4</f>
        <v>882270564.00328958</v>
      </c>
      <c r="F19" s="41">
        <f>SQRT(((H1-C10)^2+(H2-C10)^2+(H3-C10)^2+(H4-C10)^2)/12)</f>
        <v>0.81649658092772603</v>
      </c>
      <c r="G19">
        <f>SQRT(((C4-C7)^2+(C5-C7)^2+(C6-C7)^2)/6)</f>
        <v>2.6034165586353974E-3</v>
      </c>
      <c r="I19">
        <f>SQRT(F20^2+A18^1)</f>
        <v>2.7195281453467866</v>
      </c>
      <c r="J19">
        <f>SQRT(G20^2+D18^2)</f>
        <v>2.6666666666665382E-3</v>
      </c>
      <c r="L19" s="42"/>
    </row>
    <row r="20" spans="1:31" x14ac:dyDescent="0.4">
      <c r="A20" s="58" t="s">
        <v>29</v>
      </c>
      <c r="B20" s="59">
        <f>B19/B12</f>
        <v>3.206192106560652E-2</v>
      </c>
      <c r="C20" s="59">
        <f t="shared" ref="C20:D20" si="3">C19/C12</f>
        <v>1.1618371383651705E-2</v>
      </c>
      <c r="D20" s="60">
        <f t="shared" si="3"/>
        <v>1.0949097515654399E-2</v>
      </c>
      <c r="F20" s="45">
        <f>SQRT(((I1-D10)^2+(I2-D10)^2+(I3-D10)^2+(I4-D10)^2)/12)</f>
        <v>2.5289984842489197</v>
      </c>
      <c r="G20" s="46">
        <f>SQRT(((D4-D7)^2+(D6-D7)^2+(D5-D7)^2)/6)</f>
        <v>1.7638342073761995E-3</v>
      </c>
      <c r="H20" s="46"/>
      <c r="I20" s="46"/>
      <c r="J20" s="46"/>
      <c r="K20" s="46"/>
      <c r="L20" s="47"/>
    </row>
    <row r="21" spans="1:31" x14ac:dyDescent="0.4">
      <c r="A21" s="41"/>
      <c r="D21" s="42"/>
    </row>
    <row r="22" spans="1:31" x14ac:dyDescent="0.4">
      <c r="A22" s="41"/>
      <c r="D22" s="42"/>
    </row>
    <row r="23" spans="1:31" x14ac:dyDescent="0.4">
      <c r="A23" s="58" t="s">
        <v>29</v>
      </c>
      <c r="B23">
        <f>SQRT(9*(L17/B1)^2+(K17/B2)^2+4*(I17/B10)^2+16*(J17/B7)^2)</f>
        <v>7.4287387262699806E-3</v>
      </c>
      <c r="C23">
        <f>SQRT(9*(L17/C1)^2+(K17/C2)^2+4*(I18/C10)^2+16*(J18/C7)^2)</f>
        <v>7.4399385817709822E-3</v>
      </c>
      <c r="D23" s="42">
        <f>SQRT(9*(L17/D1)^2+(K17/D2)^2+4*(I19/D10)^2+16*(J19/D7)^2)</f>
        <v>9.810794625169884E-3</v>
      </c>
    </row>
    <row r="24" spans="1:31" x14ac:dyDescent="0.4">
      <c r="A24" s="61" t="s">
        <v>28</v>
      </c>
      <c r="B24" s="62">
        <f>B23*B12</f>
        <v>1695530576.5264599</v>
      </c>
      <c r="C24" s="63">
        <f>C23*C12</f>
        <v>788902345.05155444</v>
      </c>
      <c r="D24" s="64">
        <f>D23*D12</f>
        <v>790546919.03999746</v>
      </c>
    </row>
    <row r="26" spans="1:31" x14ac:dyDescent="0.4">
      <c r="N26">
        <f>SQRT(9*B2^2*B10^2*L17^2+B1^2*B10^2*K17^2+4*B1^2*B2^2*I17^2+25^2*B1^2*B2^2*B10^2/B7^2*J17^2)</f>
        <v>109219.59966737707</v>
      </c>
      <c r="O26">
        <f>1.6067*B10*B1^2*B9/B7^4</f>
        <v>67000.724998873528</v>
      </c>
    </row>
    <row r="28" spans="1:3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4">
      <c r="B29" t="s">
        <v>2</v>
      </c>
      <c r="C29">
        <v>1</v>
      </c>
      <c r="D29">
        <v>2</v>
      </c>
      <c r="E29">
        <v>3</v>
      </c>
      <c r="F29" t="s">
        <v>16</v>
      </c>
      <c r="G29" t="s">
        <v>30</v>
      </c>
      <c r="H29" t="s">
        <v>19</v>
      </c>
      <c r="I29" t="s">
        <v>21</v>
      </c>
      <c r="J29" t="s">
        <v>6</v>
      </c>
      <c r="K29" t="s">
        <v>13</v>
      </c>
      <c r="L29" t="s">
        <v>31</v>
      </c>
      <c r="S29" t="s">
        <v>18</v>
      </c>
      <c r="T29" t="s">
        <v>32</v>
      </c>
      <c r="U29" t="s">
        <v>33</v>
      </c>
      <c r="V29" t="s">
        <v>34</v>
      </c>
      <c r="W29" t="s">
        <v>35</v>
      </c>
    </row>
    <row r="30" spans="1:31" x14ac:dyDescent="0.4">
      <c r="A30" t="s">
        <v>32</v>
      </c>
      <c r="B30" s="71">
        <v>200.02</v>
      </c>
      <c r="C30" s="70">
        <v>4.7839999999999998</v>
      </c>
      <c r="D30" s="70">
        <v>4.782</v>
      </c>
      <c r="E30" s="70">
        <v>4.7809999999999997</v>
      </c>
      <c r="F30" s="72">
        <f>AVERAGE(C30:E30)-D34</f>
        <v>4.9273333333333325</v>
      </c>
      <c r="G30">
        <f>F30/B30</f>
        <v>2.4634203246342027E-2</v>
      </c>
      <c r="H30" s="71">
        <v>29.84</v>
      </c>
      <c r="I30">
        <f>0.3*G30+0.996</f>
        <v>1.0033902609739027</v>
      </c>
      <c r="J30" s="4">
        <f>1.6067*B30^3*H30*R30^2*I30/F30^4</f>
        <v>208115239117.09033</v>
      </c>
      <c r="K30" s="4">
        <f>SQRT(9*R30^2*H30^2*D36^2+B30^2*R30^2*C36^2+4*B30^2*H30^2*F36^2+16*B30^2*H30^2*R30^2*I36^2/F30^2)*1.6067*R30*B30^2*I30/F30^4</f>
        <v>814670026.10795629</v>
      </c>
      <c r="L30" s="77">
        <f>K30/J30</f>
        <v>3.9145140431047654E-3</v>
      </c>
      <c r="N30">
        <f>SQRT(9*R30^2*H30^2*D36^2+B30^2*R30^2*C36^2+4*B30^2*H30^2*G36^2+16*B30^2*H30^2*R30^2*J36^2/F30^2)</f>
        <v>15464.272267054701</v>
      </c>
      <c r="O30">
        <f>1.6067*R30*B30^2*I30/F30^4</f>
        <v>61768.590936165885</v>
      </c>
      <c r="R30">
        <v>564.5</v>
      </c>
      <c r="T30">
        <v>565</v>
      </c>
      <c r="U30">
        <v>381</v>
      </c>
      <c r="V30">
        <v>567</v>
      </c>
      <c r="W30">
        <v>668</v>
      </c>
    </row>
    <row r="31" spans="1:31" x14ac:dyDescent="0.4">
      <c r="A31" t="s">
        <v>33</v>
      </c>
      <c r="B31" s="71">
        <v>200.1</v>
      </c>
      <c r="C31" s="70">
        <v>4.8029999999999999</v>
      </c>
      <c r="D31" s="70">
        <v>4.8</v>
      </c>
      <c r="E31" s="70">
        <v>4.8049999999999997</v>
      </c>
      <c r="F31" s="72">
        <f>AVERAGE(C31:E31)-D34</f>
        <v>4.9476666666666658</v>
      </c>
      <c r="G31">
        <f>F31/B31</f>
        <v>2.4725970348159251E-2</v>
      </c>
      <c r="H31" s="71">
        <v>32.79</v>
      </c>
      <c r="I31">
        <f>0.3*G31+0.996</f>
        <v>1.0034177911044477</v>
      </c>
      <c r="J31" s="4">
        <f>1.6067*B31^3*H31*R31^2*I31/F31^4</f>
        <v>99791952704.708206</v>
      </c>
      <c r="K31" s="4">
        <f t="shared" ref="K31:K33" si="4">SQRT(9*R31^2*H31^2*D37^2+B31^2*R31^2*C37^2+4*B31^2*H31^2*F37^2+16*B31^2*H31^2*R31^2*I37^2/F31^2)*1.6067*R31*B31^2*I31/F31^4</f>
        <v>556163879.57584417</v>
      </c>
      <c r="L31" s="77">
        <f>K31/J31</f>
        <v>5.5732337578519421E-3</v>
      </c>
      <c r="R31">
        <v>375.75</v>
      </c>
      <c r="T31">
        <v>566</v>
      </c>
      <c r="U31">
        <v>369</v>
      </c>
      <c r="V31">
        <v>562</v>
      </c>
      <c r="W31">
        <v>663</v>
      </c>
    </row>
    <row r="32" spans="1:31" x14ac:dyDescent="0.4">
      <c r="A32" t="s">
        <v>34</v>
      </c>
      <c r="B32" s="71">
        <v>199.94</v>
      </c>
      <c r="C32" s="70">
        <v>4.8029999999999999</v>
      </c>
      <c r="D32" s="70">
        <v>4.8179999999999996</v>
      </c>
      <c r="E32" s="70">
        <v>4.8109999999999999</v>
      </c>
      <c r="F32" s="72">
        <f>AVERAGE(C32:E32)-D34</f>
        <v>4.9556666666666658</v>
      </c>
      <c r="G32">
        <f>F32/B32</f>
        <v>2.4785769064052544E-2</v>
      </c>
      <c r="H32" s="71">
        <v>10.6</v>
      </c>
      <c r="I32">
        <f>0.3*G32+0.996</f>
        <v>1.0034357307192157</v>
      </c>
      <c r="J32" s="4">
        <f>1.6067*B32^3*H32*R32^2*I32/F32^4</f>
        <v>72168691221.84491</v>
      </c>
      <c r="K32" s="4">
        <f>SQRT(9*R32^2*H32^2*D38^2+B32^2*R32^2*C38^2+4*B32^2*H32^2*F38^2+16*B32^2*H32^2*R32^2*I38^2/F32^2)*1.6067*R32*B32^2*I32/F32^4</f>
        <v>289315203.78133339</v>
      </c>
      <c r="L32" s="77">
        <f>K32/J32</f>
        <v>4.0088741929929844E-3</v>
      </c>
      <c r="R32">
        <v>564.5</v>
      </c>
      <c r="T32">
        <v>564</v>
      </c>
      <c r="U32">
        <v>378</v>
      </c>
      <c r="V32">
        <v>564</v>
      </c>
      <c r="W32">
        <v>665</v>
      </c>
    </row>
    <row r="33" spans="1:23" x14ac:dyDescent="0.4">
      <c r="A33" t="s">
        <v>35</v>
      </c>
      <c r="B33" s="71">
        <v>199.94</v>
      </c>
      <c r="C33" s="70">
        <v>5.6760000000000002</v>
      </c>
      <c r="D33" s="70">
        <v>5.69</v>
      </c>
      <c r="E33" s="70">
        <v>5.6660000000000004</v>
      </c>
      <c r="F33" s="72">
        <f>AVERAGE(C33:E33)-D34</f>
        <v>5.8223333333333329</v>
      </c>
      <c r="G33">
        <f>F33/B33</f>
        <v>2.9120402787502917E-2</v>
      </c>
      <c r="H33" s="71">
        <v>14.98</v>
      </c>
      <c r="I33">
        <f>0.3*G33+0.996</f>
        <v>1.0047361208362509</v>
      </c>
      <c r="J33" s="4">
        <f>1.6067*B33^3*H33*R33^2*I33/F33^4</f>
        <v>74603273168.272964</v>
      </c>
      <c r="K33" s="4">
        <f t="shared" si="4"/>
        <v>251603366.80190003</v>
      </c>
      <c r="L33" s="77">
        <f>K33/J33</f>
        <v>3.3725513119831998E-3</v>
      </c>
      <c r="R33">
        <v>666</v>
      </c>
      <c r="T33">
        <v>563</v>
      </c>
      <c r="U33">
        <v>375</v>
      </c>
      <c r="V33">
        <v>565</v>
      </c>
      <c r="W33">
        <v>668</v>
      </c>
    </row>
    <row r="34" spans="1:23" ht="17.7" x14ac:dyDescent="0.4">
      <c r="B34" s="76" t="s">
        <v>45</v>
      </c>
      <c r="C34" s="76"/>
      <c r="D34" s="73">
        <v>-0.14499999999999999</v>
      </c>
      <c r="S34" t="s">
        <v>16</v>
      </c>
      <c r="T34">
        <f>AVERAGE(T30:T33)</f>
        <v>564.5</v>
      </c>
      <c r="U34">
        <f>AVERAGE(U30:U33)</f>
        <v>375.75</v>
      </c>
      <c r="V34">
        <f>AVERAGE(V30:V33)</f>
        <v>564.5</v>
      </c>
      <c r="W34">
        <f>AVERAGE(W30:W33)</f>
        <v>666</v>
      </c>
    </row>
    <row r="35" spans="1:23" x14ac:dyDescent="0.4">
      <c r="C35" t="s">
        <v>36</v>
      </c>
      <c r="D35" t="s">
        <v>37</v>
      </c>
      <c r="E35" t="s">
        <v>38</v>
      </c>
      <c r="F35" t="s">
        <v>39</v>
      </c>
      <c r="G35" t="s">
        <v>40</v>
      </c>
      <c r="H35" t="s">
        <v>41</v>
      </c>
      <c r="I35" t="s">
        <v>42</v>
      </c>
      <c r="J35" t="s">
        <v>43</v>
      </c>
    </row>
    <row r="36" spans="1:23" x14ac:dyDescent="0.4">
      <c r="B36" t="s">
        <v>32</v>
      </c>
      <c r="C36">
        <v>0.01</v>
      </c>
      <c r="D36">
        <v>0.01</v>
      </c>
      <c r="E36">
        <f>STDEV(T30:T33)/2</f>
        <v>0.6454972243679028</v>
      </c>
      <c r="F36">
        <v>1</v>
      </c>
      <c r="G36">
        <f>SQRT(E36^2+F36^2)</f>
        <v>1.1902380714238083</v>
      </c>
      <c r="H36">
        <f>STDEV(C30:E30)/SQRT(3)</f>
        <v>8.8191710368821163E-4</v>
      </c>
      <c r="I36">
        <v>2E-3</v>
      </c>
      <c r="J36">
        <f>SQRT(H36^2+I36^2)</f>
        <v>2.1858128414340063E-3</v>
      </c>
    </row>
    <row r="37" spans="1:23" x14ac:dyDescent="0.4">
      <c r="B37" t="s">
        <v>33</v>
      </c>
      <c r="C37">
        <v>0.01</v>
      </c>
      <c r="D37">
        <v>0.01</v>
      </c>
      <c r="E37">
        <f>STDEV(U30:U33)/2</f>
        <v>2.5617376914898995</v>
      </c>
      <c r="F37">
        <v>1</v>
      </c>
      <c r="G37">
        <f>SQRT(E37^2+F37^2)</f>
        <v>2.75</v>
      </c>
      <c r="H37">
        <f>STDEV(C31:E31)/SQRT(3)</f>
        <v>1.4529663145135339E-3</v>
      </c>
      <c r="I37">
        <v>2E-3</v>
      </c>
      <c r="J37">
        <f>SQRT(H37^2+I37^2)</f>
        <v>2.472066162365207E-3</v>
      </c>
    </row>
    <row r="38" spans="1:23" x14ac:dyDescent="0.4">
      <c r="B38" t="s">
        <v>34</v>
      </c>
      <c r="C38">
        <v>0.01</v>
      </c>
      <c r="D38">
        <v>0.01</v>
      </c>
      <c r="E38">
        <f>STDEV(V30:V33)/2</f>
        <v>1.0408329997330663</v>
      </c>
      <c r="F38">
        <v>1</v>
      </c>
      <c r="G38">
        <f>SQRT(E38^2+F38^2)</f>
        <v>1.4433756729740643</v>
      </c>
      <c r="H38">
        <f>STDEV(C32:E32)/SQRT(3)</f>
        <v>4.3333333333332438E-3</v>
      </c>
      <c r="I38">
        <v>2E-3</v>
      </c>
      <c r="J38">
        <f>SQRT(H38^2+I38^2)</f>
        <v>4.772607021092036E-3</v>
      </c>
    </row>
    <row r="39" spans="1:23" x14ac:dyDescent="0.4">
      <c r="B39" t="s">
        <v>35</v>
      </c>
      <c r="C39">
        <v>0.01</v>
      </c>
      <c r="D39">
        <v>0.01</v>
      </c>
      <c r="E39">
        <f>STDEV(W30:W33)/2</f>
        <v>1.2247448713915889</v>
      </c>
      <c r="F39">
        <v>1</v>
      </c>
      <c r="G39">
        <f>SQRT(E39^2+F39^2)</f>
        <v>1.5811388300841898</v>
      </c>
      <c r="H39">
        <f>STDEV(C33:E33)/SQRT(3)</f>
        <v>6.9602043392737144E-3</v>
      </c>
      <c r="I39">
        <v>2E-3</v>
      </c>
      <c r="J39">
        <f>SQRT(H39^2+I39^2)</f>
        <v>7.241853660800158E-3</v>
      </c>
    </row>
    <row r="40" spans="1:23" x14ac:dyDescent="0.4">
      <c r="B40" s="75" t="s">
        <v>44</v>
      </c>
      <c r="C40" s="74"/>
      <c r="D40" s="74"/>
      <c r="E40" s="74"/>
      <c r="F40" s="74"/>
      <c r="G40" s="74"/>
      <c r="H40" s="74"/>
      <c r="I40" s="74"/>
      <c r="J40" s="74"/>
    </row>
  </sheetData>
  <mergeCells count="2">
    <mergeCell ref="B40:J40"/>
    <mergeCell ref="B34:C34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nuo lao</cp:lastModifiedBy>
  <dcterms:created xsi:type="dcterms:W3CDTF">2010-10-18T13:11:00Z</dcterms:created>
  <dcterms:modified xsi:type="dcterms:W3CDTF">2024-05-16T09:05:39Z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4716BE66F3D14A8EA50423A30E4ED53E_13</vt:lpwstr>
  </property>
  <property fmtid="{D5CDD505-2E9C-101B-9397-08002B2CF9AE}" pid="3" name="KSOProductBuildVer">
    <vt:lpwstr>2052-11.1.0.14036</vt:lpwstr>
  </property>
</Properties>
</file>