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5DD06E3E-8DF1-4B49-AEF5-4A841CCF6DF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计算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J14" i="1"/>
  <c r="C22" i="1" l="1"/>
  <c r="C23" i="1" s="1"/>
  <c r="C24" i="1" s="1"/>
  <c r="C25" i="1" s="1"/>
  <c r="C21" i="1"/>
  <c r="D21" i="1"/>
  <c r="D22" i="1" s="1"/>
  <c r="B21" i="1"/>
  <c r="F18" i="1"/>
  <c r="F17" i="1"/>
  <c r="F16" i="1"/>
  <c r="F15" i="1"/>
  <c r="C26" i="1" l="1"/>
  <c r="C27" i="1" s="1"/>
  <c r="F14" i="1"/>
  <c r="E15" i="1"/>
  <c r="K15" i="1" s="1"/>
  <c r="L15" i="1" s="1"/>
  <c r="G15" i="1" s="1"/>
  <c r="E16" i="1"/>
  <c r="K16" i="1" s="1"/>
  <c r="L16" i="1" s="1"/>
  <c r="G16" i="1" s="1"/>
  <c r="E17" i="1"/>
  <c r="K17" i="1" s="1"/>
  <c r="L17" i="1" s="1"/>
  <c r="G17" i="1" s="1"/>
  <c r="E18" i="1"/>
  <c r="K18" i="1" s="1"/>
  <c r="L18" i="1" s="1"/>
  <c r="G18" i="1" s="1"/>
  <c r="E14" i="1"/>
  <c r="K14" i="1" s="1"/>
  <c r="L14" i="1" s="1"/>
  <c r="G14" i="1" s="1"/>
  <c r="D5" i="1"/>
  <c r="I5" i="1" s="1"/>
  <c r="J5" i="1" s="1"/>
  <c r="D6" i="1"/>
  <c r="I6" i="1" s="1"/>
  <c r="J6" i="1" s="1"/>
  <c r="D7" i="1"/>
  <c r="I7" i="1" s="1"/>
  <c r="J7" i="1" s="1"/>
  <c r="D8" i="1"/>
  <c r="I8" i="1" s="1"/>
  <c r="J8" i="1" s="1"/>
  <c r="D4" i="1"/>
  <c r="I4" i="1" s="1"/>
  <c r="J4" i="1" s="1"/>
  <c r="H14" i="1" l="1"/>
  <c r="I14" i="1" s="1"/>
  <c r="H17" i="1"/>
  <c r="I17" i="1" s="1"/>
  <c r="J17" i="1" s="1"/>
  <c r="H16" i="1"/>
  <c r="I16" i="1" s="1"/>
  <c r="J16" i="1" s="1"/>
  <c r="H15" i="1"/>
  <c r="I15" i="1" s="1"/>
  <c r="J15" i="1" s="1"/>
  <c r="H18" i="1"/>
  <c r="I18" i="1" s="1"/>
  <c r="J18" i="1" s="1"/>
  <c r="G19" i="1" l="1"/>
  <c r="E5" i="1" l="1"/>
  <c r="E6" i="1"/>
  <c r="E7" i="1"/>
  <c r="E8" i="1"/>
  <c r="E4" i="1"/>
  <c r="E9" i="1" l="1"/>
  <c r="H19" i="1"/>
  <c r="F7" i="1"/>
  <c r="G7" i="1" s="1"/>
  <c r="H7" i="1" s="1"/>
  <c r="F8" i="1"/>
  <c r="G8" i="1" s="1"/>
  <c r="H8" i="1" s="1"/>
  <c r="F6" i="1"/>
  <c r="G6" i="1" s="1"/>
  <c r="H6" i="1" s="1"/>
  <c r="F5" i="1"/>
  <c r="G5" i="1" s="1"/>
  <c r="H5" i="1" s="1"/>
  <c r="F4" i="1"/>
  <c r="I19" i="1" l="1"/>
  <c r="J19" i="1" s="1"/>
  <c r="G4" i="1"/>
  <c r="F9" i="1"/>
  <c r="H4" i="1" l="1"/>
  <c r="G9" i="1"/>
  <c r="H9" i="1" s="1"/>
</calcChain>
</file>

<file path=xl/sharedStrings.xml><?xml version="1.0" encoding="utf-8"?>
<sst xmlns="http://schemas.openxmlformats.org/spreadsheetml/2006/main" count="58" uniqueCount="48">
  <si>
    <t>m</t>
    <phoneticPr fontId="1" type="noConversion"/>
  </si>
  <si>
    <t>Pa.s</t>
    <phoneticPr fontId="1" type="noConversion"/>
  </si>
  <si>
    <t>Pa.m</t>
    <phoneticPr fontId="1" type="noConversion"/>
  </si>
  <si>
    <t>Pa</t>
    <phoneticPr fontId="1" type="noConversion"/>
  </si>
  <si>
    <t>n</t>
    <phoneticPr fontId="1" type="noConversion"/>
  </si>
  <si>
    <t>误差</t>
    <phoneticPr fontId="1" type="noConversion"/>
  </si>
  <si>
    <t>C</t>
    <phoneticPr fontId="1" type="noConversion"/>
  </si>
  <si>
    <t>油滴半径/m</t>
    <phoneticPr fontId="1" type="noConversion"/>
  </si>
  <si>
    <t>K值</t>
    <phoneticPr fontId="1" type="noConversion"/>
  </si>
  <si>
    <t>油密度</t>
    <phoneticPr fontId="1" type="noConversion"/>
  </si>
  <si>
    <t>重力加速度</t>
    <phoneticPr fontId="1" type="noConversion"/>
  </si>
  <si>
    <t>粘滞系数</t>
    <phoneticPr fontId="1" type="noConversion"/>
  </si>
  <si>
    <t>运动距离</t>
    <phoneticPr fontId="1" type="noConversion"/>
  </si>
  <si>
    <t>极板间距</t>
    <phoneticPr fontId="1" type="noConversion"/>
  </si>
  <si>
    <t>大气压</t>
    <phoneticPr fontId="1" type="noConversion"/>
  </si>
  <si>
    <t>标准值</t>
    <phoneticPr fontId="1" type="noConversion"/>
  </si>
  <si>
    <t>实验参数和常数</t>
    <phoneticPr fontId="1" type="noConversion"/>
  </si>
  <si>
    <t>q(C)</t>
    <phoneticPr fontId="1" type="noConversion"/>
  </si>
  <si>
    <t>e(C)</t>
    <phoneticPr fontId="1" type="noConversion"/>
  </si>
  <si>
    <r>
      <t>t</t>
    </r>
    <r>
      <rPr>
        <vertAlign val="subscript"/>
        <sz val="12"/>
        <color rgb="FF9C0006"/>
        <rFont val="等线"/>
        <family val="3"/>
        <charset val="134"/>
        <scheme val="minor"/>
      </rPr>
      <t>g</t>
    </r>
    <r>
      <rPr>
        <sz val="12"/>
        <color rgb="FF9C0006"/>
        <rFont val="等线"/>
        <family val="3"/>
        <charset val="134"/>
        <scheme val="minor"/>
      </rPr>
      <t>(s)</t>
    </r>
    <phoneticPr fontId="1" type="noConversion"/>
  </si>
  <si>
    <r>
      <t>V</t>
    </r>
    <r>
      <rPr>
        <vertAlign val="subscript"/>
        <sz val="12"/>
        <color rgb="FF9C0006"/>
        <rFont val="等线"/>
        <family val="3"/>
        <charset val="134"/>
        <scheme val="minor"/>
      </rPr>
      <t>g</t>
    </r>
    <r>
      <rPr>
        <sz val="12"/>
        <color rgb="FF9C0006"/>
        <rFont val="等线"/>
        <family val="3"/>
        <charset val="134"/>
        <scheme val="minor"/>
      </rPr>
      <t>(m/s)</t>
    </r>
    <phoneticPr fontId="1" type="noConversion"/>
  </si>
  <si>
    <r>
      <t>t</t>
    </r>
    <r>
      <rPr>
        <vertAlign val="subscript"/>
        <sz val="12"/>
        <color rgb="FF9C0006"/>
        <rFont val="等线"/>
        <family val="3"/>
        <charset val="134"/>
        <scheme val="minor"/>
      </rPr>
      <t>e</t>
    </r>
    <r>
      <rPr>
        <sz val="12"/>
        <color rgb="FF9C0006"/>
        <rFont val="等线"/>
        <family val="3"/>
        <charset val="134"/>
        <scheme val="minor"/>
      </rPr>
      <t>(s)</t>
    </r>
    <phoneticPr fontId="1" type="noConversion"/>
  </si>
  <si>
    <r>
      <t>V</t>
    </r>
    <r>
      <rPr>
        <vertAlign val="subscript"/>
        <sz val="12"/>
        <color rgb="FF9C0006"/>
        <rFont val="等线"/>
        <family val="3"/>
        <charset val="134"/>
        <scheme val="minor"/>
      </rPr>
      <t>e</t>
    </r>
    <r>
      <rPr>
        <sz val="12"/>
        <color rgb="FF9C0006"/>
        <rFont val="等线"/>
        <family val="3"/>
        <charset val="134"/>
        <scheme val="minor"/>
      </rPr>
      <t>(m/s)</t>
    </r>
    <phoneticPr fontId="1" type="noConversion"/>
  </si>
  <si>
    <r>
      <t>U</t>
    </r>
    <r>
      <rPr>
        <vertAlign val="subscript"/>
        <sz val="12"/>
        <color rgb="FF9C0006"/>
        <rFont val="等线"/>
        <family val="3"/>
        <charset val="134"/>
        <scheme val="minor"/>
      </rPr>
      <t>平衡</t>
    </r>
    <r>
      <rPr>
        <sz val="12"/>
        <color rgb="FF9C0006"/>
        <rFont val="等线"/>
        <family val="3"/>
        <charset val="134"/>
        <scheme val="minor"/>
      </rPr>
      <t>(V)</t>
    </r>
    <phoneticPr fontId="1" type="noConversion"/>
  </si>
  <si>
    <r>
      <t>U</t>
    </r>
    <r>
      <rPr>
        <vertAlign val="subscript"/>
        <sz val="12"/>
        <color rgb="FF9C0006"/>
        <rFont val="等线"/>
        <family val="3"/>
        <charset val="134"/>
        <scheme val="minor"/>
      </rPr>
      <t>提升</t>
    </r>
    <r>
      <rPr>
        <sz val="12"/>
        <color rgb="FF9C0006"/>
        <rFont val="等线"/>
        <family val="3"/>
        <charset val="134"/>
        <scheme val="minor"/>
      </rPr>
      <t>(V)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</si>
  <si>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b</t>
    </r>
    <r>
      <rPr>
        <sz val="14"/>
        <color theme="1"/>
        <rFont val="等线"/>
        <family val="3"/>
        <charset val="134"/>
        <scheme val="minor"/>
      </rPr>
      <t xml:space="preserve"> 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</si>
  <si>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P</t>
    </r>
    <r>
      <rPr>
        <sz val="14"/>
        <color theme="1"/>
        <rFont val="等线"/>
        <family val="3"/>
        <charset val="134"/>
        <scheme val="minor"/>
      </rPr>
      <t xml:space="preserve"> = 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</si>
  <si>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e</t>
    </r>
    <r>
      <rPr>
        <sz val="14"/>
        <color theme="1"/>
        <rFont val="等线"/>
        <family val="3"/>
        <charset val="134"/>
        <scheme val="minor"/>
      </rPr>
      <t xml:space="preserve"> 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</si>
  <si>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ρ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</si>
  <si>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kg.m</t>
    </r>
    <r>
      <rPr>
        <vertAlign val="superscript"/>
        <sz val="14"/>
        <color theme="1"/>
        <rFont val="等线"/>
        <family val="3"/>
        <charset val="134"/>
        <scheme val="minor"/>
      </rPr>
      <t>-3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</si>
  <si>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η</t>
    </r>
    <r>
      <rPr>
        <sz val="14"/>
        <color theme="1"/>
        <rFont val="等线"/>
        <family val="3"/>
        <charset val="134"/>
        <scheme val="minor"/>
      </rPr>
      <t xml:space="preserve"> 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</si>
  <si>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L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</si>
  <si>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d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</si>
  <si>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g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</si>
  <si>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kg.s</t>
    </r>
    <r>
      <rPr>
        <vertAlign val="superscript"/>
        <sz val="14"/>
        <color theme="1"/>
        <rFont val="等线"/>
        <family val="3"/>
        <charset val="134"/>
        <scheme val="minor"/>
      </rPr>
      <t>-2</t>
    </r>
    <phoneticPr fontId="1" type="noConversion"/>
  </si>
  <si>
    <r>
      <t xml:space="preserve">π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</si>
  <si>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密立根油滴实验-静态法计算</t>
    </r>
    <r>
      <rPr>
        <sz val="12"/>
        <color theme="1"/>
        <rFont val="等线"/>
        <family val="3"/>
        <charset val="134"/>
        <scheme val="minor"/>
      </rPr>
      <t>（计算公式已输入，只需填入电压和时间测量值，自动计算，请确认一下公式和参数）</t>
    </r>
    <phoneticPr fontId="1" type="noConversion"/>
  </si>
  <si>
    <t>修正系数</t>
    <phoneticPr fontId="1" type="noConversion"/>
  </si>
  <si>
    <t xml:space="preserve">平均值 </t>
    <phoneticPr fontId="1" type="noConversion"/>
  </si>
  <si>
    <r>
      <t>密立根油滴实验-动态法计算</t>
    </r>
    <r>
      <rPr>
        <sz val="12"/>
        <color theme="1"/>
        <rFont val="等线"/>
        <family val="3"/>
        <charset val="134"/>
        <scheme val="minor"/>
      </rPr>
      <t>（计算公式已输入，只需填入电压和时间测量值，自动计算，请确认一下公式和参数）</t>
    </r>
    <phoneticPr fontId="1" type="noConversion"/>
  </si>
  <si>
    <t>1. 平均数</t>
    <phoneticPr fontId="1" type="noConversion"/>
  </si>
  <si>
    <t>2. 速度</t>
    <phoneticPr fontId="1" type="noConversion"/>
  </si>
  <si>
    <t>3. 油滴半径</t>
    <phoneticPr fontId="1" type="noConversion"/>
  </si>
  <si>
    <t>4. 计算K</t>
    <phoneticPr fontId="1" type="noConversion"/>
  </si>
  <si>
    <t>5. 计算q</t>
    <phoneticPr fontId="1" type="noConversion"/>
  </si>
  <si>
    <t>6. 计算n</t>
    <phoneticPr fontId="1" type="noConversion"/>
  </si>
  <si>
    <t>7. 计算e</t>
    <phoneticPr fontId="1" type="noConversion"/>
  </si>
  <si>
    <t>8. 计算E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</si>
</sst>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E+00"/>
    <numFmt numFmtId="177" formatCode="0_);[Red]\(0\)"/>
    <numFmt numFmtId="178" formatCode="0.000%"/>
    <numFmt numFmtId="179" formatCode="0.0000E+00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9C0006"/>
      <name val="等线"/>
      <family val="3"/>
      <charset val="134"/>
      <scheme val="minor"/>
    </font>
    <font>
      <vertAlign val="subscript"/>
      <sz val="12"/>
      <color rgb="FF9C0006"/>
      <name val="等线"/>
      <family val="3"/>
      <charset val="134"/>
      <scheme val="minor"/>
    </font>
    <font>
      <sz val="14"/>
      <color rgb="FF006100"/>
      <name val="等线"/>
      <family val="2"/>
      <charset val="134"/>
      <scheme val="minor"/>
    </font>
    <font>
      <i/>
      <sz val="14"/>
      <color theme="1"/>
      <name val="等线"/>
      <family val="3"/>
      <charset val="134"/>
      <scheme val="minor"/>
    </font>
    <font>
      <vertAlign val="superscript"/>
      <sz val="14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52">
    <xf numFmtId="0" fontId="0" fillId="0" borderId="0" xfId="0"/>
    <xf numFmtId="0" fontId="2" fillId="2" borderId="6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176" fontId="2" fillId="2" borderId="2" xfId="0" applyNumberFormat="1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right" vertical="center"/>
    </xf>
    <xf numFmtId="11" fontId="2" fillId="2" borderId="2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11" fontId="2" fillId="5" borderId="1" xfId="0" applyNumberFormat="1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8" fontId="2" fillId="5" borderId="15" xfId="0" applyNumberFormat="1" applyFont="1" applyFill="1" applyBorder="1" applyAlignment="1">
      <alignment horizontal="center" vertical="center"/>
    </xf>
    <xf numFmtId="176" fontId="2" fillId="5" borderId="14" xfId="0" applyNumberFormat="1" applyFont="1" applyFill="1" applyBorder="1" applyAlignment="1">
      <alignment horizontal="center" vertical="center"/>
    </xf>
    <xf numFmtId="176" fontId="2" fillId="5" borderId="15" xfId="0" applyNumberFormat="1" applyFont="1" applyFill="1" applyBorder="1" applyAlignment="1">
      <alignment horizontal="center" vertical="center"/>
    </xf>
    <xf numFmtId="11" fontId="2" fillId="5" borderId="17" xfId="0" applyNumberFormat="1" applyFont="1" applyFill="1" applyBorder="1" applyAlignment="1">
      <alignment horizontal="center" vertical="center"/>
    </xf>
    <xf numFmtId="177" fontId="2" fillId="5" borderId="17" xfId="0" applyNumberFormat="1" applyFont="1" applyFill="1" applyBorder="1" applyAlignment="1">
      <alignment horizontal="center" vertical="center"/>
    </xf>
    <xf numFmtId="176" fontId="2" fillId="5" borderId="17" xfId="0" applyNumberFormat="1" applyFont="1" applyFill="1" applyBorder="1" applyAlignment="1">
      <alignment horizontal="center" vertical="center"/>
    </xf>
    <xf numFmtId="178" fontId="2" fillId="5" borderId="18" xfId="0" applyNumberFormat="1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7" fillId="6" borderId="11" xfId="2" applyFont="1" applyFill="1" applyBorder="1" applyAlignment="1">
      <alignment horizontal="center" vertical="center"/>
    </xf>
    <xf numFmtId="0" fontId="7" fillId="6" borderId="12" xfId="2" applyFont="1" applyFill="1" applyBorder="1" applyAlignment="1">
      <alignment horizontal="center" vertical="center"/>
    </xf>
    <xf numFmtId="0" fontId="7" fillId="6" borderId="13" xfId="2" applyFont="1" applyFill="1" applyBorder="1" applyAlignment="1">
      <alignment horizontal="center" vertical="center"/>
    </xf>
    <xf numFmtId="0" fontId="9" fillId="7" borderId="14" xfId="1" applyFont="1" applyFill="1" applyBorder="1" applyAlignment="1" applyProtection="1">
      <alignment horizontal="center" vertical="center"/>
      <protection locked="0"/>
    </xf>
    <xf numFmtId="0" fontId="9" fillId="7" borderId="1" xfId="1" applyFont="1" applyFill="1" applyBorder="1" applyAlignment="1" applyProtection="1">
      <alignment horizontal="center" vertical="center"/>
      <protection locked="0"/>
    </xf>
    <xf numFmtId="0" fontId="3" fillId="8" borderId="0" xfId="0" applyFont="1" applyFill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176" fontId="3" fillId="8" borderId="0" xfId="0" applyNumberFormat="1" applyFont="1" applyFill="1" applyAlignment="1">
      <alignment horizontal="left" vertical="center"/>
    </xf>
    <xf numFmtId="0" fontId="2" fillId="6" borderId="22" xfId="0" applyFont="1" applyFill="1" applyBorder="1" applyAlignment="1">
      <alignment horizontal="right" vertical="center"/>
    </xf>
    <xf numFmtId="0" fontId="2" fillId="6" borderId="23" xfId="0" applyFont="1" applyFill="1" applyBorder="1" applyAlignment="1">
      <alignment horizontal="right" vertical="center"/>
    </xf>
    <xf numFmtId="0" fontId="2" fillId="6" borderId="20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right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 applyFill="1"/>
    <xf numFmtId="176" fontId="0" fillId="0" borderId="0" xfId="0" applyNumberFormat="1" applyFill="1"/>
    <xf numFmtId="179" fontId="0" fillId="0" borderId="0" xfId="0" applyNumberFormat="1" applyFill="1"/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zoomScale="130" zoomScaleNormal="130" workbookViewId="0">
      <selection activeCell="H19" sqref="H19"/>
    </sheetView>
  </sheetViews>
  <sheetFormatPr defaultColWidth="9" defaultRowHeight="13.8" x14ac:dyDescent="0.25"/>
  <cols>
    <col min="1" max="2" width="9" style="45"/>
    <col min="3" max="3" width="14" style="45" bestFit="1" customWidth="1"/>
    <col min="4" max="4" width="11.77734375" style="45" customWidth="1"/>
    <col min="5" max="5" width="11.21875" style="45" customWidth="1"/>
    <col min="6" max="6" width="12.109375" style="45" customWidth="1"/>
    <col min="7" max="7" width="12.88671875" style="45" customWidth="1"/>
    <col min="8" max="8" width="15.21875" style="45" customWidth="1"/>
    <col min="9" max="9" width="14.33203125" style="45" customWidth="1"/>
    <col min="10" max="10" width="14.109375" style="45" customWidth="1"/>
    <col min="11" max="11" width="12.109375" style="45" customWidth="1"/>
    <col min="12" max="12" width="13.6640625" style="45" customWidth="1"/>
    <col min="13" max="13" width="5.109375" style="46" customWidth="1"/>
    <col min="14" max="14" width="13.77734375" style="45" customWidth="1"/>
    <col min="15" max="15" width="14.88671875" style="45" customWidth="1"/>
    <col min="16" max="16384" width="9" style="45"/>
  </cols>
  <sheetData>
    <row r="1" spans="2:17" s="31" customFormat="1" ht="26.25" customHeight="1" thickBot="1" x14ac:dyDescent="0.3"/>
    <row r="2" spans="2:17" s="31" customFormat="1" ht="26.25" customHeight="1" thickBot="1" x14ac:dyDescent="0.3">
      <c r="B2" s="42" t="s">
        <v>36</v>
      </c>
      <c r="C2" s="42"/>
      <c r="D2" s="42"/>
      <c r="E2" s="42"/>
      <c r="F2" s="42"/>
      <c r="G2" s="42"/>
      <c r="H2" s="42"/>
      <c r="I2" s="42"/>
      <c r="J2" s="42"/>
      <c r="L2" s="39" t="s">
        <v>16</v>
      </c>
      <c r="M2" s="40"/>
      <c r="N2" s="40"/>
      <c r="O2" s="41"/>
    </row>
    <row r="3" spans="2:17" s="31" customFormat="1" ht="26.25" customHeight="1" x14ac:dyDescent="0.25">
      <c r="B3" s="26" t="s">
        <v>23</v>
      </c>
      <c r="C3" s="27" t="s">
        <v>19</v>
      </c>
      <c r="D3" s="27" t="s">
        <v>20</v>
      </c>
      <c r="E3" s="27" t="s">
        <v>17</v>
      </c>
      <c r="F3" s="27" t="s">
        <v>4</v>
      </c>
      <c r="G3" s="27" t="s">
        <v>18</v>
      </c>
      <c r="H3" s="28" t="s">
        <v>5</v>
      </c>
      <c r="I3" s="26" t="s">
        <v>7</v>
      </c>
      <c r="J3" s="28" t="s">
        <v>8</v>
      </c>
      <c r="L3" s="1"/>
      <c r="M3" s="2" t="s">
        <v>35</v>
      </c>
      <c r="N3" s="3">
        <v>3.1415926000000001</v>
      </c>
      <c r="O3" s="4"/>
    </row>
    <row r="4" spans="2:17" s="31" customFormat="1" ht="26.25" customHeight="1" x14ac:dyDescent="0.25">
      <c r="B4" s="29">
        <v>247</v>
      </c>
      <c r="C4" s="30">
        <v>7.66</v>
      </c>
      <c r="D4" s="13">
        <f>IFERROR($N$9/C4,"")</f>
        <v>1.95822454308094E-4</v>
      </c>
      <c r="E4" s="13">
        <f>IFERROR(J4*POWER(1/C4,3/2)/B4,"")</f>
        <v>1.6165587167269597E-18</v>
      </c>
      <c r="F4" s="14">
        <f>IFERROR(ROUND(E4/$N$6,0),"")</f>
        <v>10</v>
      </c>
      <c r="G4" s="15">
        <f>IFERROR(E4/F4,"")</f>
        <v>1.6165587167269597E-19</v>
      </c>
      <c r="H4" s="16">
        <f>IFERROR((G4-$N$6)/$N$6,"")</f>
        <v>9.0878381566539893E-3</v>
      </c>
      <c r="I4" s="17">
        <f>IFERROR(POWER(9*$N$8*D4/(2*$N$11*$N$7),1/2),"")</f>
        <v>1.2950703131607009E-6</v>
      </c>
      <c r="J4" s="18">
        <f>IFERROR(18*$N$3/POWER(2*$N$7*$N$11,1/2)*POWER($N$8*$N$9/(1+$N$4/($N$5*I4)),3/2)*$N$10,"")</f>
        <v>8.4650902253839485E-15</v>
      </c>
      <c r="L4" s="7" t="s">
        <v>37</v>
      </c>
      <c r="M4" s="5" t="s">
        <v>25</v>
      </c>
      <c r="N4" s="6">
        <v>8.2199999999999999E-3</v>
      </c>
      <c r="O4" s="4" t="s">
        <v>2</v>
      </c>
    </row>
    <row r="5" spans="2:17" s="31" customFormat="1" ht="26.25" customHeight="1" x14ac:dyDescent="0.25">
      <c r="B5" s="29">
        <v>247</v>
      </c>
      <c r="C5" s="30">
        <v>7.6</v>
      </c>
      <c r="D5" s="13">
        <f>IFERROR($N$9/C5,"")</f>
        <v>1.973684210526316E-4</v>
      </c>
      <c r="E5" s="13">
        <f t="shared" ref="E5:E8" si="0">IFERROR(J5*POWER(1/C5,3/2)/B5,"")</f>
        <v>1.6363077834911822E-18</v>
      </c>
      <c r="F5" s="14">
        <f t="shared" ref="F5:F8" si="1">IFERROR(ROUND(E5/$N$6,0),"")</f>
        <v>10</v>
      </c>
      <c r="G5" s="15">
        <f t="shared" ref="G5:G8" si="2">IFERROR(E5/F5,"")</f>
        <v>1.6363077834911823E-19</v>
      </c>
      <c r="H5" s="16">
        <f t="shared" ref="H5:H8" si="3">IFERROR((G5-$N$6)/$N$6,"")</f>
        <v>2.1415595188003917E-2</v>
      </c>
      <c r="I5" s="17">
        <f t="shared" ref="I5:I8" si="4">IFERROR(POWER(9*$N$8*D5/(2*$N$11*$N$7),1/2),"")</f>
        <v>1.3001723827404275E-6</v>
      </c>
      <c r="J5" s="18">
        <f t="shared" ref="J5:J8" si="5">IFERROR(18*$N$3/POWER(2*$N$7*$N$11,1/2)*POWER($N$8*$N$9/(1+$N$4/($N$5*I5)),3/2)*$N$10,"")</f>
        <v>8.4680290242550501E-15</v>
      </c>
      <c r="L5" s="7" t="s">
        <v>14</v>
      </c>
      <c r="M5" s="5" t="s">
        <v>26</v>
      </c>
      <c r="N5" s="6">
        <v>101300</v>
      </c>
      <c r="O5" s="4" t="s">
        <v>3</v>
      </c>
    </row>
    <row r="6" spans="2:17" s="31" customFormat="1" ht="26.25" customHeight="1" x14ac:dyDescent="0.25">
      <c r="B6" s="29">
        <v>248</v>
      </c>
      <c r="C6" s="30">
        <v>7.8</v>
      </c>
      <c r="D6" s="13">
        <f t="shared" ref="D6:D8" si="6">IFERROR($N$9/C6,"")</f>
        <v>1.9230769230769231E-4</v>
      </c>
      <c r="E6" s="13">
        <f t="shared" si="0"/>
        <v>1.5656283561388842E-18</v>
      </c>
      <c r="F6" s="14">
        <f t="shared" si="1"/>
        <v>10</v>
      </c>
      <c r="G6" s="15">
        <f t="shared" si="2"/>
        <v>1.5656283561388842E-19</v>
      </c>
      <c r="H6" s="16">
        <f t="shared" si="3"/>
        <v>-2.2703897541270744E-2</v>
      </c>
      <c r="I6" s="17">
        <f t="shared" si="4"/>
        <v>1.2833952620151549E-6</v>
      </c>
      <c r="J6" s="18">
        <f t="shared" si="5"/>
        <v>8.4582840041618494E-15</v>
      </c>
      <c r="L6" s="7" t="s">
        <v>15</v>
      </c>
      <c r="M6" s="5" t="s">
        <v>27</v>
      </c>
      <c r="N6" s="6">
        <v>1.602E-19</v>
      </c>
      <c r="O6" s="4" t="s">
        <v>6</v>
      </c>
      <c r="Q6" s="35"/>
    </row>
    <row r="7" spans="2:17" s="31" customFormat="1" ht="26.25" customHeight="1" x14ac:dyDescent="0.25">
      <c r="B7" s="29">
        <v>248</v>
      </c>
      <c r="C7" s="30">
        <v>7.68</v>
      </c>
      <c r="D7" s="13">
        <f t="shared" si="6"/>
        <v>1.9531250000000001E-4</v>
      </c>
      <c r="E7" s="13">
        <f t="shared" si="0"/>
        <v>1.6035701770614721E-18</v>
      </c>
      <c r="F7" s="14">
        <f t="shared" si="1"/>
        <v>10</v>
      </c>
      <c r="G7" s="15">
        <f t="shared" si="2"/>
        <v>1.6035701770614721E-19</v>
      </c>
      <c r="H7" s="16">
        <f t="shared" si="3"/>
        <v>9.8013549405249318E-4</v>
      </c>
      <c r="I7" s="17">
        <f t="shared" si="4"/>
        <v>1.2933829244139163E-6</v>
      </c>
      <c r="J7" s="18">
        <f t="shared" si="5"/>
        <v>8.4641135616347442E-15</v>
      </c>
      <c r="L7" s="7" t="s">
        <v>9</v>
      </c>
      <c r="M7" s="5" t="s">
        <v>28</v>
      </c>
      <c r="N7" s="3">
        <v>981</v>
      </c>
      <c r="O7" s="4" t="s">
        <v>29</v>
      </c>
      <c r="Q7" s="35"/>
    </row>
    <row r="8" spans="2:17" s="31" customFormat="1" ht="26.25" customHeight="1" x14ac:dyDescent="0.25">
      <c r="B8" s="29">
        <v>248</v>
      </c>
      <c r="C8" s="30">
        <v>7.59</v>
      </c>
      <c r="D8" s="13">
        <f t="shared" si="6"/>
        <v>1.9762845849802371E-4</v>
      </c>
      <c r="E8" s="13">
        <f t="shared" si="0"/>
        <v>1.6330262988199904E-18</v>
      </c>
      <c r="F8" s="14">
        <f t="shared" si="1"/>
        <v>10</v>
      </c>
      <c r="G8" s="15">
        <f t="shared" si="2"/>
        <v>1.6330262988199903E-19</v>
      </c>
      <c r="H8" s="16">
        <f t="shared" si="3"/>
        <v>1.9367227727834179E-2</v>
      </c>
      <c r="I8" s="17">
        <f t="shared" si="4"/>
        <v>1.3010286043562715E-6</v>
      </c>
      <c r="J8" s="18">
        <f t="shared" si="5"/>
        <v>8.4685201161731448E-15</v>
      </c>
      <c r="L8" s="7" t="s">
        <v>11</v>
      </c>
      <c r="M8" s="5" t="s">
        <v>30</v>
      </c>
      <c r="N8" s="8">
        <v>1.8300000000000001E-5</v>
      </c>
      <c r="O8" s="4" t="s">
        <v>1</v>
      </c>
    </row>
    <row r="9" spans="2:17" s="31" customFormat="1" ht="26.25" customHeight="1" thickBot="1" x14ac:dyDescent="0.3">
      <c r="B9" s="36" t="s">
        <v>38</v>
      </c>
      <c r="C9" s="37"/>
      <c r="D9" s="38"/>
      <c r="E9" s="19">
        <f>IFERROR(AVERAGE(E4:E8),"")</f>
        <v>1.6110182664476978E-18</v>
      </c>
      <c r="F9" s="20">
        <f>IFERROR(AVERAGE(F4:F8),"")</f>
        <v>10</v>
      </c>
      <c r="G9" s="21">
        <f>IFERROR(AVERAGE(G4:G8),"")</f>
        <v>1.6110182664476975E-19</v>
      </c>
      <c r="H9" s="22">
        <f>IFERROR((G9-$N$6)/$N$6,"")</f>
        <v>5.6293798050546474E-3</v>
      </c>
      <c r="I9" s="23"/>
      <c r="J9" s="24"/>
      <c r="L9" s="7" t="s">
        <v>12</v>
      </c>
      <c r="M9" s="5" t="s">
        <v>31</v>
      </c>
      <c r="N9" s="6">
        <v>1.5E-3</v>
      </c>
      <c r="O9" s="4" t="s">
        <v>0</v>
      </c>
    </row>
    <row r="10" spans="2:17" s="31" customFormat="1" ht="26.25" customHeight="1" x14ac:dyDescent="0.25">
      <c r="L10" s="7" t="s">
        <v>13</v>
      </c>
      <c r="M10" s="5" t="s">
        <v>32</v>
      </c>
      <c r="N10" s="6">
        <v>5.0000000000000001E-3</v>
      </c>
      <c r="O10" s="4" t="s">
        <v>0</v>
      </c>
    </row>
    <row r="11" spans="2:17" s="31" customFormat="1" ht="26.25" customHeight="1" thickBot="1" x14ac:dyDescent="0.3">
      <c r="L11" s="9" t="s">
        <v>10</v>
      </c>
      <c r="M11" s="10" t="s">
        <v>33</v>
      </c>
      <c r="N11" s="11">
        <v>9.8010000000000002</v>
      </c>
      <c r="O11" s="12" t="s">
        <v>34</v>
      </c>
    </row>
    <row r="12" spans="2:17" s="31" customFormat="1" ht="26.25" customHeight="1" thickBot="1" x14ac:dyDescent="0.3">
      <c r="B12" s="33" t="s">
        <v>39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4"/>
    </row>
    <row r="13" spans="2:17" s="31" customFormat="1" ht="26.25" customHeight="1" x14ac:dyDescent="0.25">
      <c r="B13" s="26" t="s">
        <v>24</v>
      </c>
      <c r="C13" s="27" t="s">
        <v>19</v>
      </c>
      <c r="D13" s="27" t="s">
        <v>21</v>
      </c>
      <c r="E13" s="27" t="s">
        <v>20</v>
      </c>
      <c r="F13" s="27" t="s">
        <v>22</v>
      </c>
      <c r="G13" s="27" t="s">
        <v>17</v>
      </c>
      <c r="H13" s="27" t="s">
        <v>4</v>
      </c>
      <c r="I13" s="27" t="s">
        <v>18</v>
      </c>
      <c r="J13" s="28" t="s">
        <v>5</v>
      </c>
      <c r="K13" s="26" t="s">
        <v>7</v>
      </c>
      <c r="L13" s="28" t="s">
        <v>8</v>
      </c>
      <c r="M13" s="32"/>
    </row>
    <row r="14" spans="2:17" s="31" customFormat="1" ht="26.25" customHeight="1" x14ac:dyDescent="0.25">
      <c r="B14" s="29">
        <v>400</v>
      </c>
      <c r="C14" s="30">
        <v>7.66</v>
      </c>
      <c r="D14" s="30">
        <v>11.99</v>
      </c>
      <c r="E14" s="13">
        <f>IFERROR($N$9/C14,"")</f>
        <v>1.95822454308094E-4</v>
      </c>
      <c r="F14" s="13">
        <f>IFERROR($N$9/D14,"")</f>
        <v>1.2510425354462051E-4</v>
      </c>
      <c r="G14" s="13">
        <f>IFERROR(L14*(1/C14+1/D14)*POWER(1/C14,1/2)/B14,"")</f>
        <v>1.6359567471997779E-18</v>
      </c>
      <c r="H14" s="14">
        <f>IFERROR(ROUND(G14/$N$6,0),"")</f>
        <v>10</v>
      </c>
      <c r="I14" s="15">
        <f>IFERROR(G14/H14,"")</f>
        <v>1.635956747199778E-19</v>
      </c>
      <c r="J14" s="16">
        <f>IFERROR((I14-$N$6)/$N$6,"")</f>
        <v>2.1196471410598019E-2</v>
      </c>
      <c r="K14" s="25">
        <f>IFERROR(POWER(9*$N$8*E14/(2*$N$11*$N$7),1/2),"")</f>
        <v>1.2950703131607009E-6</v>
      </c>
      <c r="L14" s="18">
        <f>IFERROR(18*$N$3/POWER(2*$N$7*$N$11,1/2)*POWER($N$8*$N$9/(1+$N$4/($N$5*K14)),3/2)*$N$10,"")</f>
        <v>8.4650902253839485E-15</v>
      </c>
    </row>
    <row r="15" spans="2:17" s="31" customFormat="1" ht="26.25" customHeight="1" x14ac:dyDescent="0.25">
      <c r="B15" s="29">
        <v>400</v>
      </c>
      <c r="C15" s="30">
        <v>7.6</v>
      </c>
      <c r="D15" s="30">
        <v>12.29</v>
      </c>
      <c r="E15" s="13">
        <f t="shared" ref="E15:E18" si="7">IFERROR($N$9/C15,"")</f>
        <v>1.973684210526316E-4</v>
      </c>
      <c r="F15" s="13">
        <f t="shared" ref="F15:F18" si="8">IFERROR($N$9/D15,"")</f>
        <v>1.2205044751830758E-4</v>
      </c>
      <c r="G15" s="13">
        <f t="shared" ref="G15:G18" si="9">IFERROR(L15*(1/C15+1/D15)*POWER(1/C15,1/2)/B15,"")</f>
        <v>1.6352526379106966E-18</v>
      </c>
      <c r="H15" s="14">
        <f t="shared" ref="H15:H18" si="10">IFERROR(ROUND(G15/$N$6,0),"")</f>
        <v>10</v>
      </c>
      <c r="I15" s="15">
        <f t="shared" ref="I15:I18" si="11">IFERROR(G15/H15,"")</f>
        <v>1.6352526379106966E-19</v>
      </c>
      <c r="J15" s="16">
        <f t="shared" ref="J15:J18" si="12">IFERROR((I15-$N$6)/$N$6,"")</f>
        <v>2.0756952503555953E-2</v>
      </c>
      <c r="K15" s="25">
        <f t="shared" ref="K15:K18" si="13">IFERROR(POWER(9*$N$8*E15/(2*$N$11*$N$7),1/2),"")</f>
        <v>1.3001723827404275E-6</v>
      </c>
      <c r="L15" s="18">
        <f t="shared" ref="L15:L18" si="14">IFERROR(18*$N$3/POWER(2*$N$7*$N$11,1/2)*POWER($N$8*$N$9/(1+$N$4/($N$5*K15)),3/2)*$N$10,"")</f>
        <v>8.4680290242550501E-15</v>
      </c>
    </row>
    <row r="16" spans="2:17" s="31" customFormat="1" ht="26.25" customHeight="1" x14ac:dyDescent="0.25">
      <c r="B16" s="29">
        <v>400</v>
      </c>
      <c r="C16" s="30">
        <v>7.8</v>
      </c>
      <c r="D16" s="30">
        <v>12.02</v>
      </c>
      <c r="E16" s="13">
        <f t="shared" si="7"/>
        <v>1.9230769230769231E-4</v>
      </c>
      <c r="F16" s="13">
        <f t="shared" si="8"/>
        <v>1.2479201331114809E-4</v>
      </c>
      <c r="G16" s="13">
        <f t="shared" si="9"/>
        <v>1.6005879776686407E-18</v>
      </c>
      <c r="H16" s="14">
        <f t="shared" si="10"/>
        <v>10</v>
      </c>
      <c r="I16" s="15">
        <f t="shared" si="11"/>
        <v>1.6005879776686408E-19</v>
      </c>
      <c r="J16" s="16">
        <f t="shared" si="12"/>
        <v>-8.8141219185968768E-4</v>
      </c>
      <c r="K16" s="25">
        <f t="shared" si="13"/>
        <v>1.2833952620151549E-6</v>
      </c>
      <c r="L16" s="18">
        <f t="shared" si="14"/>
        <v>8.4582840041618494E-15</v>
      </c>
    </row>
    <row r="17" spans="1:14" s="31" customFormat="1" ht="26.25" customHeight="1" x14ac:dyDescent="0.25">
      <c r="B17" s="29">
        <v>400</v>
      </c>
      <c r="C17" s="30">
        <v>7.68</v>
      </c>
      <c r="D17" s="30">
        <v>12.5</v>
      </c>
      <c r="E17" s="13">
        <f t="shared" si="7"/>
        <v>1.9531250000000001E-4</v>
      </c>
      <c r="F17" s="13">
        <f t="shared" si="8"/>
        <v>1.2E-4</v>
      </c>
      <c r="G17" s="13">
        <f t="shared" si="9"/>
        <v>1.6050582901857859E-18</v>
      </c>
      <c r="H17" s="14">
        <f t="shared" si="10"/>
        <v>10</v>
      </c>
      <c r="I17" s="15">
        <f t="shared" si="11"/>
        <v>1.6050582901857858E-19</v>
      </c>
      <c r="J17" s="16">
        <f t="shared" si="12"/>
        <v>1.9090450597914154E-3</v>
      </c>
      <c r="K17" s="25">
        <f t="shared" si="13"/>
        <v>1.2933829244139163E-6</v>
      </c>
      <c r="L17" s="18">
        <f t="shared" si="14"/>
        <v>8.4641135616347442E-15</v>
      </c>
    </row>
    <row r="18" spans="1:14" s="31" customFormat="1" ht="26.25" customHeight="1" x14ac:dyDescent="0.25">
      <c r="B18" s="29">
        <v>400</v>
      </c>
      <c r="C18" s="30">
        <v>7.59</v>
      </c>
      <c r="D18" s="30">
        <v>11.99</v>
      </c>
      <c r="E18" s="13">
        <f t="shared" si="7"/>
        <v>1.9762845849802371E-4</v>
      </c>
      <c r="F18" s="13">
        <f t="shared" si="8"/>
        <v>1.2510425354462051E-4</v>
      </c>
      <c r="G18" s="13">
        <f t="shared" si="9"/>
        <v>1.6534016728236161E-18</v>
      </c>
      <c r="H18" s="14">
        <f t="shared" si="10"/>
        <v>10</v>
      </c>
      <c r="I18" s="15">
        <f t="shared" si="11"/>
        <v>1.6534016728236162E-19</v>
      </c>
      <c r="J18" s="16">
        <f t="shared" si="12"/>
        <v>3.2085938092144953E-2</v>
      </c>
      <c r="K18" s="25">
        <f t="shared" si="13"/>
        <v>1.3010286043562715E-6</v>
      </c>
      <c r="L18" s="18">
        <f t="shared" si="14"/>
        <v>8.4685201161731448E-15</v>
      </c>
    </row>
    <row r="19" spans="1:14" s="31" customFormat="1" ht="26.25" customHeight="1" thickBot="1" x14ac:dyDescent="0.3">
      <c r="B19" s="36" t="s">
        <v>38</v>
      </c>
      <c r="C19" s="37"/>
      <c r="D19" s="37"/>
      <c r="E19" s="37"/>
      <c r="F19" s="38"/>
      <c r="G19" s="19">
        <f>IFERROR(AVERAGE(G14:G18),"")</f>
        <v>1.6260514651577032E-18</v>
      </c>
      <c r="H19" s="20">
        <f>IFERROR(AVERAGE(H14:H18),"")</f>
        <v>10</v>
      </c>
      <c r="I19" s="21">
        <f>IFERROR(AVERAGE(I14:I18),"")</f>
        <v>1.6260514651577035E-19</v>
      </c>
      <c r="J19" s="22">
        <f>IFERROR((I19-$N$6)/$N$6,"")</f>
        <v>1.501339897484613E-2</v>
      </c>
      <c r="K19" s="23"/>
      <c r="L19" s="24"/>
    </row>
    <row r="20" spans="1:14" s="43" customFormat="1" ht="26.25" customHeight="1" x14ac:dyDescent="0.25">
      <c r="N20" s="44"/>
    </row>
    <row r="21" spans="1:14" s="43" customFormat="1" ht="18.75" customHeight="1" x14ac:dyDescent="0.25">
      <c r="A21" s="43" t="s">
        <v>40</v>
      </c>
      <c r="B21" s="43">
        <f>AVERAGE(B14:B18)</f>
        <v>400</v>
      </c>
      <c r="C21" s="43">
        <f t="shared" ref="C21:D21" si="15">AVERAGE(C14:C18)</f>
        <v>7.6659999999999995</v>
      </c>
      <c r="D21" s="43">
        <f t="shared" si="15"/>
        <v>12.157999999999999</v>
      </c>
    </row>
    <row r="22" spans="1:14" s="43" customFormat="1" x14ac:dyDescent="0.25">
      <c r="A22" s="43" t="s">
        <v>41</v>
      </c>
      <c r="C22" s="47">
        <f>$N$9/C21</f>
        <v>1.9566918862509784E-4</v>
      </c>
      <c r="D22" s="47">
        <f>$N$9/D21</f>
        <v>1.2337555518999836E-4</v>
      </c>
    </row>
    <row r="23" spans="1:14" s="43" customFormat="1" x14ac:dyDescent="0.25">
      <c r="A23" s="43" t="s">
        <v>42</v>
      </c>
      <c r="C23" s="43">
        <f>POWER(9*$N$8*C22/(2*$N$11*$N$7),1/2)</f>
        <v>1.2945634032398556E-6</v>
      </c>
    </row>
    <row r="24" spans="1:14" x14ac:dyDescent="0.25">
      <c r="A24" s="48" t="s">
        <v>43</v>
      </c>
      <c r="C24" s="51">
        <f>18*$N$3/POWER(2*$N$7*$N$11,1/2)*POWER($N$8*$N$9/(1+$N$4/($N$5*C23)),3/2)*$N$10</f>
        <v>8.4647970727957518E-15</v>
      </c>
    </row>
    <row r="25" spans="1:14" x14ac:dyDescent="0.25">
      <c r="A25" s="48" t="s">
        <v>44</v>
      </c>
      <c r="C25" s="50">
        <f>C24*(1/C21+1/D21)*POWER(1/C21,1/2)/B21</f>
        <v>1.6256703597560087E-18</v>
      </c>
    </row>
    <row r="26" spans="1:14" x14ac:dyDescent="0.25">
      <c r="A26" s="48" t="s">
        <v>45</v>
      </c>
      <c r="C26" s="45">
        <f>ROUND(C25/$N$6,0)</f>
        <v>10</v>
      </c>
    </row>
    <row r="27" spans="1:14" x14ac:dyDescent="0.25">
      <c r="A27" s="48" t="s">
        <v>46</v>
      </c>
      <c r="C27" s="49">
        <f>C25/C26</f>
        <v>1.6256703597560088E-19</v>
      </c>
    </row>
    <row r="28" spans="1:14" x14ac:dyDescent="0.25">
      <c r="A28" s="48" t="s">
        <v>47</v>
      </c>
      <c r="C28" s="50">
        <f>(C27-$N$6)/$N$6</f>
        <v>1.4775505465673414E-2</v>
      </c>
    </row>
  </sheetData>
  <mergeCells count="4">
    <mergeCell ref="B19:F19"/>
    <mergeCell ref="L2:O2"/>
    <mergeCell ref="B2:J2"/>
    <mergeCell ref="B9:D9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2024-11-26T13:58:53Z</dcterms:modified>
</cp:coreProperties>
</file>