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polybox/Home Office/Zymo base paper/Raw data dryad/Figure 3/"/>
    </mc:Choice>
  </mc:AlternateContent>
  <xr:revisionPtr revIDLastSave="0" documentId="13_ncr:1_{AB46C0DB-7601-9A41-99BB-789EE96BE844}" xr6:coauthVersionLast="47" xr6:coauthVersionMax="47" xr10:uidLastSave="{00000000-0000-0000-0000-000000000000}"/>
  <bookViews>
    <workbookView xWindow="5680" yWindow="1540" windowWidth="35300" windowHeight="24040" xr2:uid="{4637FF2E-0444-40BC-9129-6256768DDF1D}"/>
  </bookViews>
  <sheets>
    <sheet name="Streak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2" l="1"/>
  <c r="Y97" i="2"/>
  <c r="Y96" i="2"/>
  <c r="Y95" i="2"/>
  <c r="Y94" i="2"/>
  <c r="W97" i="2"/>
  <c r="W96" i="2"/>
  <c r="W95" i="2"/>
  <c r="W94" i="2"/>
  <c r="R101" i="2" l="1"/>
  <c r="S101" i="2"/>
  <c r="S100" i="2"/>
  <c r="R100" i="2"/>
  <c r="S95" i="2"/>
  <c r="S94" i="2"/>
  <c r="R95" i="2"/>
  <c r="R94" i="2"/>
  <c r="AA87" i="2"/>
  <c r="AA86" i="2"/>
  <c r="Y87" i="2"/>
  <c r="Z87" i="2"/>
  <c r="Z86" i="2"/>
  <c r="Y86" i="2"/>
  <c r="W86" i="2"/>
  <c r="S87" i="2"/>
  <c r="W87" i="2" s="1"/>
  <c r="T87" i="2"/>
  <c r="T86" i="2"/>
  <c r="S86" i="2"/>
  <c r="Q87" i="2"/>
  <c r="R87" i="2"/>
  <c r="R86" i="2"/>
  <c r="Q86" i="2"/>
  <c r="X87" i="2"/>
  <c r="X86" i="2"/>
  <c r="V86" i="2"/>
  <c r="V87" i="2"/>
  <c r="U87" i="2"/>
  <c r="U86" i="2"/>
  <c r="K87" i="2"/>
  <c r="L87" i="2"/>
  <c r="M87" i="2"/>
  <c r="N87" i="2"/>
  <c r="O87" i="2"/>
  <c r="P87" i="2"/>
  <c r="L86" i="2"/>
  <c r="M86" i="2"/>
  <c r="N86" i="2"/>
  <c r="O86" i="2"/>
  <c r="P86" i="2"/>
  <c r="K86" i="2"/>
  <c r="K81" i="2"/>
  <c r="L81" i="2"/>
  <c r="M81" i="2"/>
  <c r="N81" i="2"/>
  <c r="O81" i="2"/>
  <c r="P81" i="2"/>
  <c r="L80" i="2"/>
  <c r="M80" i="2"/>
  <c r="N80" i="2"/>
  <c r="O80" i="2"/>
  <c r="P80" i="2"/>
  <c r="K80" i="2"/>
  <c r="D50" i="2"/>
  <c r="D62" i="2" s="1"/>
  <c r="C50" i="2"/>
  <c r="C62" i="2" s="1"/>
  <c r="B50" i="2"/>
  <c r="K70" i="2"/>
  <c r="K69" i="2"/>
  <c r="C69" i="2"/>
  <c r="C68" i="2"/>
  <c r="F69" i="2"/>
  <c r="G69" i="2"/>
  <c r="G68" i="2"/>
  <c r="E69" i="2"/>
  <c r="E68" i="2"/>
  <c r="D69" i="2"/>
  <c r="B69" i="2"/>
  <c r="B63" i="2"/>
  <c r="C63" i="2"/>
  <c r="D63" i="2"/>
  <c r="E63" i="2"/>
  <c r="F63" i="2"/>
  <c r="G63" i="2"/>
  <c r="E62" i="2"/>
  <c r="F62" i="2"/>
  <c r="G62" i="2"/>
  <c r="E56" i="2"/>
  <c r="R5" i="2"/>
  <c r="R4" i="2"/>
  <c r="Q5" i="2"/>
  <c r="Q4" i="2"/>
  <c r="E29" i="2"/>
  <c r="D29" i="2"/>
  <c r="C29" i="2"/>
  <c r="B29" i="2"/>
  <c r="N4" i="2"/>
  <c r="M4" i="2"/>
  <c r="L4" i="2"/>
  <c r="E23" i="2"/>
  <c r="E22" i="2"/>
  <c r="H22" i="2" s="1"/>
  <c r="E21" i="2"/>
  <c r="H21" i="2" s="1"/>
  <c r="E20" i="2"/>
  <c r="H20" i="2" s="1"/>
  <c r="E19" i="2"/>
  <c r="H19" i="2" s="1"/>
  <c r="E18" i="2"/>
  <c r="H18" i="2" s="1"/>
  <c r="E17" i="2"/>
  <c r="H17" i="2" s="1"/>
  <c r="G18" i="2"/>
  <c r="H23" i="2"/>
  <c r="D23" i="2"/>
  <c r="D22" i="2"/>
  <c r="D19" i="2"/>
  <c r="G19" i="2" s="1"/>
  <c r="D18" i="2"/>
  <c r="D21" i="2"/>
  <c r="G21" i="2" s="1"/>
  <c r="D20" i="2"/>
  <c r="D17" i="2"/>
  <c r="G17" i="2" s="1"/>
  <c r="C23" i="2"/>
  <c r="F23" i="2" s="1"/>
  <c r="C22" i="2"/>
  <c r="F22" i="2" s="1"/>
  <c r="C21" i="2"/>
  <c r="F21" i="2" s="1"/>
  <c r="C20" i="2"/>
  <c r="F20" i="2" s="1"/>
  <c r="C19" i="2"/>
  <c r="F19" i="2" s="1"/>
  <c r="C18" i="2"/>
  <c r="F18" i="2" s="1"/>
  <c r="C17" i="2"/>
  <c r="F17" i="2" s="1"/>
  <c r="D7" i="2"/>
  <c r="G7" i="2" s="1"/>
  <c r="D6" i="2"/>
  <c r="G6" i="2" s="1"/>
  <c r="D5" i="2"/>
  <c r="G5" i="2" s="1"/>
  <c r="D4" i="2"/>
  <c r="G4" i="2" s="1"/>
  <c r="C6" i="2"/>
  <c r="F6" i="2" s="1"/>
  <c r="C7" i="2"/>
  <c r="F7" i="2" s="1"/>
  <c r="C5" i="2"/>
  <c r="F5" i="2" s="1"/>
  <c r="C4" i="2"/>
  <c r="F4" i="2" s="1"/>
  <c r="B7" i="2"/>
  <c r="E7" i="2" s="1"/>
  <c r="B6" i="2"/>
  <c r="E6" i="2" s="1"/>
  <c r="B5" i="2"/>
  <c r="E5" i="2" s="1"/>
  <c r="B4" i="2"/>
  <c r="E4" i="2" s="1"/>
  <c r="D68" i="2" l="1"/>
  <c r="F68" i="2" s="1"/>
  <c r="B68" i="2"/>
  <c r="C41" i="2"/>
  <c r="J18" i="2"/>
  <c r="K18" i="2" s="1"/>
  <c r="D30" i="2" s="1"/>
  <c r="F50" i="2"/>
  <c r="F41" i="2"/>
  <c r="B51" i="2"/>
  <c r="B40" i="2"/>
  <c r="D51" i="2"/>
  <c r="J17" i="2"/>
  <c r="K17" i="2" s="1"/>
  <c r="G22" i="2"/>
  <c r="J22" i="2" s="1"/>
  <c r="K22" i="2" s="1"/>
  <c r="E31" i="2" s="1"/>
  <c r="E40" i="2"/>
  <c r="E50" i="2"/>
  <c r="G56" i="2" s="1"/>
  <c r="G50" i="2"/>
  <c r="G41" i="2"/>
  <c r="B56" i="2"/>
  <c r="E51" i="2"/>
  <c r="C57" i="2" s="1"/>
  <c r="G20" i="2"/>
  <c r="J20" i="2" s="1"/>
  <c r="K20" i="2" s="1"/>
  <c r="D32" i="2" s="1"/>
  <c r="J21" i="2"/>
  <c r="K21" i="2" s="1"/>
  <c r="E30" i="2" s="1"/>
  <c r="J19" i="2"/>
  <c r="K19" i="2" s="1"/>
  <c r="D31" i="2" s="1"/>
  <c r="D40" i="2"/>
  <c r="F51" i="2"/>
  <c r="F40" i="2"/>
  <c r="G40" i="2"/>
  <c r="C51" i="2"/>
  <c r="G51" i="2"/>
  <c r="D57" i="2"/>
  <c r="F57" i="2" s="1"/>
  <c r="I17" i="2"/>
  <c r="I18" i="2"/>
  <c r="B30" i="2" s="1"/>
  <c r="D41" i="2"/>
  <c r="G23" i="2"/>
  <c r="I23" i="2" s="1"/>
  <c r="C32" i="2" s="1"/>
  <c r="C40" i="2"/>
  <c r="I19" i="2"/>
  <c r="B31" i="2" s="1"/>
  <c r="H6" i="2"/>
  <c r="I6" i="2" s="1"/>
  <c r="J6" i="2" s="1"/>
  <c r="I21" i="2"/>
  <c r="C30" i="2" s="1"/>
  <c r="H7" i="2"/>
  <c r="I7" i="2" s="1"/>
  <c r="J7" i="2" s="1"/>
  <c r="I22" i="2"/>
  <c r="C31" i="2" s="1"/>
  <c r="E41" i="2"/>
  <c r="B41" i="2"/>
  <c r="H4" i="2"/>
  <c r="I4" i="2" s="1"/>
  <c r="J4" i="2" s="1"/>
  <c r="H5" i="2"/>
  <c r="I5" i="2" s="1"/>
  <c r="J5" i="2" s="1"/>
  <c r="C56" i="2" l="1"/>
  <c r="I20" i="2"/>
  <c r="B32" i="2" s="1"/>
  <c r="B57" i="2"/>
  <c r="D56" i="2"/>
  <c r="F56" i="2" s="1"/>
  <c r="E57" i="2"/>
  <c r="G57" i="2" s="1"/>
  <c r="J23" i="2"/>
  <c r="K23" i="2" s="1"/>
  <c r="E32" i="2" s="1"/>
  <c r="K41" i="2"/>
  <c r="M41" i="2" s="1"/>
  <c r="I41" i="2"/>
  <c r="J41" i="2"/>
  <c r="L41" i="2" s="1"/>
  <c r="H41" i="2"/>
  <c r="J40" i="2"/>
  <c r="L40" i="2" s="1"/>
  <c r="H40" i="2"/>
  <c r="K40" i="2"/>
  <c r="M40" i="2" s="1"/>
  <c r="I40" i="2"/>
</calcChain>
</file>

<file path=xl/sharedStrings.xml><?xml version="1.0" encoding="utf-8"?>
<sst xmlns="http://schemas.openxmlformats.org/spreadsheetml/2006/main" count="190" uniqueCount="71">
  <si>
    <t>Treatment</t>
  </si>
  <si>
    <t>Straw 1</t>
  </si>
  <si>
    <t>Straw 2</t>
  </si>
  <si>
    <t>Zymo 0</t>
  </si>
  <si>
    <t>1A5</t>
  </si>
  <si>
    <t>Rep 1</t>
  </si>
  <si>
    <t>Rep 2</t>
  </si>
  <si>
    <t>Rep 3</t>
  </si>
  <si>
    <t>Comment: 150ul streaked out, hence /3*2</t>
  </si>
  <si>
    <t>Zymo + M low</t>
  </si>
  <si>
    <t>Zymo + M high</t>
  </si>
  <si>
    <t>Day 0</t>
  </si>
  <si>
    <t>Day 7</t>
  </si>
  <si>
    <t>Strain</t>
  </si>
  <si>
    <t>Substrate</t>
  </si>
  <si>
    <t>control/liquid</t>
  </si>
  <si>
    <t>Zymo + TPM</t>
  </si>
  <si>
    <t>TPM</t>
  </si>
  <si>
    <t>straw</t>
  </si>
  <si>
    <t>Straw</t>
  </si>
  <si>
    <t>Log</t>
  </si>
  <si>
    <t>Average</t>
  </si>
  <si>
    <t>Fold change vs Zymo + TPM</t>
  </si>
  <si>
    <t>stdev</t>
  </si>
  <si>
    <t>conf 95</t>
  </si>
  <si>
    <t>Stdev</t>
  </si>
  <si>
    <t>conf</t>
  </si>
  <si>
    <t>confidence 95</t>
  </si>
  <si>
    <t>Formula: log (Zymo + M low or high / Zymo + TPM)</t>
  </si>
  <si>
    <t>Zymo T0</t>
  </si>
  <si>
    <t>ttest</t>
  </si>
  <si>
    <t>Zymo + TPM vs Zymo + M low</t>
  </si>
  <si>
    <t>Zymo + TPM vs Zymo + M high</t>
  </si>
  <si>
    <t>average straw 1 + 2</t>
  </si>
  <si>
    <t>conf 96</t>
  </si>
  <si>
    <t>Inverted values</t>
  </si>
  <si>
    <t>p-values of percentages</t>
  </si>
  <si>
    <t>TPM high vs straw high</t>
  </si>
  <si>
    <t>p-value</t>
  </si>
  <si>
    <t>straw high vs straw low</t>
  </si>
  <si>
    <t>Arcsine transformation</t>
  </si>
  <si>
    <t>Average TPM</t>
  </si>
  <si>
    <t>Average Straw</t>
  </si>
  <si>
    <t>Stdev TPM</t>
  </si>
  <si>
    <t>Stdev Straw</t>
  </si>
  <si>
    <t>St. Error TPM</t>
  </si>
  <si>
    <t>St. Error Straw</t>
  </si>
  <si>
    <t>Hypothesized mean</t>
  </si>
  <si>
    <t>(Mean values - hypothesized mean)/SEM</t>
  </si>
  <si>
    <t>t-statistic</t>
  </si>
  <si>
    <t>=FDR*rank/k</t>
  </si>
  <si>
    <t>rank</t>
  </si>
  <si>
    <t>adj alpha</t>
  </si>
  <si>
    <t>BH sig</t>
  </si>
  <si>
    <t>yes</t>
  </si>
  <si>
    <t>Correction for multiple testing</t>
  </si>
  <si>
    <t>TPM M high</t>
  </si>
  <si>
    <t>Straw M high</t>
  </si>
  <si>
    <t>Straw M low</t>
  </si>
  <si>
    <t>TPM M low</t>
  </si>
  <si>
    <t>k</t>
  </si>
  <si>
    <t>FDR</t>
  </si>
  <si>
    <t>stdev/SQRT(Count)</t>
  </si>
  <si>
    <t>Count -1</t>
  </si>
  <si>
    <t>ASIN(SQRT(0))</t>
  </si>
  <si>
    <t>Step 1: undo *100 (%) (divide by 100)</t>
  </si>
  <si>
    <t>Step 2: ASIN(SQRT(Value))</t>
  </si>
  <si>
    <t>Degrees of freedom TPM</t>
  </si>
  <si>
    <t>Degrees of freedom Straw</t>
  </si>
  <si>
    <t>Count (n) TPM</t>
  </si>
  <si>
    <t>Count(n) 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</si>
</sst>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3A36-936C-4887-869D-FFB3B81AB7C3}">
  <dimension ref="A1:AA101"/>
  <sheetViews>
    <sheetView tabSelected="1" zoomScaleNormal="100" zoomScaleSheetLayoutView="50" workbookViewId="0">
      <selection activeCell="D71" sqref="D71"/>
    </sheetView>
  </sheetViews>
  <sheetFormatPr baseColWidth="10" defaultColWidth="10.6640625" defaultRowHeight="15" x14ac:dyDescent="0.2"/>
  <cols>
    <col min="1" max="1" width="13.5" customWidth="1"/>
    <col min="2" max="2" width="12.1640625" customWidth="1"/>
    <col min="10" max="10" width="14" customWidth="1"/>
    <col min="16" max="16" width="12.6640625" customWidth="1"/>
    <col min="17" max="17" width="11.33203125" customWidth="1"/>
    <col min="18" max="18" width="12.6640625" customWidth="1"/>
    <col min="21" max="21" width="13.1640625" customWidth="1"/>
    <col min="22" max="22" width="12.33203125" customWidth="1"/>
    <col min="23" max="23" width="11.6640625" customWidth="1"/>
    <col min="24" max="24" width="12.83203125" customWidth="1"/>
    <col min="25" max="25" width="20.1640625" customWidth="1"/>
    <col min="26" max="26" width="20.83203125" customWidth="1"/>
    <col min="27" max="27" width="16.6640625" customWidth="1"/>
  </cols>
  <sheetData>
    <row r="1" spans="1:18" x14ac:dyDescent="0.2">
      <c r="A1" t="s">
        <v>11</v>
      </c>
    </row>
    <row r="2" spans="1:18" x14ac:dyDescent="0.2">
      <c r="A2" t="s">
        <v>0</v>
      </c>
      <c r="E2" t="s">
        <v>20</v>
      </c>
      <c r="P2" t="s">
        <v>30</v>
      </c>
    </row>
    <row r="3" spans="1:18" x14ac:dyDescent="0.2"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21</v>
      </c>
      <c r="I3" t="s">
        <v>23</v>
      </c>
      <c r="J3" t="s">
        <v>24</v>
      </c>
      <c r="L3" t="s">
        <v>33</v>
      </c>
      <c r="M3" t="s">
        <v>23</v>
      </c>
      <c r="N3" t="s">
        <v>34</v>
      </c>
      <c r="Q3" t="s">
        <v>17</v>
      </c>
      <c r="R3" t="s">
        <v>19</v>
      </c>
    </row>
    <row r="4" spans="1:18" x14ac:dyDescent="0.2">
      <c r="A4" t="s">
        <v>1</v>
      </c>
      <c r="B4">
        <f>(86*10^5)/3*2</f>
        <v>5733333.333333333</v>
      </c>
      <c r="C4">
        <f>(114*10^5)/3*2</f>
        <v>7600000</v>
      </c>
      <c r="D4">
        <f>(138*10^5)/3*2</f>
        <v>9200000</v>
      </c>
      <c r="E4">
        <f>LOG10(B4)</f>
        <v>6.7584071921878861</v>
      </c>
      <c r="F4">
        <f t="shared" ref="F4:G4" si="0">LOG10(C4)</f>
        <v>6.8808135922807914</v>
      </c>
      <c r="G4">
        <f t="shared" si="0"/>
        <v>6.9637878273455556</v>
      </c>
      <c r="H4">
        <f>AVERAGE(E4:G4)</f>
        <v>6.8676695372714107</v>
      </c>
      <c r="I4">
        <f>STDEV(F4:H4)</f>
        <v>5.2115601556299532E-2</v>
      </c>
      <c r="J4">
        <f>CONFIDENCE(0.05,I4,3)</f>
        <v>5.8973271243906472E-2</v>
      </c>
      <c r="L4">
        <f>AVERAGE(E4:G5)</f>
        <v>6.9075530391101658</v>
      </c>
      <c r="M4">
        <f>STDEV(E4:G5)</f>
        <v>0.19408315688174949</v>
      </c>
      <c r="N4">
        <f>CONFIDENCE(0.05,M4,6)</f>
        <v>0.1552960156762484</v>
      </c>
      <c r="P4" t="s">
        <v>31</v>
      </c>
      <c r="Q4">
        <f>TTEST(F18:H18,F19:H19,2,1)</f>
        <v>0.15362979425773615</v>
      </c>
      <c r="R4">
        <f>TTEST(F21:H21,F22:H22,2,1)</f>
        <v>7.1689524307606112E-2</v>
      </c>
    </row>
    <row r="5" spans="1:18" x14ac:dyDescent="0.2">
      <c r="A5" t="s">
        <v>2</v>
      </c>
      <c r="B5">
        <f>(105*10^5)/3*2</f>
        <v>7000000</v>
      </c>
      <c r="C5">
        <f>(81*10^5)/3*2</f>
        <v>5400000</v>
      </c>
      <c r="D5">
        <f>(276*10^5)/3*2</f>
        <v>18400000</v>
      </c>
      <c r="E5">
        <f t="shared" ref="E5:E7" si="1">LOG10(B5)</f>
        <v>6.8450980400142569</v>
      </c>
      <c r="F5">
        <f t="shared" ref="F5:F7" si="2">LOG10(C5)</f>
        <v>6.7323937598229682</v>
      </c>
      <c r="G5">
        <f t="shared" ref="G5:G7" si="3">LOG10(D5)</f>
        <v>7.2648178230095368</v>
      </c>
      <c r="H5">
        <f t="shared" ref="H5:H7" si="4">AVERAGE(E5:G5)</f>
        <v>6.9474365409489209</v>
      </c>
      <c r="I5">
        <f t="shared" ref="I5:I7" si="5">STDEV(F5:H5)</f>
        <v>0.26784624288850245</v>
      </c>
      <c r="J5">
        <f t="shared" ref="J5:J7" si="6">CONFIDENCE(0.05,I5,3)</f>
        <v>0.30309098737853057</v>
      </c>
      <c r="P5" t="s">
        <v>32</v>
      </c>
      <c r="Q5">
        <f>TTEST(F18:H18,F20:H20,2,1)</f>
        <v>1.0682670821999921E-2</v>
      </c>
      <c r="R5">
        <f>TTEST(F21:H21,F23:H23,2,1)</f>
        <v>1.2524964702011738E-2</v>
      </c>
    </row>
    <row r="6" spans="1:18" x14ac:dyDescent="0.2">
      <c r="A6" t="s">
        <v>3</v>
      </c>
      <c r="B6">
        <f>29*10^5/3*2</f>
        <v>1933333.3333333333</v>
      </c>
      <c r="C6">
        <f>(25*10^5)/3*2</f>
        <v>1666666.6666666667</v>
      </c>
      <c r="D6">
        <f>(235*10^4)/3*2</f>
        <v>1566666.6666666667</v>
      </c>
      <c r="E6">
        <f t="shared" si="1"/>
        <v>6.2863067388432752</v>
      </c>
      <c r="F6">
        <f t="shared" si="2"/>
        <v>6.2218487496163561</v>
      </c>
      <c r="G6">
        <f t="shared" si="3"/>
        <v>6.1949766032160554</v>
      </c>
      <c r="H6">
        <f t="shared" si="4"/>
        <v>6.2343773638918956</v>
      </c>
      <c r="I6">
        <f t="shared" si="5"/>
        <v>2.0130815390255487E-2</v>
      </c>
      <c r="J6">
        <f t="shared" si="6"/>
        <v>2.2779743510934147E-2</v>
      </c>
    </row>
    <row r="7" spans="1:18" x14ac:dyDescent="0.2">
      <c r="A7" t="s">
        <v>4</v>
      </c>
      <c r="B7">
        <f>(347*10^4)/3*2</f>
        <v>2313333.3333333335</v>
      </c>
      <c r="C7">
        <f>(68*10^5)/3*2</f>
        <v>4533333.333333333</v>
      </c>
      <c r="D7">
        <f>(59*10^5)/3*2</f>
        <v>3933333.3333333335</v>
      </c>
      <c r="E7">
        <f t="shared" si="1"/>
        <v>6.3642382157351927</v>
      </c>
      <c r="F7">
        <f t="shared" si="2"/>
        <v>6.6564176536505553</v>
      </c>
      <c r="G7">
        <f t="shared" si="3"/>
        <v>6.5947607525864633</v>
      </c>
      <c r="H7">
        <f t="shared" si="4"/>
        <v>6.5384722073240704</v>
      </c>
      <c r="I7">
        <f t="shared" si="5"/>
        <v>5.8993081636376926E-2</v>
      </c>
      <c r="J7">
        <f t="shared" si="6"/>
        <v>6.6755729588915097E-2</v>
      </c>
    </row>
    <row r="10" spans="1:18" x14ac:dyDescent="0.2">
      <c r="A10" t="s">
        <v>8</v>
      </c>
    </row>
    <row r="13" spans="1:18" x14ac:dyDescent="0.2">
      <c r="A13" t="s">
        <v>12</v>
      </c>
    </row>
    <row r="15" spans="1:18" x14ac:dyDescent="0.2">
      <c r="A15" t="s">
        <v>0</v>
      </c>
      <c r="F15" t="s">
        <v>20</v>
      </c>
    </row>
    <row r="16" spans="1:18" x14ac:dyDescent="0.2">
      <c r="A16" t="s">
        <v>13</v>
      </c>
      <c r="B16" t="s">
        <v>14</v>
      </c>
      <c r="C16" t="s">
        <v>5</v>
      </c>
      <c r="D16" t="s">
        <v>6</v>
      </c>
      <c r="E16" t="s">
        <v>7</v>
      </c>
      <c r="F16" t="s">
        <v>5</v>
      </c>
      <c r="G16" t="s">
        <v>6</v>
      </c>
      <c r="H16" t="s">
        <v>7</v>
      </c>
      <c r="I16" t="s">
        <v>21</v>
      </c>
      <c r="J16" t="s">
        <v>25</v>
      </c>
      <c r="K16" t="s">
        <v>27</v>
      </c>
    </row>
    <row r="17" spans="1:11" x14ac:dyDescent="0.2">
      <c r="A17" t="s">
        <v>4</v>
      </c>
      <c r="B17" t="s">
        <v>15</v>
      </c>
      <c r="C17">
        <f>(181*10^4)/3*2</f>
        <v>1206666.6666666667</v>
      </c>
      <c r="D17">
        <f>(275*10^4)/3*2</f>
        <v>1833333.3333333333</v>
      </c>
      <c r="E17">
        <f>(376*10^4)/3*2</f>
        <v>2506666.6666666665</v>
      </c>
      <c r="F17">
        <f>LOG10(C17)</f>
        <v>6.0815873158135032</v>
      </c>
      <c r="G17">
        <f>LOG10(D17)</f>
        <v>6.2632414347745815</v>
      </c>
      <c r="H17">
        <f>LOG10(E17)</f>
        <v>6.3990965858719795</v>
      </c>
      <c r="I17">
        <f>AVERAGE(F17:H17)</f>
        <v>6.2479751121533553</v>
      </c>
      <c r="J17">
        <f>STDEV(F17:H17)</f>
        <v>0.15930420458370878</v>
      </c>
      <c r="K17">
        <f>CONFIDENCE(0.05,J17,3)</f>
        <v>0.1802663652852767</v>
      </c>
    </row>
    <row r="18" spans="1:11" x14ac:dyDescent="0.2">
      <c r="A18" t="s">
        <v>16</v>
      </c>
      <c r="B18" t="s">
        <v>17</v>
      </c>
      <c r="C18">
        <f>(244*10^4)/3*2</f>
        <v>1626666.6666666667</v>
      </c>
      <c r="D18">
        <f>(86*10^4)/3*2</f>
        <v>573333.33333333337</v>
      </c>
      <c r="E18">
        <f>(191*10^4)/3*2</f>
        <v>1273333.3333333333</v>
      </c>
      <c r="F18">
        <f t="shared" ref="F18:F23" si="7">LOG10(C18)</f>
        <v>6.2112985672830483</v>
      </c>
      <c r="G18">
        <f t="shared" ref="G18:G23" si="8">LOG10(D18)</f>
        <v>5.7584071921878861</v>
      </c>
      <c r="H18">
        <f t="shared" ref="H18:H23" si="9">LOG10(E18)</f>
        <v>6.1049421081920459</v>
      </c>
      <c r="I18">
        <f t="shared" ref="I18:I23" si="10">AVERAGE(F18:H18)</f>
        <v>6.0248826225543262</v>
      </c>
      <c r="J18">
        <f t="shared" ref="J18:J23" si="11">STDEV(F18:H18)</f>
        <v>0.23682227585117249</v>
      </c>
      <c r="K18">
        <f t="shared" ref="K18:K23" si="12">CONFIDENCE(0.05,J18,3)</f>
        <v>0.2679847088646386</v>
      </c>
    </row>
    <row r="19" spans="1:11" x14ac:dyDescent="0.2">
      <c r="A19" t="s">
        <v>9</v>
      </c>
      <c r="B19" t="s">
        <v>17</v>
      </c>
      <c r="C19">
        <f>(102*10^4)/3*2</f>
        <v>680000</v>
      </c>
      <c r="D19">
        <f>(80*10^4)/3*2</f>
        <v>533333.33333333337</v>
      </c>
      <c r="E19">
        <f>(73*10^4)/3*2</f>
        <v>486666.66666666669</v>
      </c>
      <c r="F19">
        <f t="shared" si="7"/>
        <v>5.8325089127062366</v>
      </c>
      <c r="G19">
        <f t="shared" si="8"/>
        <v>5.7269987279362624</v>
      </c>
      <c r="H19">
        <f t="shared" si="9"/>
        <v>5.6872316010647745</v>
      </c>
      <c r="I19">
        <f t="shared" si="10"/>
        <v>5.7489130805690918</v>
      </c>
      <c r="J19">
        <f t="shared" si="11"/>
        <v>7.507698354309128E-2</v>
      </c>
      <c r="K19">
        <f t="shared" si="12"/>
        <v>8.4956043534833589E-2</v>
      </c>
    </row>
    <row r="20" spans="1:11" x14ac:dyDescent="0.2">
      <c r="A20" t="s">
        <v>10</v>
      </c>
      <c r="B20" t="s">
        <v>17</v>
      </c>
      <c r="C20">
        <f>(19*10)/3*2</f>
        <v>126.66666666666667</v>
      </c>
      <c r="D20">
        <f>(39*10)/3*2</f>
        <v>260</v>
      </c>
      <c r="E20">
        <f>(253*10)/3*2</f>
        <v>1686.6666666666667</v>
      </c>
      <c r="F20">
        <f t="shared" si="7"/>
        <v>2.102662341897148</v>
      </c>
      <c r="G20">
        <f t="shared" si="8"/>
        <v>2.4149733479708178</v>
      </c>
      <c r="H20">
        <f t="shared" si="9"/>
        <v>3.2270292621201366</v>
      </c>
      <c r="I20">
        <f t="shared" si="10"/>
        <v>2.5815549839960341</v>
      </c>
      <c r="J20">
        <f t="shared" si="11"/>
        <v>0.58039841825987049</v>
      </c>
      <c r="K20">
        <f t="shared" si="12"/>
        <v>0.65677057018324436</v>
      </c>
    </row>
    <row r="21" spans="1:11" x14ac:dyDescent="0.2">
      <c r="A21" t="s">
        <v>16</v>
      </c>
      <c r="B21" t="s">
        <v>18</v>
      </c>
      <c r="C21">
        <f>(74*10^5)/3*2</f>
        <v>4933333.333333333</v>
      </c>
      <c r="D21">
        <f>(74*10^5)/3*2</f>
        <v>4933333.333333333</v>
      </c>
      <c r="E21">
        <f>(70*10^5)/3*2</f>
        <v>4666666.666666667</v>
      </c>
      <c r="F21">
        <f t="shared" si="7"/>
        <v>6.6931404606752949</v>
      </c>
      <c r="G21">
        <f t="shared" si="8"/>
        <v>6.6931404606752949</v>
      </c>
      <c r="H21">
        <f t="shared" si="9"/>
        <v>6.6690067809585756</v>
      </c>
      <c r="I21">
        <f t="shared" si="10"/>
        <v>6.6850959007697215</v>
      </c>
      <c r="J21">
        <f t="shared" si="11"/>
        <v>1.3933586480984108E-2</v>
      </c>
      <c r="K21">
        <f t="shared" si="12"/>
        <v>1.5767047686398222E-2</v>
      </c>
    </row>
    <row r="22" spans="1:11" x14ac:dyDescent="0.2">
      <c r="A22" t="s">
        <v>9</v>
      </c>
      <c r="B22" t="s">
        <v>18</v>
      </c>
      <c r="C22">
        <f>(36*10^5)/3*2</f>
        <v>2400000</v>
      </c>
      <c r="D22">
        <f>(56*10^5)/3*2</f>
        <v>3733333.3333333335</v>
      </c>
      <c r="E22">
        <f>(47*10^5)/3*2</f>
        <v>3133333.3333333335</v>
      </c>
      <c r="F22">
        <f t="shared" si="7"/>
        <v>6.3802112417116064</v>
      </c>
      <c r="G22">
        <f t="shared" si="8"/>
        <v>6.5720967679505193</v>
      </c>
      <c r="H22">
        <f t="shared" si="9"/>
        <v>6.4960065988800366</v>
      </c>
      <c r="I22">
        <f t="shared" si="10"/>
        <v>6.4827715361807208</v>
      </c>
      <c r="J22">
        <f t="shared" si="11"/>
        <v>9.6624991376389052E-2</v>
      </c>
      <c r="K22">
        <f t="shared" si="12"/>
        <v>0.10933946179675495</v>
      </c>
    </row>
    <row r="23" spans="1:11" x14ac:dyDescent="0.2">
      <c r="A23" t="s">
        <v>10</v>
      </c>
      <c r="B23" t="s">
        <v>18</v>
      </c>
      <c r="C23">
        <f>(117*10^4)/3*2</f>
        <v>780000</v>
      </c>
      <c r="D23">
        <f>(194*10^4)/3*2</f>
        <v>1293333.3333333333</v>
      </c>
      <c r="E23">
        <f>(97*10^4)/3*2</f>
        <v>646666.66666666663</v>
      </c>
      <c r="F23">
        <f t="shared" si="7"/>
        <v>5.8920946026904808</v>
      </c>
      <c r="G23">
        <f t="shared" si="8"/>
        <v>6.1117104708745451</v>
      </c>
      <c r="H23">
        <f t="shared" si="9"/>
        <v>5.8106804752105639</v>
      </c>
      <c r="I23">
        <f t="shared" si="10"/>
        <v>5.9381618495918636</v>
      </c>
      <c r="J23">
        <f t="shared" si="11"/>
        <v>0.1557125813804679</v>
      </c>
      <c r="K23">
        <f t="shared" si="12"/>
        <v>0.17620213570631235</v>
      </c>
    </row>
    <row r="27" spans="1:11" x14ac:dyDescent="0.2">
      <c r="D27" t="s">
        <v>26</v>
      </c>
    </row>
    <row r="28" spans="1:11" x14ac:dyDescent="0.2">
      <c r="B28" t="s">
        <v>17</v>
      </c>
      <c r="C28" t="s">
        <v>19</v>
      </c>
      <c r="D28" t="s">
        <v>17</v>
      </c>
      <c r="E28" t="s">
        <v>19</v>
      </c>
    </row>
    <row r="29" spans="1:11" x14ac:dyDescent="0.2">
      <c r="A29" t="s">
        <v>29</v>
      </c>
      <c r="B29">
        <f>H6</f>
        <v>6.2343773638918956</v>
      </c>
      <c r="C29">
        <f>L4</f>
        <v>6.9075530391101658</v>
      </c>
      <c r="D29">
        <f>J6</f>
        <v>2.2779743510934147E-2</v>
      </c>
      <c r="E29">
        <f>N4</f>
        <v>0.1552960156762484</v>
      </c>
    </row>
    <row r="30" spans="1:11" x14ac:dyDescent="0.2">
      <c r="A30" t="s">
        <v>16</v>
      </c>
      <c r="B30">
        <f>I18</f>
        <v>6.0248826225543262</v>
      </c>
      <c r="C30">
        <f>I21</f>
        <v>6.6850959007697215</v>
      </c>
      <c r="D30">
        <f>K18</f>
        <v>0.2679847088646386</v>
      </c>
      <c r="E30">
        <f>K21</f>
        <v>1.5767047686398222E-2</v>
      </c>
    </row>
    <row r="31" spans="1:11" x14ac:dyDescent="0.2">
      <c r="A31" t="s">
        <v>9</v>
      </c>
      <c r="B31">
        <f>I19</f>
        <v>5.7489130805690918</v>
      </c>
      <c r="C31">
        <f>I22</f>
        <v>6.4827715361807208</v>
      </c>
      <c r="D31">
        <f>K19</f>
        <v>8.4956043534833589E-2</v>
      </c>
      <c r="E31">
        <f>K22</f>
        <v>0.10933946179675495</v>
      </c>
    </row>
    <row r="32" spans="1:11" x14ac:dyDescent="0.2">
      <c r="A32" t="s">
        <v>10</v>
      </c>
      <c r="B32">
        <f>I20</f>
        <v>2.5815549839960341</v>
      </c>
      <c r="C32">
        <f>I23</f>
        <v>5.9381618495918636</v>
      </c>
      <c r="D32">
        <f>K20</f>
        <v>0.65677057018324436</v>
      </c>
      <c r="E32">
        <f>K23</f>
        <v>0.17620213570631235</v>
      </c>
    </row>
    <row r="37" spans="1:13" x14ac:dyDescent="0.2">
      <c r="A37" t="s">
        <v>22</v>
      </c>
    </row>
    <row r="38" spans="1:13" x14ac:dyDescent="0.2">
      <c r="B38" t="s">
        <v>17</v>
      </c>
      <c r="H38" t="s">
        <v>21</v>
      </c>
      <c r="J38" t="s">
        <v>25</v>
      </c>
      <c r="L38" t="s">
        <v>26</v>
      </c>
    </row>
    <row r="39" spans="1:13" x14ac:dyDescent="0.2">
      <c r="B39" t="s">
        <v>5</v>
      </c>
      <c r="C39" t="s">
        <v>6</v>
      </c>
      <c r="D39" t="s">
        <v>7</v>
      </c>
      <c r="H39" t="s">
        <v>17</v>
      </c>
      <c r="I39" t="s">
        <v>19</v>
      </c>
      <c r="J39" t="s">
        <v>17</v>
      </c>
      <c r="K39" t="s">
        <v>19</v>
      </c>
      <c r="L39" t="s">
        <v>17</v>
      </c>
      <c r="M39" t="s">
        <v>19</v>
      </c>
    </row>
    <row r="40" spans="1:13" x14ac:dyDescent="0.2">
      <c r="A40" t="s">
        <v>9</v>
      </c>
      <c r="B40">
        <f>((C19-C18)/C18)</f>
        <v>-0.58196721311475408</v>
      </c>
      <c r="C40">
        <f t="shared" ref="C40:D40" si="13">((D19-D18)/D18)</f>
        <v>-6.9767441860465115E-2</v>
      </c>
      <c r="D40">
        <f t="shared" si="13"/>
        <v>-0.61780104712041872</v>
      </c>
      <c r="E40">
        <f>((C22-C21)/C21)</f>
        <v>-0.51351351351351349</v>
      </c>
      <c r="F40">
        <f t="shared" ref="F40:G40" si="14">((D22-D21)/D21)</f>
        <v>-0.24324324324324317</v>
      </c>
      <c r="G40">
        <f t="shared" si="14"/>
        <v>-0.32857142857142857</v>
      </c>
      <c r="H40">
        <f>AVERAGE(B40:D40)</f>
        <v>-0.42317856736521264</v>
      </c>
      <c r="I40">
        <f>AVERAGE(E40:G40)</f>
        <v>-0.36177606177606175</v>
      </c>
      <c r="J40">
        <f>STDEV(B40:D40)</f>
        <v>0.30658699195788747</v>
      </c>
      <c r="K40">
        <f>STDEV(E40:G40)</f>
        <v>0.13816083199547519</v>
      </c>
      <c r="L40">
        <f>CONFIDENCE(0.05,J40,3)</f>
        <v>0.34692946635287142</v>
      </c>
      <c r="M40">
        <f>CONFIDENCE(0.05,K40,3)</f>
        <v>0.15634082649417438</v>
      </c>
    </row>
    <row r="41" spans="1:13" x14ac:dyDescent="0.2">
      <c r="A41" t="s">
        <v>10</v>
      </c>
      <c r="B41">
        <f>((C20-C18)/C18)</f>
        <v>-0.99992213114754092</v>
      </c>
      <c r="C41">
        <f t="shared" ref="C41:D41" si="15">((D20-D18)/D18)</f>
        <v>-0.99954651162790698</v>
      </c>
      <c r="D41">
        <f t="shared" si="15"/>
        <v>-0.99867539267015704</v>
      </c>
      <c r="E41">
        <f>((C23-C21)/C21)</f>
        <v>-0.84189189189189184</v>
      </c>
      <c r="F41">
        <f t="shared" ref="F41:G41" si="16">((D23-D21)/D21)</f>
        <v>-0.73783783783783785</v>
      </c>
      <c r="G41">
        <f t="shared" si="16"/>
        <v>-0.86142857142857143</v>
      </c>
      <c r="H41">
        <f>AVERAGE(B41:D41)</f>
        <v>-0.99938134514853483</v>
      </c>
      <c r="I41">
        <f>AVERAGE(E41:G41)</f>
        <v>-0.81371943371943367</v>
      </c>
      <c r="J41">
        <f>STDEV(B41:D41)</f>
        <v>6.3956952880705195E-4</v>
      </c>
      <c r="K41">
        <f>STDEV(E41:G41)</f>
        <v>6.6437436035589881E-2</v>
      </c>
      <c r="L41">
        <f>CONFIDENCE(0.05,J41,3)</f>
        <v>7.2372775474787896E-4</v>
      </c>
      <c r="M41">
        <f>CONFIDENCE(0.05,K41,3)</f>
        <v>7.5179654826471667E-2</v>
      </c>
    </row>
    <row r="48" spans="1:13" x14ac:dyDescent="0.2">
      <c r="B48" t="s">
        <v>17</v>
      </c>
      <c r="E48" t="s">
        <v>19</v>
      </c>
    </row>
    <row r="49" spans="1:7" x14ac:dyDescent="0.2">
      <c r="B49" t="s">
        <v>5</v>
      </c>
      <c r="C49" t="s">
        <v>6</v>
      </c>
      <c r="D49" t="s">
        <v>7</v>
      </c>
      <c r="E49" t="s">
        <v>5</v>
      </c>
      <c r="F49" t="s">
        <v>6</v>
      </c>
      <c r="G49" t="s">
        <v>7</v>
      </c>
    </row>
    <row r="50" spans="1:7" x14ac:dyDescent="0.2">
      <c r="A50" t="s">
        <v>9</v>
      </c>
      <c r="B50">
        <f>C19/C18*100</f>
        <v>41.803278688524586</v>
      </c>
      <c r="C50">
        <f>D19/D18*100</f>
        <v>93.023255813953483</v>
      </c>
      <c r="D50">
        <f>E19/E18*100</f>
        <v>38.219895287958117</v>
      </c>
      <c r="E50">
        <f>C22/C21*100</f>
        <v>48.648648648648653</v>
      </c>
      <c r="F50">
        <f>D22/D21*100</f>
        <v>75.675675675675677</v>
      </c>
      <c r="G50">
        <f>E22/E21*100</f>
        <v>67.142857142857139</v>
      </c>
    </row>
    <row r="51" spans="1:7" x14ac:dyDescent="0.2">
      <c r="A51" t="s">
        <v>10</v>
      </c>
      <c r="B51">
        <f>C20/C18*100</f>
        <v>7.7868852459016388E-3</v>
      </c>
      <c r="C51">
        <f>D20/D18*100</f>
        <v>4.5348837209302321E-2</v>
      </c>
      <c r="D51">
        <f>E20/E18*100</f>
        <v>0.1324607329842932</v>
      </c>
      <c r="E51">
        <f>C23/C21*100</f>
        <v>15.810810810810812</v>
      </c>
      <c r="F51">
        <f>D23/D21*100</f>
        <v>26.216216216216214</v>
      </c>
      <c r="G51">
        <f>E23/E21*100</f>
        <v>13.857142857142858</v>
      </c>
    </row>
    <row r="52" spans="1:7" x14ac:dyDescent="0.2">
      <c r="B52" t="s">
        <v>28</v>
      </c>
    </row>
    <row r="54" spans="1:7" x14ac:dyDescent="0.2">
      <c r="D54" t="s">
        <v>23</v>
      </c>
      <c r="F54" t="s">
        <v>26</v>
      </c>
    </row>
    <row r="55" spans="1:7" x14ac:dyDescent="0.2">
      <c r="B55" t="s">
        <v>17</v>
      </c>
      <c r="C55" t="s">
        <v>19</v>
      </c>
      <c r="D55" t="s">
        <v>17</v>
      </c>
      <c r="E55" t="s">
        <v>19</v>
      </c>
      <c r="F55" t="s">
        <v>17</v>
      </c>
      <c r="G55" t="s">
        <v>19</v>
      </c>
    </row>
    <row r="56" spans="1:7" x14ac:dyDescent="0.2">
      <c r="A56" t="s">
        <v>9</v>
      </c>
      <c r="B56">
        <f>AVERAGE(B50:D50)</f>
        <v>57.682143263478729</v>
      </c>
      <c r="C56">
        <f>AVERAGE(E50:G50)</f>
        <v>63.822393822393821</v>
      </c>
      <c r="D56">
        <f>STDEV(B50:D50)</f>
        <v>30.658699195788753</v>
      </c>
      <c r="E56">
        <f>STDEV(E50:G50)</f>
        <v>13.816083199547528</v>
      </c>
      <c r="F56">
        <f>CONFIDENCE(0.05, D56, 3)</f>
        <v>34.692946635287143</v>
      </c>
      <c r="G56">
        <f>CONFIDENCE(0.05, E56, 3)</f>
        <v>15.634082649417449</v>
      </c>
    </row>
    <row r="57" spans="1:7" x14ac:dyDescent="0.2">
      <c r="A57" t="s">
        <v>10</v>
      </c>
      <c r="B57">
        <f>AVERAGE(B51:D51)</f>
        <v>6.1865485146499054E-2</v>
      </c>
      <c r="C57">
        <f>AVERAGE(E51:G51)</f>
        <v>18.628056628056626</v>
      </c>
      <c r="D57">
        <f>STDEV(B51:D51)</f>
        <v>6.3956952880706325E-2</v>
      </c>
      <c r="E57">
        <f>STDEV(E51:G51)</f>
        <v>6.6437436035589972</v>
      </c>
      <c r="F57">
        <f t="shared" ref="F57:G57" si="17">CONFIDENCE(0.05, D57, 3)</f>
        <v>7.237277547478918E-2</v>
      </c>
      <c r="G57">
        <f t="shared" si="17"/>
        <v>7.5179654826471776</v>
      </c>
    </row>
    <row r="60" spans="1:7" x14ac:dyDescent="0.2">
      <c r="B60" t="s">
        <v>17</v>
      </c>
      <c r="E60" t="s">
        <v>19</v>
      </c>
    </row>
    <row r="61" spans="1:7" x14ac:dyDescent="0.2">
      <c r="A61" t="s">
        <v>35</v>
      </c>
      <c r="B61" t="s">
        <v>5</v>
      </c>
      <c r="C61" t="s">
        <v>6</v>
      </c>
      <c r="D61" t="s">
        <v>7</v>
      </c>
      <c r="E61" t="s">
        <v>5</v>
      </c>
      <c r="F61" t="s">
        <v>6</v>
      </c>
      <c r="G61" t="s">
        <v>7</v>
      </c>
    </row>
    <row r="62" spans="1:7" x14ac:dyDescent="0.2">
      <c r="A62" t="s">
        <v>9</v>
      </c>
      <c r="B62">
        <f>100-B50</f>
        <v>58.196721311475414</v>
      </c>
      <c r="C62">
        <f t="shared" ref="C62:G63" si="18">100-C50</f>
        <v>6.9767441860465169</v>
      </c>
      <c r="D62">
        <f t="shared" si="18"/>
        <v>61.780104712041883</v>
      </c>
      <c r="E62">
        <f t="shared" si="18"/>
        <v>51.351351351351347</v>
      </c>
      <c r="F62">
        <f t="shared" si="18"/>
        <v>24.324324324324323</v>
      </c>
      <c r="G62">
        <f t="shared" si="18"/>
        <v>32.857142857142861</v>
      </c>
    </row>
    <row r="63" spans="1:7" x14ac:dyDescent="0.2">
      <c r="A63" t="s">
        <v>10</v>
      </c>
      <c r="B63">
        <f>100-B51</f>
        <v>99.992213114754094</v>
      </c>
      <c r="C63">
        <f t="shared" si="18"/>
        <v>99.954651162790697</v>
      </c>
      <c r="D63">
        <f t="shared" si="18"/>
        <v>99.867539267015701</v>
      </c>
      <c r="E63">
        <f t="shared" si="18"/>
        <v>84.189189189189193</v>
      </c>
      <c r="F63">
        <f t="shared" si="18"/>
        <v>73.78378378378379</v>
      </c>
      <c r="G63">
        <f t="shared" si="18"/>
        <v>86.142857142857139</v>
      </c>
    </row>
    <row r="66" spans="1:16" x14ac:dyDescent="0.2">
      <c r="D66" t="s">
        <v>23</v>
      </c>
      <c r="F66" t="s">
        <v>26</v>
      </c>
    </row>
    <row r="67" spans="1:16" x14ac:dyDescent="0.2">
      <c r="B67" t="s">
        <v>17</v>
      </c>
      <c r="C67" t="s">
        <v>19</v>
      </c>
      <c r="D67" t="s">
        <v>17</v>
      </c>
      <c r="E67" t="s">
        <v>19</v>
      </c>
      <c r="F67" t="s">
        <v>17</v>
      </c>
      <c r="G67" t="s">
        <v>19</v>
      </c>
      <c r="J67" t="s">
        <v>36</v>
      </c>
    </row>
    <row r="68" spans="1:16" x14ac:dyDescent="0.2">
      <c r="A68" t="s">
        <v>9</v>
      </c>
      <c r="B68">
        <f>AVERAGE(B62:D62)</f>
        <v>42.317856736521271</v>
      </c>
      <c r="C68">
        <f>AVERAGE(E62:G62)</f>
        <v>36.177606177606179</v>
      </c>
      <c r="D68">
        <f>STDEV(B62:D62)</f>
        <v>30.658699195788728</v>
      </c>
      <c r="E68">
        <f>STDEV(E62:G62)</f>
        <v>13.816083199547503</v>
      </c>
      <c r="F68">
        <f>CONFIDENCE(0.05,D68,3)</f>
        <v>34.692946635287115</v>
      </c>
      <c r="G68">
        <f>CONFIDENCE(0.05,E68,3)</f>
        <v>15.634082649417422</v>
      </c>
      <c r="K68" t="s">
        <v>38</v>
      </c>
    </row>
    <row r="69" spans="1:16" x14ac:dyDescent="0.2">
      <c r="A69" t="s">
        <v>10</v>
      </c>
      <c r="B69">
        <f>AVERAGE(B63:D63)</f>
        <v>99.938134514853502</v>
      </c>
      <c r="C69">
        <f>AVERAGE(E63:G63)</f>
        <v>81.371943371943374</v>
      </c>
      <c r="D69">
        <f>STDEV(B63:D63)</f>
        <v>6.3956952880707491E-2</v>
      </c>
      <c r="E69">
        <f>STDEV(E63:G63)</f>
        <v>6.6437436035589865</v>
      </c>
      <c r="F69">
        <f>CONFIDENCE(0.05,D69,3)</f>
        <v>7.2372775474790499E-2</v>
      </c>
      <c r="G69">
        <f>CONFIDENCE(0.05,E69,3)</f>
        <v>7.5179654826471651</v>
      </c>
      <c r="J69" t="s">
        <v>37</v>
      </c>
      <c r="K69">
        <f>TTEST(B63:D63,E63:G63,2,1)</f>
        <v>4.0399810614312026E-2</v>
      </c>
    </row>
    <row r="70" spans="1:16" x14ac:dyDescent="0.2">
      <c r="J70" t="s">
        <v>39</v>
      </c>
      <c r="K70">
        <f>TTEST(E62:G62,E63:G63,2,1)</f>
        <v>1.8744771995557186E-2</v>
      </c>
    </row>
    <row r="76" spans="1:16" x14ac:dyDescent="0.2">
      <c r="J76" t="s">
        <v>40</v>
      </c>
    </row>
    <row r="77" spans="1:16" x14ac:dyDescent="0.2">
      <c r="J77" t="s">
        <v>65</v>
      </c>
    </row>
    <row r="78" spans="1:16" x14ac:dyDescent="0.2">
      <c r="K78" t="s">
        <v>17</v>
      </c>
      <c r="N78" t="s">
        <v>19</v>
      </c>
    </row>
    <row r="79" spans="1:16" x14ac:dyDescent="0.2">
      <c r="J79" t="s">
        <v>35</v>
      </c>
      <c r="K79" t="s">
        <v>5</v>
      </c>
      <c r="L79" t="s">
        <v>6</v>
      </c>
      <c r="M79" t="s">
        <v>7</v>
      </c>
      <c r="N79" t="s">
        <v>5</v>
      </c>
      <c r="O79" t="s">
        <v>6</v>
      </c>
      <c r="P79" t="s">
        <v>7</v>
      </c>
    </row>
    <row r="80" spans="1:16" x14ac:dyDescent="0.2">
      <c r="J80" t="s">
        <v>9</v>
      </c>
      <c r="K80">
        <f>(B62)/100</f>
        <v>0.58196721311475419</v>
      </c>
      <c r="L80">
        <f t="shared" ref="L80:P80" si="19">(C62)/100</f>
        <v>6.9767441860465171E-2</v>
      </c>
      <c r="M80">
        <f t="shared" si="19"/>
        <v>0.61780104712041883</v>
      </c>
      <c r="N80">
        <f t="shared" si="19"/>
        <v>0.51351351351351349</v>
      </c>
      <c r="O80">
        <f t="shared" si="19"/>
        <v>0.24324324324324323</v>
      </c>
      <c r="P80">
        <f t="shared" si="19"/>
        <v>0.32857142857142863</v>
      </c>
    </row>
    <row r="81" spans="10:27" x14ac:dyDescent="0.2">
      <c r="J81" t="s">
        <v>10</v>
      </c>
      <c r="K81">
        <f>(B63)/100</f>
        <v>0.99992213114754092</v>
      </c>
      <c r="L81">
        <f t="shared" ref="L81" si="20">(C63)/100</f>
        <v>0.99954651162790698</v>
      </c>
      <c r="M81">
        <f t="shared" ref="M81" si="21">(D63)/100</f>
        <v>0.99867539267015704</v>
      </c>
      <c r="N81">
        <f t="shared" ref="N81" si="22">(E63)/100</f>
        <v>0.84189189189189195</v>
      </c>
      <c r="O81">
        <f t="shared" ref="O81" si="23">(F63)/100</f>
        <v>0.73783783783783785</v>
      </c>
      <c r="P81">
        <f t="shared" ref="P81" si="24">(G63)/100</f>
        <v>0.86142857142857143</v>
      </c>
    </row>
    <row r="83" spans="10:27" x14ac:dyDescent="0.2">
      <c r="J83" t="s">
        <v>66</v>
      </c>
    </row>
    <row r="84" spans="10:27" x14ac:dyDescent="0.2">
      <c r="K84" t="s">
        <v>17</v>
      </c>
      <c r="N84" t="s">
        <v>19</v>
      </c>
      <c r="W84" t="s">
        <v>62</v>
      </c>
      <c r="Y84" t="s">
        <v>63</v>
      </c>
      <c r="AA84" t="s">
        <v>64</v>
      </c>
    </row>
    <row r="85" spans="10:27" x14ac:dyDescent="0.2">
      <c r="J85" t="s">
        <v>35</v>
      </c>
      <c r="K85" t="s">
        <v>5</v>
      </c>
      <c r="L85" t="s">
        <v>6</v>
      </c>
      <c r="M85" t="s">
        <v>7</v>
      </c>
      <c r="N85" t="s">
        <v>5</v>
      </c>
      <c r="O85" t="s">
        <v>6</v>
      </c>
      <c r="P85" t="s">
        <v>7</v>
      </c>
      <c r="Q85" t="s">
        <v>41</v>
      </c>
      <c r="R85" t="s">
        <v>42</v>
      </c>
      <c r="S85" t="s">
        <v>43</v>
      </c>
      <c r="T85" t="s">
        <v>44</v>
      </c>
      <c r="U85" t="s">
        <v>69</v>
      </c>
      <c r="V85" t="s">
        <v>70</v>
      </c>
      <c r="W85" t="s">
        <v>45</v>
      </c>
      <c r="X85" t="s">
        <v>46</v>
      </c>
      <c r="Y85" t="s">
        <v>67</v>
      </c>
      <c r="Z85" t="s">
        <v>68</v>
      </c>
      <c r="AA85" t="s">
        <v>47</v>
      </c>
    </row>
    <row r="86" spans="10:27" x14ac:dyDescent="0.2">
      <c r="J86" t="s">
        <v>9</v>
      </c>
      <c r="K86">
        <f>ASIN(SQRT(K80))</f>
        <v>0.86773702677872799</v>
      </c>
      <c r="L86">
        <f t="shared" ref="L86:P87" si="25">ASIN(SQRT(L80))</f>
        <v>0.26730724292373209</v>
      </c>
      <c r="M86">
        <f t="shared" si="25"/>
        <v>0.90431719139516697</v>
      </c>
      <c r="N86">
        <f t="shared" si="25"/>
        <v>0.79891332263258752</v>
      </c>
      <c r="O86">
        <f t="shared" si="25"/>
        <v>0.5157609572383085</v>
      </c>
      <c r="P86">
        <f t="shared" si="25"/>
        <v>0.61041980777591709</v>
      </c>
      <c r="Q86">
        <f>AVERAGE(K86:M86)</f>
        <v>0.67978715369920906</v>
      </c>
      <c r="R86">
        <f>AVERAGE(N86:P86)</f>
        <v>0.64169802921560437</v>
      </c>
      <c r="S86">
        <f>STDEV(K86:M86)</f>
        <v>0.357686014132298</v>
      </c>
      <c r="T86">
        <f>STDEV(N86:P86)</f>
        <v>0.14414423630314363</v>
      </c>
      <c r="U86">
        <f>COUNT(K80:M80)</f>
        <v>3</v>
      </c>
      <c r="V86">
        <f>COUNT(L80:N80)</f>
        <v>3</v>
      </c>
      <c r="W86">
        <f>S86/SQRT(U86)</f>
        <v>0.20651011654464654</v>
      </c>
      <c r="X86">
        <f>T86/SQRT(V86)</f>
        <v>8.3221713631753E-2</v>
      </c>
      <c r="Y86">
        <f>U86-1</f>
        <v>2</v>
      </c>
      <c r="Z86">
        <f>V86-1</f>
        <v>2</v>
      </c>
      <c r="AA86">
        <f>ASIN(SQRT(0))</f>
        <v>0</v>
      </c>
    </row>
    <row r="87" spans="10:27" x14ac:dyDescent="0.2">
      <c r="J87" t="s">
        <v>10</v>
      </c>
      <c r="K87">
        <f>ASIN(SQRT(K81))</f>
        <v>1.5619718792921287</v>
      </c>
      <c r="L87">
        <f t="shared" si="25"/>
        <v>1.5494994505158404</v>
      </c>
      <c r="M87">
        <f t="shared" si="25"/>
        <v>1.5343931318128516</v>
      </c>
      <c r="N87">
        <f t="shared" si="25"/>
        <v>1.1618659757968186</v>
      </c>
      <c r="O87">
        <f t="shared" si="25"/>
        <v>1.0332641717154212</v>
      </c>
      <c r="P87">
        <f t="shared" si="25"/>
        <v>1.1893622813185096</v>
      </c>
      <c r="Q87">
        <f>AVERAGE(K87:M87)</f>
        <v>1.5486214872069404</v>
      </c>
      <c r="R87">
        <f>AVERAGE(N87:P87)</f>
        <v>1.1281641429435831</v>
      </c>
      <c r="S87">
        <f>STDEV(K87:M87)</f>
        <v>1.381032015596537E-2</v>
      </c>
      <c r="T87">
        <f>STDEV(N87:P87)</f>
        <v>8.3327757132092672E-2</v>
      </c>
      <c r="U87">
        <f>COUNT(K81:M81)</f>
        <v>3</v>
      </c>
      <c r="V87">
        <f>COUNT(L81:N81)</f>
        <v>3</v>
      </c>
      <c r="W87">
        <f>S87/SQRT(U87)</f>
        <v>7.9733920596415219E-3</v>
      </c>
      <c r="X87">
        <f>T87/SQRT(V87)</f>
        <v>4.8109303011181465E-2</v>
      </c>
      <c r="Y87">
        <f>U87-1</f>
        <v>2</v>
      </c>
      <c r="Z87">
        <f>V87-1</f>
        <v>2</v>
      </c>
      <c r="AA87">
        <f>ASIN(SQRT(0))</f>
        <v>0</v>
      </c>
    </row>
    <row r="90" spans="10:27" x14ac:dyDescent="0.2">
      <c r="V90" t="s">
        <v>55</v>
      </c>
    </row>
    <row r="91" spans="10:27" x14ac:dyDescent="0.2">
      <c r="Q91" t="s">
        <v>48</v>
      </c>
      <c r="Y91" s="1" t="s">
        <v>50</v>
      </c>
    </row>
    <row r="92" spans="10:27" x14ac:dyDescent="0.2">
      <c r="Q92" t="s">
        <v>49</v>
      </c>
    </row>
    <row r="93" spans="10:27" x14ac:dyDescent="0.2">
      <c r="R93" t="s">
        <v>17</v>
      </c>
      <c r="S93" t="s">
        <v>19</v>
      </c>
      <c r="W93" s="2" t="s">
        <v>38</v>
      </c>
      <c r="X93" s="2" t="s">
        <v>51</v>
      </c>
      <c r="Y93" s="2" t="s">
        <v>52</v>
      </c>
      <c r="Z93" s="2" t="s">
        <v>53</v>
      </c>
    </row>
    <row r="94" spans="10:27" x14ac:dyDescent="0.2">
      <c r="Q94" t="s">
        <v>9</v>
      </c>
      <c r="R94">
        <f>(Q86-AA86)/W86</f>
        <v>3.2917862091867165</v>
      </c>
      <c r="S94">
        <f>(R86-AA86)/X86</f>
        <v>7.7107043488079094</v>
      </c>
      <c r="V94" t="s">
        <v>56</v>
      </c>
      <c r="W94">
        <f>R101</f>
        <v>1.3254044139057622E-5</v>
      </c>
      <c r="X94">
        <v>1</v>
      </c>
      <c r="Y94">
        <f>W101*X94/W100</f>
        <v>1.2500000000000001E-2</v>
      </c>
      <c r="Z94" t="s">
        <v>54</v>
      </c>
    </row>
    <row r="95" spans="10:27" x14ac:dyDescent="0.2">
      <c r="Q95" t="s">
        <v>10</v>
      </c>
      <c r="R95">
        <f>(Q87-AA87)/W87</f>
        <v>194.22367238725312</v>
      </c>
      <c r="S95">
        <f>(R87-AA87)/X87</f>
        <v>23.450020522670584</v>
      </c>
      <c r="V95" t="s">
        <v>57</v>
      </c>
      <c r="W95">
        <f>S101</f>
        <v>9.0677778702507868E-4</v>
      </c>
      <c r="X95">
        <v>2</v>
      </c>
      <c r="Y95">
        <f>W101*X95/W100</f>
        <v>2.5000000000000001E-2</v>
      </c>
      <c r="Z95" t="s">
        <v>54</v>
      </c>
    </row>
    <row r="96" spans="10:27" x14ac:dyDescent="0.2">
      <c r="V96" t="s">
        <v>58</v>
      </c>
      <c r="W96">
        <f>S100</f>
        <v>8.2033342798710947E-3</v>
      </c>
      <c r="X96">
        <v>3</v>
      </c>
      <c r="Y96">
        <f>W101*X96/W100</f>
        <v>3.7500000000000006E-2</v>
      </c>
      <c r="Z96" t="s">
        <v>54</v>
      </c>
    </row>
    <row r="97" spans="17:26" x14ac:dyDescent="0.2">
      <c r="V97" t="s">
        <v>59</v>
      </c>
      <c r="W97" s="3">
        <f>R100</f>
        <v>4.0601894303669062E-2</v>
      </c>
      <c r="X97" s="3">
        <v>4</v>
      </c>
      <c r="Y97" s="3">
        <f>W101*X97/W100</f>
        <v>0.05</v>
      </c>
      <c r="Z97" s="3" t="s">
        <v>54</v>
      </c>
    </row>
    <row r="98" spans="17:26" x14ac:dyDescent="0.2">
      <c r="Q98" t="s">
        <v>38</v>
      </c>
    </row>
    <row r="99" spans="17:26" x14ac:dyDescent="0.2">
      <c r="R99" t="s">
        <v>17</v>
      </c>
      <c r="S99" t="s">
        <v>19</v>
      </c>
    </row>
    <row r="100" spans="17:26" x14ac:dyDescent="0.2">
      <c r="Q100" t="s">
        <v>9</v>
      </c>
      <c r="R100">
        <f>TDIST(R94,Y86,1)</f>
        <v>4.0601894303669062E-2</v>
      </c>
      <c r="S100">
        <f>TDIST(S94,Z86,1)</f>
        <v>8.2033342798710947E-3</v>
      </c>
      <c r="V100" t="s">
        <v>60</v>
      </c>
      <c r="W100">
        <v>4</v>
      </c>
    </row>
    <row r="101" spans="17:26" x14ac:dyDescent="0.2">
      <c r="Q101" t="s">
        <v>10</v>
      </c>
      <c r="R101">
        <f>TDIST(R95,Y87,1)</f>
        <v>1.3254044139057622E-5</v>
      </c>
      <c r="S101">
        <f>TDIST(S95,Z87,1)</f>
        <v>9.0677778702507868E-4</v>
      </c>
      <c r="V101" t="s">
        <v>61</v>
      </c>
      <c r="W101">
        <v>0.05</v>
      </c>
    </row>
  </sheetData>
  <pageMargins left="0.7" right="0.7" top="0.78740157499999996" bottom="0.78740157499999996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Eisner</dc:creator>
  <cp:lastModifiedBy>c9t6ouh7m2@ethz.ch</cp:lastModifiedBy>
  <cp:lastPrinted>2022-07-01T12:46:55Z</cp:lastPrinted>
  <dcterms:created xsi:type="dcterms:W3CDTF">2021-12-01T16:17:17Z</dcterms:created>
  <dcterms:modified xsi:type="dcterms:W3CDTF">2023-02-15T09:00:57Z</dcterms:modified>
</cp:coreProperties>
</file>