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rpiexchange-my.sharepoint.com/personal/bhowmj_rpi_edu/Documents/DQE New/IISE Tx Revisions/HassleDOE/"/>
    </mc:Choice>
  </mc:AlternateContent>
  <xr:revisionPtr revIDLastSave="1347" documentId="8_{A2EA998C-7CBF-4421-908A-B9060980ACE4}" xr6:coauthVersionLast="47" xr6:coauthVersionMax="47" xr10:uidLastSave="{B3A5D128-FB30-489E-A0A1-7DA80306B837}"/>
  <bookViews>
    <workbookView xWindow="-110" yWindow="-110" windowWidth="19420" windowHeight="10420" xr2:uid="{00000000-000D-0000-FFFF-FFFF00000000}"/>
  </bookViews>
  <sheets>
    <sheet name="CalcSheet" sheetId="1" r:id="rId1"/>
    <sheet name="ACYOM-5-Years" sheetId="7" r:id="rId2"/>
    <sheet name="BucketData" sheetId="6" r:id="rId3"/>
    <sheet name="BucketData2" sheetId="8" r:id="rId4"/>
    <sheet name="Sheet6" sheetId="9" r:id="rId5"/>
    <sheet name="ACYOM-DOE" sheetId="5" r:id="rId6"/>
    <sheet name="Non-depl" sheetId="4" r:id="rId7"/>
    <sheet name="Sheet2" sheetId="2" r:id="rId8"/>
    <sheet name="FinalData" sheetId="3" r:id="rId9"/>
    <sheet name="Avg%picked" sheetId="10" r:id="rId10"/>
  </sheets>
  <definedNames>
    <definedName name="_xlnm._FilterDatabase" localSheetId="2" hidden="1">BucketData!$A$1:$I$281</definedName>
    <definedName name="_xlnm._FilterDatabase" localSheetId="3" hidden="1">BucketData2!$A$1:$F$211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1" i="1" l="1"/>
  <c r="AW31" i="1"/>
  <c r="AW21" i="1"/>
  <c r="AZ31" i="1"/>
  <c r="AZ21" i="1"/>
  <c r="AV26" i="1"/>
  <c r="AV27" i="1"/>
  <c r="AV28" i="1"/>
  <c r="AV29" i="1"/>
  <c r="AV30" i="1"/>
  <c r="AV25" i="1"/>
  <c r="AW26" i="1"/>
  <c r="AW27" i="1"/>
  <c r="AW28" i="1"/>
  <c r="AW29" i="1"/>
  <c r="AW30" i="1"/>
  <c r="AW25" i="1"/>
  <c r="AW15" i="1"/>
  <c r="AW20" i="1"/>
  <c r="AW19" i="1"/>
  <c r="AW18" i="1"/>
  <c r="AW17" i="1"/>
  <c r="AW16" i="1"/>
  <c r="AW4" i="1"/>
  <c r="AW5" i="1"/>
  <c r="AW6" i="1"/>
  <c r="AW7" i="1"/>
  <c r="AW8" i="1"/>
  <c r="AW9" i="1"/>
  <c r="AW3" i="1"/>
  <c r="AA66" i="1"/>
  <c r="AA67" i="1"/>
  <c r="AA68" i="1"/>
  <c r="AA69" i="1"/>
  <c r="AA70" i="1"/>
  <c r="AA71" i="1"/>
  <c r="AA65" i="1"/>
  <c r="AA56" i="1"/>
  <c r="AA57" i="1"/>
  <c r="AA58" i="1"/>
  <c r="AA59" i="1"/>
  <c r="AA60" i="1"/>
  <c r="AA61" i="1"/>
  <c r="AA55" i="1"/>
  <c r="AA46" i="1"/>
  <c r="AA47" i="1"/>
  <c r="AA48" i="1"/>
  <c r="AA49" i="1"/>
  <c r="AA50" i="1"/>
  <c r="AA51" i="1"/>
  <c r="AA45" i="1"/>
  <c r="AA36" i="1"/>
  <c r="AA37" i="1"/>
  <c r="AA38" i="1"/>
  <c r="AA39" i="1"/>
  <c r="AA40" i="1"/>
  <c r="AA41" i="1"/>
  <c r="AA35" i="1"/>
  <c r="AA26" i="1"/>
  <c r="AA27" i="1"/>
  <c r="AA28" i="1"/>
  <c r="AA29" i="1"/>
  <c r="AA30" i="1"/>
  <c r="AA25" i="1"/>
  <c r="Z25" i="1"/>
  <c r="AA16" i="1"/>
  <c r="AA17" i="1"/>
  <c r="AA18" i="1"/>
  <c r="AA19" i="1"/>
  <c r="AA20" i="1"/>
  <c r="AA21" i="1"/>
  <c r="AA15" i="1"/>
  <c r="Z15" i="1"/>
  <c r="AA5" i="1"/>
  <c r="AA6" i="1"/>
  <c r="AA7" i="1"/>
  <c r="AA8" i="1"/>
  <c r="AA9" i="1"/>
  <c r="AA10" i="1"/>
  <c r="AA11" i="1"/>
  <c r="AA4" i="1"/>
  <c r="Z4" i="1"/>
  <c r="AU5" i="1"/>
  <c r="AU4" i="1"/>
  <c r="E30" i="1"/>
  <c r="O3" i="1" s="1"/>
  <c r="T3" i="1" s="1"/>
  <c r="BO2" i="1"/>
  <c r="BD46" i="1"/>
  <c r="BD34" i="1"/>
  <c r="BD23" i="1"/>
  <c r="BE2" i="1"/>
  <c r="AZ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" i="9"/>
  <c r="D23" i="8"/>
  <c r="D44" i="8"/>
  <c r="D65" i="8"/>
  <c r="D86" i="8"/>
  <c r="D107" i="8"/>
  <c r="D128" i="8"/>
  <c r="D149" i="8"/>
  <c r="D170" i="8"/>
  <c r="D191" i="8"/>
  <c r="D3" i="8"/>
  <c r="D24" i="8"/>
  <c r="D45" i="8"/>
  <c r="D66" i="8"/>
  <c r="D87" i="8"/>
  <c r="D108" i="8"/>
  <c r="D129" i="8"/>
  <c r="D150" i="8"/>
  <c r="D171" i="8"/>
  <c r="D192" i="8"/>
  <c r="D4" i="8"/>
  <c r="D25" i="8"/>
  <c r="D46" i="8"/>
  <c r="D67" i="8"/>
  <c r="D88" i="8"/>
  <c r="D109" i="8"/>
  <c r="D130" i="8"/>
  <c r="D151" i="8"/>
  <c r="D172" i="8"/>
  <c r="D193" i="8"/>
  <c r="D5" i="8"/>
  <c r="D26" i="8"/>
  <c r="D47" i="8"/>
  <c r="D68" i="8"/>
  <c r="D89" i="8"/>
  <c r="D110" i="8"/>
  <c r="D131" i="8"/>
  <c r="D152" i="8"/>
  <c r="D173" i="8"/>
  <c r="D194" i="8"/>
  <c r="D6" i="8"/>
  <c r="D27" i="8"/>
  <c r="D48" i="8"/>
  <c r="D69" i="8"/>
  <c r="D90" i="8"/>
  <c r="D111" i="8"/>
  <c r="D132" i="8"/>
  <c r="D153" i="8"/>
  <c r="D174" i="8"/>
  <c r="D195" i="8"/>
  <c r="D7" i="8"/>
  <c r="D28" i="8"/>
  <c r="D49" i="8"/>
  <c r="D70" i="8"/>
  <c r="D91" i="8"/>
  <c r="D112" i="8"/>
  <c r="D133" i="8"/>
  <c r="D154" i="8"/>
  <c r="D175" i="8"/>
  <c r="D196" i="8"/>
  <c r="D8" i="8"/>
  <c r="D29" i="8"/>
  <c r="D50" i="8"/>
  <c r="D71" i="8"/>
  <c r="D92" i="8"/>
  <c r="D113" i="8"/>
  <c r="D134" i="8"/>
  <c r="D155" i="8"/>
  <c r="D176" i="8"/>
  <c r="D197" i="8"/>
  <c r="D9" i="8"/>
  <c r="D30" i="8"/>
  <c r="D51" i="8"/>
  <c r="D72" i="8"/>
  <c r="D93" i="8"/>
  <c r="D114" i="8"/>
  <c r="D135" i="8"/>
  <c r="D156" i="8"/>
  <c r="D177" i="8"/>
  <c r="D198" i="8"/>
  <c r="D10" i="8"/>
  <c r="D31" i="8"/>
  <c r="D52" i="8"/>
  <c r="D73" i="8"/>
  <c r="D94" i="8"/>
  <c r="D115" i="8"/>
  <c r="D136" i="8"/>
  <c r="D157" i="8"/>
  <c r="D178" i="8"/>
  <c r="D199" i="8"/>
  <c r="D11" i="8"/>
  <c r="D32" i="8"/>
  <c r="D53" i="8"/>
  <c r="D74" i="8"/>
  <c r="D95" i="8"/>
  <c r="D116" i="8"/>
  <c r="D137" i="8"/>
  <c r="D158" i="8"/>
  <c r="D179" i="8"/>
  <c r="D200" i="8"/>
  <c r="D12" i="8"/>
  <c r="D33" i="8"/>
  <c r="D54" i="8"/>
  <c r="D75" i="8"/>
  <c r="D96" i="8"/>
  <c r="D117" i="8"/>
  <c r="D138" i="8"/>
  <c r="D159" i="8"/>
  <c r="D180" i="8"/>
  <c r="D201" i="8"/>
  <c r="D13" i="8"/>
  <c r="D34" i="8"/>
  <c r="D55" i="8"/>
  <c r="D76" i="8"/>
  <c r="D97" i="8"/>
  <c r="D118" i="8"/>
  <c r="D139" i="8"/>
  <c r="D160" i="8"/>
  <c r="D181" i="8"/>
  <c r="D202" i="8"/>
  <c r="D14" i="8"/>
  <c r="D35" i="8"/>
  <c r="D56" i="8"/>
  <c r="D77" i="8"/>
  <c r="D98" i="8"/>
  <c r="D119" i="8"/>
  <c r="D140" i="8"/>
  <c r="D161" i="8"/>
  <c r="D182" i="8"/>
  <c r="D203" i="8"/>
  <c r="D15" i="8"/>
  <c r="D36" i="8"/>
  <c r="D57" i="8"/>
  <c r="D78" i="8"/>
  <c r="D99" i="8"/>
  <c r="D120" i="8"/>
  <c r="D141" i="8"/>
  <c r="D162" i="8"/>
  <c r="D183" i="8"/>
  <c r="D204" i="8"/>
  <c r="D16" i="8"/>
  <c r="D37" i="8"/>
  <c r="D58" i="8"/>
  <c r="D79" i="8"/>
  <c r="D100" i="8"/>
  <c r="D121" i="8"/>
  <c r="D142" i="8"/>
  <c r="D163" i="8"/>
  <c r="D184" i="8"/>
  <c r="D205" i="8"/>
  <c r="D17" i="8"/>
  <c r="D38" i="8"/>
  <c r="D59" i="8"/>
  <c r="D80" i="8"/>
  <c r="D101" i="8"/>
  <c r="D122" i="8"/>
  <c r="D143" i="8"/>
  <c r="D164" i="8"/>
  <c r="D185" i="8"/>
  <c r="D206" i="8"/>
  <c r="D18" i="8"/>
  <c r="D39" i="8"/>
  <c r="D60" i="8"/>
  <c r="D81" i="8"/>
  <c r="D102" i="8"/>
  <c r="D123" i="8"/>
  <c r="D144" i="8"/>
  <c r="D165" i="8"/>
  <c r="D186" i="8"/>
  <c r="D207" i="8"/>
  <c r="D19" i="8"/>
  <c r="D40" i="8"/>
  <c r="D61" i="8"/>
  <c r="D82" i="8"/>
  <c r="D103" i="8"/>
  <c r="D124" i="8"/>
  <c r="D145" i="8"/>
  <c r="D166" i="8"/>
  <c r="D187" i="8"/>
  <c r="D208" i="8"/>
  <c r="D20" i="8"/>
  <c r="D41" i="8"/>
  <c r="D62" i="8"/>
  <c r="D83" i="8"/>
  <c r="D104" i="8"/>
  <c r="D125" i="8"/>
  <c r="D146" i="8"/>
  <c r="D167" i="8"/>
  <c r="D188" i="8"/>
  <c r="D209" i="8"/>
  <c r="D21" i="8"/>
  <c r="D42" i="8"/>
  <c r="D63" i="8"/>
  <c r="D84" i="8"/>
  <c r="D105" i="8"/>
  <c r="D126" i="8"/>
  <c r="D147" i="8"/>
  <c r="D168" i="8"/>
  <c r="D189" i="8"/>
  <c r="D210" i="8"/>
  <c r="D22" i="8"/>
  <c r="D43" i="8"/>
  <c r="D64" i="8"/>
  <c r="D85" i="8"/>
  <c r="D106" i="8"/>
  <c r="D127" i="8"/>
  <c r="D148" i="8"/>
  <c r="D169" i="8"/>
  <c r="D190" i="8"/>
  <c r="D211" i="8"/>
  <c r="D2" i="8"/>
  <c r="C26" i="2"/>
  <c r="C27" i="2"/>
  <c r="C28" i="2"/>
  <c r="C29" i="2"/>
  <c r="C30" i="2"/>
  <c r="C31" i="2"/>
  <c r="C25" i="2"/>
  <c r="C19" i="2"/>
  <c r="C20" i="2"/>
  <c r="C21" i="2"/>
  <c r="C22" i="2"/>
  <c r="C23" i="2"/>
  <c r="C24" i="2"/>
  <c r="C18" i="2"/>
  <c r="C12" i="2"/>
  <c r="C13" i="2"/>
  <c r="C14" i="2"/>
  <c r="C15" i="2"/>
  <c r="C16" i="2"/>
  <c r="C17" i="2"/>
  <c r="C11" i="2"/>
  <c r="W3" i="1"/>
  <c r="W4" i="1"/>
  <c r="W5" i="1"/>
  <c r="W6" i="1"/>
  <c r="W7" i="1"/>
  <c r="W8" i="1"/>
  <c r="W9" i="1"/>
  <c r="B43" i="1"/>
  <c r="E68" i="7"/>
  <c r="B15" i="7"/>
  <c r="B8" i="7"/>
  <c r="E86" i="7" s="1"/>
  <c r="A74" i="1" l="1"/>
  <c r="A79" i="1"/>
  <c r="A78" i="1"/>
  <c r="A77" i="1"/>
  <c r="A76" i="1"/>
  <c r="B35" i="1"/>
  <c r="A75" i="1"/>
  <c r="A73" i="1"/>
  <c r="O9" i="1"/>
  <c r="T9" i="1" s="1"/>
  <c r="O8" i="1"/>
  <c r="T8" i="1" s="1"/>
  <c r="O7" i="1"/>
  <c r="T7" i="1" s="1"/>
  <c r="O6" i="1"/>
  <c r="T6" i="1" s="1"/>
  <c r="O5" i="1"/>
  <c r="T5" i="1" s="1"/>
  <c r="O4" i="1"/>
  <c r="T4" i="1" s="1"/>
  <c r="S3" i="1"/>
  <c r="E23" i="7"/>
  <c r="E50" i="7"/>
  <c r="E77" i="7"/>
  <c r="E6" i="7"/>
  <c r="E15" i="7"/>
  <c r="E32" i="7"/>
  <c r="E59" i="7"/>
  <c r="E41" i="7"/>
  <c r="B10" i="7"/>
  <c r="U17" i="1"/>
  <c r="AN42" i="1"/>
  <c r="E31" i="1"/>
  <c r="E16" i="1" s="1"/>
  <c r="E37" i="1"/>
  <c r="AT4" i="1" s="1"/>
  <c r="AT5" i="1" l="1"/>
  <c r="S5" i="1"/>
  <c r="S7" i="1"/>
  <c r="S8" i="1"/>
  <c r="S9" i="1"/>
  <c r="S6" i="1"/>
  <c r="S4" i="1"/>
  <c r="E84" i="7"/>
  <c r="E48" i="7"/>
  <c r="E49" i="7"/>
  <c r="E66" i="7"/>
  <c r="E40" i="7"/>
  <c r="B18" i="7"/>
  <c r="E22" i="7"/>
  <c r="E85" i="7"/>
  <c r="E39" i="7"/>
  <c r="E58" i="7"/>
  <c r="E5" i="7"/>
  <c r="E13" i="7"/>
  <c r="B13" i="7"/>
  <c r="B14" i="7" s="1"/>
  <c r="B16" i="7" s="1"/>
  <c r="E57" i="7"/>
  <c r="E31" i="7"/>
  <c r="E76" i="7"/>
  <c r="E30" i="7"/>
  <c r="E14" i="7"/>
  <c r="E4" i="7"/>
  <c r="E67" i="7"/>
  <c r="E21" i="7"/>
  <c r="E75" i="7"/>
  <c r="U18" i="1"/>
  <c r="U19" i="1" s="1"/>
  <c r="B33" i="1"/>
  <c r="E33" i="1"/>
  <c r="V3" i="1" l="1"/>
  <c r="U20" i="1" s="1"/>
  <c r="O10" i="7" l="1"/>
  <c r="O7" i="7" l="1"/>
  <c r="O9" i="7"/>
  <c r="P6" i="7"/>
  <c r="O6" i="7"/>
  <c r="O2" i="7"/>
  <c r="O11" i="7"/>
  <c r="O3" i="7"/>
  <c r="O5" i="7"/>
  <c r="O4" i="7"/>
  <c r="O8" i="7" l="1"/>
  <c r="Q4" i="7"/>
  <c r="Q7" i="7"/>
  <c r="P8" i="7"/>
  <c r="P2" i="7"/>
  <c r="Q9" i="7"/>
  <c r="P3" i="7"/>
  <c r="Q6" i="7"/>
  <c r="Q5" i="7"/>
  <c r="Q3" i="7"/>
  <c r="Q2" i="7"/>
  <c r="P5" i="7"/>
  <c r="Q8" i="7"/>
  <c r="P4" i="7"/>
  <c r="P7" i="7"/>
  <c r="Q11" i="7"/>
  <c r="P9" i="7"/>
  <c r="P10" i="7"/>
  <c r="P11" i="7"/>
  <c r="Q10" i="7"/>
  <c r="B24" i="1" l="1"/>
  <c r="R39" i="1"/>
  <c r="AR33" i="1" l="1"/>
  <c r="AB3" i="1"/>
  <c r="AF64" i="1"/>
  <c r="AI64" i="1" s="1"/>
  <c r="AF54" i="1"/>
  <c r="AI54" i="1" s="1"/>
  <c r="AF44" i="1"/>
  <c r="AI44" i="1" s="1"/>
  <c r="AF34" i="1"/>
  <c r="AI34" i="1" s="1"/>
  <c r="AF24" i="1"/>
  <c r="AI24" i="1" s="1"/>
  <c r="AF14" i="1"/>
  <c r="AE3" i="1"/>
  <c r="AB64" i="1"/>
  <c r="AB54" i="1"/>
  <c r="AB44" i="1"/>
  <c r="AB34" i="1"/>
  <c r="AB24" i="1"/>
  <c r="AB14" i="1"/>
  <c r="U8" i="1"/>
  <c r="B42" i="1"/>
  <c r="E34" i="1"/>
  <c r="B34" i="1"/>
  <c r="B36" i="1" s="1"/>
  <c r="E28" i="1"/>
  <c r="G55" i="1" s="1"/>
  <c r="B22" i="1"/>
  <c r="E15" i="1"/>
  <c r="E18" i="1" s="1"/>
  <c r="K14" i="1"/>
  <c r="K15" i="1" s="1"/>
  <c r="K16" i="1" s="1"/>
  <c r="K17" i="1" s="1"/>
  <c r="K18" i="1" s="1"/>
  <c r="K19" i="1" s="1"/>
  <c r="K20" i="1" s="1"/>
  <c r="K21" i="1" s="1"/>
  <c r="K22" i="1" s="1"/>
  <c r="Q17" i="1"/>
  <c r="J1" i="1"/>
  <c r="J11" i="1" s="1"/>
  <c r="BA2" i="1" l="1"/>
  <c r="BF2" i="1" s="1"/>
  <c r="AF3" i="1"/>
  <c r="AP14" i="1" s="1"/>
  <c r="BJ2" i="1"/>
  <c r="BI2" i="1"/>
  <c r="BH2" i="1"/>
  <c r="BG2" i="1"/>
  <c r="BK2" i="1"/>
  <c r="AL14" i="1"/>
  <c r="AL43" i="1" s="1"/>
  <c r="U31" i="1"/>
  <c r="T31" i="1"/>
  <c r="E36" i="1"/>
  <c r="E38" i="1" s="1"/>
  <c r="J9" i="1"/>
  <c r="J10" i="1"/>
  <c r="E20" i="1"/>
  <c r="F3" i="1" s="1"/>
  <c r="AL28" i="1"/>
  <c r="AI14" i="1"/>
  <c r="AI3" i="1"/>
  <c r="AL4" i="1"/>
  <c r="AM4" i="1" s="1"/>
  <c r="Q27" i="1"/>
  <c r="BB2" i="1" s="1"/>
  <c r="B40" i="1"/>
  <c r="B44" i="1" s="1"/>
  <c r="B45" i="1" s="1"/>
  <c r="G13" i="1"/>
  <c r="G9" i="1"/>
  <c r="B37" i="1"/>
  <c r="B38" i="1" s="1"/>
  <c r="J8" i="1"/>
  <c r="AX29" i="1" s="1"/>
  <c r="J7" i="1"/>
  <c r="AX28" i="1" s="1"/>
  <c r="J6" i="1"/>
  <c r="AX27" i="1" s="1"/>
  <c r="J5" i="1"/>
  <c r="AX26" i="1" s="1"/>
  <c r="J4" i="1"/>
  <c r="AX25" i="1" s="1"/>
  <c r="J3" i="1"/>
  <c r="J15" i="1"/>
  <c r="L14" i="1"/>
  <c r="G52" i="1"/>
  <c r="G53" i="1"/>
  <c r="G10" i="1"/>
  <c r="G54" i="1"/>
  <c r="G12" i="1"/>
  <c r="BS2" i="1" l="1"/>
  <c r="AX30" i="1"/>
  <c r="AX31" i="1"/>
  <c r="AQ14" i="1"/>
  <c r="BT2" i="1"/>
  <c r="AR14" i="1"/>
  <c r="BU2" i="1"/>
  <c r="AO14" i="1"/>
  <c r="AM14" i="1"/>
  <c r="BQ2" i="1"/>
  <c r="AN14" i="1"/>
  <c r="BP2" i="1"/>
  <c r="AE4" i="1"/>
  <c r="BR2" i="1"/>
  <c r="AB25" i="1"/>
  <c r="AE35" i="1"/>
  <c r="AI35" i="1" s="1"/>
  <c r="U30" i="1"/>
  <c r="T30" i="1"/>
  <c r="V30" i="1" s="1"/>
  <c r="V31" i="1" s="1"/>
  <c r="U26" i="1"/>
  <c r="T26" i="1"/>
  <c r="U29" i="1"/>
  <c r="T29" i="1"/>
  <c r="U27" i="1"/>
  <c r="T27" i="1"/>
  <c r="U28" i="1"/>
  <c r="T28" i="1"/>
  <c r="U25" i="1"/>
  <c r="T25" i="1"/>
  <c r="U24" i="1"/>
  <c r="T24" i="1"/>
  <c r="E40" i="1"/>
  <c r="E44" i="1" s="1"/>
  <c r="F4" i="1"/>
  <c r="Q39" i="1" s="1"/>
  <c r="F5" i="1"/>
  <c r="F6" i="1"/>
  <c r="Z35" i="1"/>
  <c r="AB35" i="1" s="1"/>
  <c r="Z55" i="1"/>
  <c r="AB55" i="1" s="1"/>
  <c r="Z45" i="1"/>
  <c r="AB45" i="1" s="1"/>
  <c r="AB15" i="1"/>
  <c r="Z65" i="1"/>
  <c r="AB65" i="1" s="1"/>
  <c r="AE65" i="1"/>
  <c r="AI65" i="1" s="1"/>
  <c r="AN28" i="1"/>
  <c r="AO28" i="1"/>
  <c r="AP28" i="1" s="1"/>
  <c r="AQ28" i="1" s="1"/>
  <c r="AE15" i="1"/>
  <c r="AE45" i="1"/>
  <c r="AI45" i="1" s="1"/>
  <c r="AE55" i="1"/>
  <c r="AI55" i="1" s="1"/>
  <c r="Q38" i="1"/>
  <c r="R38" i="1"/>
  <c r="Q37" i="1"/>
  <c r="AM28" i="1"/>
  <c r="Q40" i="1"/>
  <c r="AE25" i="1"/>
  <c r="Q28" i="1"/>
  <c r="Q18" i="1"/>
  <c r="R37" i="1" s="1"/>
  <c r="B47" i="1"/>
  <c r="L15" i="1"/>
  <c r="J16" i="1"/>
  <c r="AE5" i="1" s="1"/>
  <c r="AZ3" i="1" l="1"/>
  <c r="AZ15" i="1" s="1"/>
  <c r="BO3" i="1"/>
  <c r="BO15" i="1" s="1"/>
  <c r="BE3" i="1"/>
  <c r="BR3" i="1"/>
  <c r="BR15" i="1" s="1"/>
  <c r="BR25" i="1" s="1"/>
  <c r="BR36" i="1" s="1"/>
  <c r="BS3" i="1"/>
  <c r="BS15" i="1" s="1"/>
  <c r="BS25" i="1" s="1"/>
  <c r="BS36" i="1" s="1"/>
  <c r="BT3" i="1"/>
  <c r="BT15" i="1" s="1"/>
  <c r="BT25" i="1" s="1"/>
  <c r="BT36" i="1" s="1"/>
  <c r="BP3" i="1"/>
  <c r="BP15" i="1" s="1"/>
  <c r="BP25" i="1" s="1"/>
  <c r="BP36" i="1" s="1"/>
  <c r="BU3" i="1"/>
  <c r="BU15" i="1" s="1"/>
  <c r="BU25" i="1" s="1"/>
  <c r="BU36" i="1" s="1"/>
  <c r="BQ3" i="1"/>
  <c r="BQ15" i="1" s="1"/>
  <c r="BQ25" i="1" s="1"/>
  <c r="BQ36" i="1" s="1"/>
  <c r="BJ3" i="1"/>
  <c r="BJ15" i="1" s="1"/>
  <c r="BJ25" i="1" s="1"/>
  <c r="BJ36" i="1" s="1"/>
  <c r="BK3" i="1"/>
  <c r="BK15" i="1" s="1"/>
  <c r="BK25" i="1" s="1"/>
  <c r="BK36" i="1" s="1"/>
  <c r="BG3" i="1"/>
  <c r="BG15" i="1" s="1"/>
  <c r="BG25" i="1" s="1"/>
  <c r="BG36" i="1" s="1"/>
  <c r="BH3" i="1"/>
  <c r="BH15" i="1" s="1"/>
  <c r="BH25" i="1" s="1"/>
  <c r="BH36" i="1" s="1"/>
  <c r="BI3" i="1"/>
  <c r="BI15" i="1" s="1"/>
  <c r="BI25" i="1" s="1"/>
  <c r="BI36" i="1" s="1"/>
  <c r="V26" i="1"/>
  <c r="V27" i="1" s="1"/>
  <c r="V28" i="1"/>
  <c r="V29" i="1" s="1"/>
  <c r="V24" i="1"/>
  <c r="V25" i="1" s="1"/>
  <c r="T35" i="1"/>
  <c r="U35" i="1" s="1"/>
  <c r="V35" i="1" s="1"/>
  <c r="W35" i="1" s="1"/>
  <c r="BA3" i="1"/>
  <c r="BB3" i="1"/>
  <c r="BB15" i="1" s="1"/>
  <c r="BB25" i="1" s="1"/>
  <c r="BB36" i="1" s="1"/>
  <c r="AB4" i="1"/>
  <c r="AL15" i="1" s="1"/>
  <c r="AL44" i="1" s="1"/>
  <c r="AQ44" i="1" s="1"/>
  <c r="AI15" i="1"/>
  <c r="E47" i="1"/>
  <c r="E45" i="1"/>
  <c r="Z66" i="1"/>
  <c r="AB66" i="1" s="1"/>
  <c r="Z56" i="1"/>
  <c r="AB56" i="1" s="1"/>
  <c r="Z46" i="1"/>
  <c r="AB46" i="1" s="1"/>
  <c r="Z36" i="1"/>
  <c r="AB36" i="1" s="1"/>
  <c r="AP15" i="1"/>
  <c r="AN29" i="1"/>
  <c r="AM29" i="1"/>
  <c r="AN44" i="1" s="1"/>
  <c r="AQ15" i="1"/>
  <c r="AO15" i="1"/>
  <c r="AN15" i="1"/>
  <c r="AR15" i="1"/>
  <c r="AM15" i="1"/>
  <c r="AM44" i="1" s="1"/>
  <c r="AF45" i="1"/>
  <c r="AF65" i="1"/>
  <c r="AQ29" i="1"/>
  <c r="AP29" i="1"/>
  <c r="AO29" i="1"/>
  <c r="AF55" i="1"/>
  <c r="AE66" i="1"/>
  <c r="AI66" i="1" s="1"/>
  <c r="AF35" i="1"/>
  <c r="AF25" i="1"/>
  <c r="AI25" i="1"/>
  <c r="AF15" i="1"/>
  <c r="AL5" i="1"/>
  <c r="AM5" i="1" s="1"/>
  <c r="Q19" i="1"/>
  <c r="AE36" i="1"/>
  <c r="Q29" i="1"/>
  <c r="AE26" i="1"/>
  <c r="AE16" i="1"/>
  <c r="AI16" i="1" s="1"/>
  <c r="AE46" i="1"/>
  <c r="AE56" i="1"/>
  <c r="AF4" i="1"/>
  <c r="AI4" i="1"/>
  <c r="Z16" i="1"/>
  <c r="AB16" i="1" s="1"/>
  <c r="Z5" i="1"/>
  <c r="Z26" i="1"/>
  <c r="AB26" i="1" s="1"/>
  <c r="J17" i="1"/>
  <c r="AE37" i="1" s="1"/>
  <c r="L16" i="1"/>
  <c r="AZ4" i="1" l="1"/>
  <c r="AZ16" i="1" s="1"/>
  <c r="AZ26" i="1" s="1"/>
  <c r="BO4" i="1"/>
  <c r="BO16" i="1" s="1"/>
  <c r="BE4" i="1"/>
  <c r="BH48" i="1"/>
  <c r="BS48" i="1"/>
  <c r="BG48" i="1"/>
  <c r="BR48" i="1"/>
  <c r="BJ48" i="1"/>
  <c r="BQ4" i="1"/>
  <c r="BQ16" i="1" s="1"/>
  <c r="BQ26" i="1" s="1"/>
  <c r="BQ37" i="1" s="1"/>
  <c r="BS4" i="1"/>
  <c r="BS16" i="1" s="1"/>
  <c r="BS26" i="1" s="1"/>
  <c r="BS37" i="1" s="1"/>
  <c r="BQ48" i="1"/>
  <c r="BU4" i="1"/>
  <c r="BU16" i="1" s="1"/>
  <c r="BU26" i="1" s="1"/>
  <c r="BU37" i="1" s="1"/>
  <c r="BU48" i="1"/>
  <c r="BP4" i="1"/>
  <c r="BP16" i="1" s="1"/>
  <c r="BP26" i="1" s="1"/>
  <c r="BP37" i="1" s="1"/>
  <c r="BK48" i="1"/>
  <c r="BP48" i="1"/>
  <c r="BT4" i="1"/>
  <c r="BT16" i="1" s="1"/>
  <c r="BT26" i="1" s="1"/>
  <c r="BT37" i="1" s="1"/>
  <c r="BI48" i="1"/>
  <c r="BT48" i="1"/>
  <c r="BR4" i="1"/>
  <c r="BR16" i="1" s="1"/>
  <c r="BR26" i="1" s="1"/>
  <c r="BR37" i="1" s="1"/>
  <c r="BA15" i="1"/>
  <c r="BA25" i="1" s="1"/>
  <c r="BA36" i="1" s="1"/>
  <c r="BA48" i="1" s="1"/>
  <c r="BA63" i="1" s="1"/>
  <c r="BF3" i="1"/>
  <c r="BF15" i="1" s="1"/>
  <c r="BF25" i="1" s="1"/>
  <c r="BF36" i="1" s="1"/>
  <c r="BI4" i="1"/>
  <c r="BI16" i="1" s="1"/>
  <c r="BI26" i="1" s="1"/>
  <c r="BI37" i="1" s="1"/>
  <c r="BG4" i="1"/>
  <c r="BG16" i="1" s="1"/>
  <c r="BG26" i="1" s="1"/>
  <c r="BG37" i="1" s="1"/>
  <c r="BG49" i="1" s="1"/>
  <c r="BK4" i="1"/>
  <c r="BK16" i="1" s="1"/>
  <c r="BK26" i="1" s="1"/>
  <c r="BK37" i="1" s="1"/>
  <c r="BH4" i="1"/>
  <c r="BH16" i="1" s="1"/>
  <c r="BH26" i="1" s="1"/>
  <c r="BH37" i="1" s="1"/>
  <c r="BJ4" i="1"/>
  <c r="BJ16" i="1" s="1"/>
  <c r="BJ26" i="1" s="1"/>
  <c r="BJ37" i="1" s="1"/>
  <c r="BE15" i="1"/>
  <c r="AR44" i="1"/>
  <c r="AS44" i="1"/>
  <c r="BB48" i="1"/>
  <c r="BA4" i="1"/>
  <c r="T36" i="1"/>
  <c r="U36" i="1" s="1"/>
  <c r="V36" i="1" s="1"/>
  <c r="W36" i="1" s="1"/>
  <c r="BB4" i="1"/>
  <c r="BB16" i="1" s="1"/>
  <c r="AB5" i="1"/>
  <c r="AL30" i="1" s="1"/>
  <c r="AL29" i="1"/>
  <c r="X35" i="1"/>
  <c r="Z67" i="1"/>
  <c r="AB67" i="1" s="1"/>
  <c r="Z57" i="1"/>
  <c r="AB57" i="1" s="1"/>
  <c r="Z47" i="1"/>
  <c r="AB47" i="1" s="1"/>
  <c r="Z37" i="1"/>
  <c r="AB37" i="1" s="1"/>
  <c r="AO16" i="1"/>
  <c r="AQ16" i="1"/>
  <c r="AN16" i="1"/>
  <c r="AP16" i="1"/>
  <c r="AM16" i="1"/>
  <c r="AM45" i="1" s="1"/>
  <c r="AR45" i="1" s="1"/>
  <c r="AN30" i="1"/>
  <c r="AF66" i="1"/>
  <c r="AQ30" i="1"/>
  <c r="AF46" i="1"/>
  <c r="AI46" i="1"/>
  <c r="AE67" i="1"/>
  <c r="AI67" i="1" s="1"/>
  <c r="AF26" i="1"/>
  <c r="AI26" i="1"/>
  <c r="AF56" i="1"/>
  <c r="AI56" i="1"/>
  <c r="AF36" i="1"/>
  <c r="AI36" i="1"/>
  <c r="AM30" i="1"/>
  <c r="AN45" i="1" s="1"/>
  <c r="AS45" i="1" s="1"/>
  <c r="AF16" i="1"/>
  <c r="AI5" i="1"/>
  <c r="AR16" i="1"/>
  <c r="AL6" i="1"/>
  <c r="AM6" i="1" s="1"/>
  <c r="AP30" i="1"/>
  <c r="AO30" i="1"/>
  <c r="AE57" i="1"/>
  <c r="Q20" i="1"/>
  <c r="AE6" i="1"/>
  <c r="Q30" i="1"/>
  <c r="AE17" i="1"/>
  <c r="AI17" i="1" s="1"/>
  <c r="AE47" i="1"/>
  <c r="AE27" i="1"/>
  <c r="AF5" i="1"/>
  <c r="Z17" i="1"/>
  <c r="AB17" i="1" s="1"/>
  <c r="Z27" i="1"/>
  <c r="AB27" i="1" s="1"/>
  <c r="Z6" i="1"/>
  <c r="J18" i="1"/>
  <c r="L17" i="1"/>
  <c r="AZ25" i="1" l="1"/>
  <c r="AZ36" i="1" s="1"/>
  <c r="AZ48" i="1" s="1"/>
  <c r="BE5" i="1"/>
  <c r="BO5" i="1"/>
  <c r="BO17" i="1" s="1"/>
  <c r="BO26" i="1"/>
  <c r="BE26" i="1"/>
  <c r="BJ49" i="1"/>
  <c r="BU49" i="1"/>
  <c r="BT49" i="1"/>
  <c r="BH49" i="1"/>
  <c r="BI49" i="1"/>
  <c r="BS49" i="1"/>
  <c r="BS5" i="1"/>
  <c r="BS17" i="1" s="1"/>
  <c r="BS27" i="1" s="1"/>
  <c r="BS38" i="1" s="1"/>
  <c r="BT5" i="1"/>
  <c r="BT17" i="1" s="1"/>
  <c r="BT27" i="1" s="1"/>
  <c r="BT38" i="1" s="1"/>
  <c r="BP5" i="1"/>
  <c r="BP17" i="1" s="1"/>
  <c r="BP27" i="1" s="1"/>
  <c r="BP38" i="1" s="1"/>
  <c r="BU5" i="1"/>
  <c r="BU17" i="1" s="1"/>
  <c r="BU27" i="1" s="1"/>
  <c r="BU38" i="1" s="1"/>
  <c r="BQ5" i="1"/>
  <c r="BQ17" i="1" s="1"/>
  <c r="BQ27" i="1" s="1"/>
  <c r="BQ38" i="1" s="1"/>
  <c r="BR5" i="1"/>
  <c r="BR17" i="1" s="1"/>
  <c r="BR27" i="1" s="1"/>
  <c r="BR38" i="1" s="1"/>
  <c r="BP49" i="1"/>
  <c r="BQ49" i="1"/>
  <c r="BF48" i="1"/>
  <c r="BK49" i="1"/>
  <c r="BR49" i="1"/>
  <c r="BA16" i="1"/>
  <c r="BA26" i="1" s="1"/>
  <c r="BA37" i="1" s="1"/>
  <c r="BA49" i="1" s="1"/>
  <c r="BA64" i="1" s="1"/>
  <c r="BF4" i="1"/>
  <c r="BF16" i="1" s="1"/>
  <c r="BF26" i="1" s="1"/>
  <c r="BF37" i="1" s="1"/>
  <c r="BI5" i="1"/>
  <c r="BI17" i="1" s="1"/>
  <c r="BI27" i="1" s="1"/>
  <c r="BI38" i="1" s="1"/>
  <c r="BJ5" i="1"/>
  <c r="BJ17" i="1" s="1"/>
  <c r="BJ27" i="1" s="1"/>
  <c r="BJ38" i="1" s="1"/>
  <c r="BK5" i="1"/>
  <c r="BK17" i="1" s="1"/>
  <c r="BK27" i="1" s="1"/>
  <c r="BK38" i="1" s="1"/>
  <c r="BG5" i="1"/>
  <c r="BG17" i="1" s="1"/>
  <c r="BG27" i="1" s="1"/>
  <c r="BG38" i="1" s="1"/>
  <c r="BH5" i="1"/>
  <c r="BH17" i="1" s="1"/>
  <c r="BH27" i="1" s="1"/>
  <c r="BH38" i="1" s="1"/>
  <c r="BE16" i="1"/>
  <c r="BB26" i="1"/>
  <c r="BB37" i="1" s="1"/>
  <c r="BB49" i="1" s="1"/>
  <c r="AL16" i="1"/>
  <c r="AL45" i="1" s="1"/>
  <c r="AQ45" i="1" s="1"/>
  <c r="AB6" i="1"/>
  <c r="AL31" i="1" s="1"/>
  <c r="AZ5" i="1"/>
  <c r="AZ17" i="1" s="1"/>
  <c r="AZ27" i="1" s="1"/>
  <c r="BA5" i="1"/>
  <c r="BB5" i="1"/>
  <c r="BB17" i="1" s="1"/>
  <c r="T37" i="1"/>
  <c r="U37" i="1" s="1"/>
  <c r="V37" i="1" s="1"/>
  <c r="W37" i="1" s="1"/>
  <c r="X36" i="1"/>
  <c r="AP17" i="1"/>
  <c r="Z58" i="1"/>
  <c r="AB58" i="1" s="1"/>
  <c r="Z48" i="1"/>
  <c r="AB48" i="1" s="1"/>
  <c r="Z38" i="1"/>
  <c r="AB38" i="1" s="1"/>
  <c r="Z68" i="1"/>
  <c r="AB68" i="1" s="1"/>
  <c r="AO17" i="1"/>
  <c r="AN17" i="1"/>
  <c r="AQ17" i="1"/>
  <c r="AQ31" i="1"/>
  <c r="AF57" i="1"/>
  <c r="AI57" i="1"/>
  <c r="AF47" i="1"/>
  <c r="AI47" i="1"/>
  <c r="AF67" i="1"/>
  <c r="AE68" i="1"/>
  <c r="AI68" i="1" s="1"/>
  <c r="AF37" i="1"/>
  <c r="AI37" i="1"/>
  <c r="AF27" i="1"/>
  <c r="AI27" i="1"/>
  <c r="AM31" i="1"/>
  <c r="AN46" i="1" s="1"/>
  <c r="AS46" i="1" s="1"/>
  <c r="AF17" i="1"/>
  <c r="AO31" i="1"/>
  <c r="AN31" i="1"/>
  <c r="AP31" i="1"/>
  <c r="AI6" i="1"/>
  <c r="AR17" i="1"/>
  <c r="AM17" i="1"/>
  <c r="AM46" i="1" s="1"/>
  <c r="AR46" i="1" s="1"/>
  <c r="AL7" i="1"/>
  <c r="AM7" i="1" s="1"/>
  <c r="AF6" i="1"/>
  <c r="AE28" i="1"/>
  <c r="AE58" i="1"/>
  <c r="Q21" i="1"/>
  <c r="AE38" i="1"/>
  <c r="AE7" i="1"/>
  <c r="Q31" i="1"/>
  <c r="AE18" i="1"/>
  <c r="AI18" i="1" s="1"/>
  <c r="AE48" i="1"/>
  <c r="Z28" i="1"/>
  <c r="AB28" i="1" s="1"/>
  <c r="Z7" i="1"/>
  <c r="Z18" i="1"/>
  <c r="AB18" i="1" s="1"/>
  <c r="J19" i="1"/>
  <c r="Z39" i="1" s="1"/>
  <c r="L18" i="1"/>
  <c r="BO6" i="1" l="1"/>
  <c r="BO18" i="1" s="1"/>
  <c r="BE6" i="1"/>
  <c r="AZ63" i="1"/>
  <c r="BO25" i="1"/>
  <c r="BO36" i="1" s="1"/>
  <c r="BO48" i="1" s="1"/>
  <c r="BE25" i="1"/>
  <c r="BE36" i="1" s="1"/>
  <c r="BE48" i="1" s="1"/>
  <c r="BO27" i="1"/>
  <c r="BE27" i="1"/>
  <c r="BK50" i="1"/>
  <c r="BU50" i="1"/>
  <c r="BJ50" i="1"/>
  <c r="BP50" i="1"/>
  <c r="BS50" i="1"/>
  <c r="BI50" i="1"/>
  <c r="BT50" i="1"/>
  <c r="BG50" i="1"/>
  <c r="BQ50" i="1"/>
  <c r="BR50" i="1"/>
  <c r="BF49" i="1"/>
  <c r="BH50" i="1"/>
  <c r="BU6" i="1"/>
  <c r="BU18" i="1" s="1"/>
  <c r="BU28" i="1" s="1"/>
  <c r="BU39" i="1" s="1"/>
  <c r="BQ6" i="1"/>
  <c r="BQ18" i="1" s="1"/>
  <c r="BQ28" i="1" s="1"/>
  <c r="BQ39" i="1" s="1"/>
  <c r="BR6" i="1"/>
  <c r="BR18" i="1" s="1"/>
  <c r="BR28" i="1" s="1"/>
  <c r="BR39" i="1" s="1"/>
  <c r="BS6" i="1"/>
  <c r="BS18" i="1" s="1"/>
  <c r="BS28" i="1" s="1"/>
  <c r="BS39" i="1" s="1"/>
  <c r="BT6" i="1"/>
  <c r="BT18" i="1" s="1"/>
  <c r="BT28" i="1" s="1"/>
  <c r="BT39" i="1" s="1"/>
  <c r="BP6" i="1"/>
  <c r="BP18" i="1" s="1"/>
  <c r="BP28" i="1" s="1"/>
  <c r="BP39" i="1" s="1"/>
  <c r="BA17" i="1"/>
  <c r="BA27" i="1" s="1"/>
  <c r="BA38" i="1" s="1"/>
  <c r="BA50" i="1" s="1"/>
  <c r="BA65" i="1" s="1"/>
  <c r="BF5" i="1"/>
  <c r="BF17" i="1" s="1"/>
  <c r="BF27" i="1" s="1"/>
  <c r="BF38" i="1" s="1"/>
  <c r="BK6" i="1"/>
  <c r="BK18" i="1" s="1"/>
  <c r="BK28" i="1" s="1"/>
  <c r="BK39" i="1" s="1"/>
  <c r="BI6" i="1"/>
  <c r="BI18" i="1" s="1"/>
  <c r="BI28" i="1" s="1"/>
  <c r="BI39" i="1" s="1"/>
  <c r="BJ6" i="1"/>
  <c r="BJ18" i="1" s="1"/>
  <c r="BJ28" i="1" s="1"/>
  <c r="BJ39" i="1" s="1"/>
  <c r="BH6" i="1"/>
  <c r="BH18" i="1" s="1"/>
  <c r="BH28" i="1" s="1"/>
  <c r="BH39" i="1" s="1"/>
  <c r="BG6" i="1"/>
  <c r="BG18" i="1" s="1"/>
  <c r="BG28" i="1" s="1"/>
  <c r="BG39" i="1" s="1"/>
  <c r="BE17" i="1"/>
  <c r="BB27" i="1"/>
  <c r="BB38" i="1" s="1"/>
  <c r="BB50" i="1" s="1"/>
  <c r="AZ37" i="1"/>
  <c r="AZ49" i="1" s="1"/>
  <c r="AZ64" i="1" s="1"/>
  <c r="AL17" i="1"/>
  <c r="AL46" i="1" s="1"/>
  <c r="AQ46" i="1" s="1"/>
  <c r="AB7" i="1"/>
  <c r="AL32" i="1" s="1"/>
  <c r="AZ6" i="1"/>
  <c r="AZ18" i="1" s="1"/>
  <c r="AZ28" i="1" s="1"/>
  <c r="BB6" i="1"/>
  <c r="BB18" i="1" s="1"/>
  <c r="BA6" i="1"/>
  <c r="X37" i="1"/>
  <c r="T38" i="1"/>
  <c r="U38" i="1" s="1"/>
  <c r="V38" i="1" s="1"/>
  <c r="W38" i="1" s="1"/>
  <c r="Z49" i="1"/>
  <c r="AB49" i="1" s="1"/>
  <c r="Z69" i="1"/>
  <c r="AB69" i="1" s="1"/>
  <c r="Z59" i="1"/>
  <c r="AB59" i="1" s="1"/>
  <c r="AB39" i="1"/>
  <c r="AO18" i="1"/>
  <c r="AQ18" i="1"/>
  <c r="AN18" i="1"/>
  <c r="AP18" i="1"/>
  <c r="AF68" i="1"/>
  <c r="AQ32" i="1"/>
  <c r="AF58" i="1"/>
  <c r="AI58" i="1"/>
  <c r="AF38" i="1"/>
  <c r="AI38" i="1"/>
  <c r="AF48" i="1"/>
  <c r="AI48" i="1"/>
  <c r="AF28" i="1"/>
  <c r="AI28" i="1"/>
  <c r="J20" i="1"/>
  <c r="AE69" i="1"/>
  <c r="AI69" i="1" s="1"/>
  <c r="AE8" i="1"/>
  <c r="AF18" i="1"/>
  <c r="AM32" i="1"/>
  <c r="AN47" i="1" s="1"/>
  <c r="AS47" i="1" s="1"/>
  <c r="AO32" i="1"/>
  <c r="AI7" i="1"/>
  <c r="AR18" i="1"/>
  <c r="AL8" i="1"/>
  <c r="AM8" i="1" s="1"/>
  <c r="AP32" i="1"/>
  <c r="AM18" i="1"/>
  <c r="AM47" i="1" s="1"/>
  <c r="AR47" i="1" s="1"/>
  <c r="AN32" i="1"/>
  <c r="AF7" i="1"/>
  <c r="AE29" i="1"/>
  <c r="AE59" i="1"/>
  <c r="Q22" i="1"/>
  <c r="AE39" i="1"/>
  <c r="Q32" i="1"/>
  <c r="AE49" i="1"/>
  <c r="AE19" i="1"/>
  <c r="Z8" i="1"/>
  <c r="Z19" i="1"/>
  <c r="AB19" i="1" s="1"/>
  <c r="Z29" i="1"/>
  <c r="AB29" i="1" s="1"/>
  <c r="L19" i="1"/>
  <c r="AZ7" i="1" l="1"/>
  <c r="AZ19" i="1" s="1"/>
  <c r="AZ29" i="1" s="1"/>
  <c r="BO37" i="1"/>
  <c r="BO49" i="1" s="1"/>
  <c r="BO7" i="1"/>
  <c r="BO19" i="1" s="1"/>
  <c r="BE7" i="1"/>
  <c r="BE37" i="1"/>
  <c r="BE49" i="1" s="1"/>
  <c r="BO28" i="1"/>
  <c r="BE28" i="1"/>
  <c r="BU51" i="1"/>
  <c r="BT51" i="1"/>
  <c r="BS51" i="1"/>
  <c r="BK51" i="1"/>
  <c r="BR51" i="1"/>
  <c r="BF50" i="1"/>
  <c r="BJ51" i="1"/>
  <c r="BI51" i="1"/>
  <c r="BQ51" i="1"/>
  <c r="BU7" i="1"/>
  <c r="BU19" i="1" s="1"/>
  <c r="BU29" i="1" s="1"/>
  <c r="BU40" i="1" s="1"/>
  <c r="BQ7" i="1"/>
  <c r="BQ19" i="1" s="1"/>
  <c r="BQ29" i="1" s="1"/>
  <c r="BQ40" i="1" s="1"/>
  <c r="BR7" i="1"/>
  <c r="BR19" i="1" s="1"/>
  <c r="BR29" i="1" s="1"/>
  <c r="BR40" i="1" s="1"/>
  <c r="BS7" i="1"/>
  <c r="BS19" i="1" s="1"/>
  <c r="BS29" i="1" s="1"/>
  <c r="BS40" i="1" s="1"/>
  <c r="BT7" i="1"/>
  <c r="BT19" i="1" s="1"/>
  <c r="BT29" i="1" s="1"/>
  <c r="BT40" i="1" s="1"/>
  <c r="BP7" i="1"/>
  <c r="BP19" i="1" s="1"/>
  <c r="BP29" i="1" s="1"/>
  <c r="BP40" i="1" s="1"/>
  <c r="BP52" i="1" s="1"/>
  <c r="BG51" i="1"/>
  <c r="BH51" i="1"/>
  <c r="BP51" i="1"/>
  <c r="BH7" i="1"/>
  <c r="BH19" i="1" s="1"/>
  <c r="BH29" i="1" s="1"/>
  <c r="BH40" i="1" s="1"/>
  <c r="BI7" i="1"/>
  <c r="BI19" i="1" s="1"/>
  <c r="BI29" i="1" s="1"/>
  <c r="BI40" i="1" s="1"/>
  <c r="BJ7" i="1"/>
  <c r="BJ19" i="1" s="1"/>
  <c r="BJ29" i="1" s="1"/>
  <c r="BJ40" i="1" s="1"/>
  <c r="BK7" i="1"/>
  <c r="BK19" i="1" s="1"/>
  <c r="BK29" i="1" s="1"/>
  <c r="BK40" i="1" s="1"/>
  <c r="BG7" i="1"/>
  <c r="BG19" i="1" s="1"/>
  <c r="BG29" i="1" s="1"/>
  <c r="BG40" i="1" s="1"/>
  <c r="BA18" i="1"/>
  <c r="BA28" i="1" s="1"/>
  <c r="BA39" i="1" s="1"/>
  <c r="BA51" i="1" s="1"/>
  <c r="BA66" i="1" s="1"/>
  <c r="BF6" i="1"/>
  <c r="BF18" i="1" s="1"/>
  <c r="BF28" i="1" s="1"/>
  <c r="BF39" i="1" s="1"/>
  <c r="BE18" i="1"/>
  <c r="BB28" i="1"/>
  <c r="BB39" i="1" s="1"/>
  <c r="BB51" i="1" s="1"/>
  <c r="AZ38" i="1"/>
  <c r="AL18" i="1"/>
  <c r="AL47" i="1" s="1"/>
  <c r="AQ47" i="1" s="1"/>
  <c r="AB8" i="1"/>
  <c r="AL19" i="1" s="1"/>
  <c r="AL48" i="1" s="1"/>
  <c r="AQ48" i="1" s="1"/>
  <c r="BB7" i="1"/>
  <c r="BB19" i="1" s="1"/>
  <c r="BA7" i="1"/>
  <c r="X38" i="1"/>
  <c r="AI8" i="1"/>
  <c r="AM19" i="1"/>
  <c r="AM48" i="1" s="1"/>
  <c r="AR48" i="1" s="1"/>
  <c r="T39" i="1"/>
  <c r="U39" i="1" s="1"/>
  <c r="V39" i="1" s="1"/>
  <c r="W39" i="1" s="1"/>
  <c r="Z70" i="1"/>
  <c r="AB70" i="1" s="1"/>
  <c r="Z60" i="1"/>
  <c r="AB60" i="1" s="1"/>
  <c r="Z50" i="1"/>
  <c r="AB50" i="1" s="1"/>
  <c r="Z40" i="1"/>
  <c r="AB40" i="1" s="1"/>
  <c r="AP19" i="1"/>
  <c r="AN19" i="1"/>
  <c r="AQ19" i="1"/>
  <c r="AO19" i="1"/>
  <c r="AF8" i="1"/>
  <c r="AR28" i="1"/>
  <c r="AQ33" i="1"/>
  <c r="AF49" i="1"/>
  <c r="AI49" i="1"/>
  <c r="AF69" i="1"/>
  <c r="AF39" i="1"/>
  <c r="AI39" i="1"/>
  <c r="AF59" i="1"/>
  <c r="AI59" i="1"/>
  <c r="Q23" i="1"/>
  <c r="AE40" i="1"/>
  <c r="AI40" i="1" s="1"/>
  <c r="Z20" i="1"/>
  <c r="AB20" i="1" s="1"/>
  <c r="J21" i="1"/>
  <c r="AE50" i="1"/>
  <c r="AI50" i="1" s="1"/>
  <c r="AE70" i="1"/>
  <c r="AI70" i="1" s="1"/>
  <c r="Z30" i="1"/>
  <c r="AB30" i="1" s="1"/>
  <c r="AE30" i="1"/>
  <c r="AI30" i="1" s="1"/>
  <c r="Z9" i="1"/>
  <c r="Q33" i="1"/>
  <c r="AE60" i="1"/>
  <c r="AI60" i="1" s="1"/>
  <c r="AE9" i="1"/>
  <c r="AE20" i="1"/>
  <c r="AI20" i="1" s="1"/>
  <c r="AF19" i="1"/>
  <c r="AI19" i="1"/>
  <c r="AF29" i="1"/>
  <c r="AI29" i="1"/>
  <c r="AM33" i="1"/>
  <c r="AN48" i="1" s="1"/>
  <c r="AS48" i="1" s="1"/>
  <c r="AO33" i="1"/>
  <c r="AL9" i="1"/>
  <c r="AM9" i="1" s="1"/>
  <c r="AR19" i="1"/>
  <c r="AN33" i="1"/>
  <c r="AP33" i="1"/>
  <c r="AZ8" i="1" l="1"/>
  <c r="AZ20" i="1" s="1"/>
  <c r="AZ30" i="1" s="1"/>
  <c r="BO8" i="1"/>
  <c r="BO20" i="1" s="1"/>
  <c r="BE8" i="1"/>
  <c r="BE20" i="1" s="1"/>
  <c r="BG52" i="1"/>
  <c r="BU52" i="1"/>
  <c r="BK52" i="1"/>
  <c r="BT52" i="1"/>
  <c r="BJ52" i="1"/>
  <c r="BS52" i="1"/>
  <c r="BI52" i="1"/>
  <c r="BR52" i="1"/>
  <c r="BR8" i="1"/>
  <c r="BR20" i="1" s="1"/>
  <c r="BR30" i="1" s="1"/>
  <c r="BR41" i="1" s="1"/>
  <c r="BB8" i="1"/>
  <c r="BB20" i="1" s="1"/>
  <c r="BB30" i="1" s="1"/>
  <c r="BS8" i="1"/>
  <c r="BS20" i="1" s="1"/>
  <c r="BS30" i="1" s="1"/>
  <c r="BS41" i="1" s="1"/>
  <c r="BT8" i="1"/>
  <c r="BT20" i="1" s="1"/>
  <c r="BT30" i="1" s="1"/>
  <c r="BT41" i="1" s="1"/>
  <c r="BG8" i="1"/>
  <c r="BG20" i="1" s="1"/>
  <c r="BG30" i="1" s="1"/>
  <c r="BG41" i="1" s="1"/>
  <c r="BK8" i="1"/>
  <c r="BK20" i="1" s="1"/>
  <c r="BK30" i="1" s="1"/>
  <c r="BK41" i="1" s="1"/>
  <c r="BU8" i="1"/>
  <c r="BU20" i="1" s="1"/>
  <c r="BU30" i="1" s="1"/>
  <c r="BU41" i="1" s="1"/>
  <c r="BH8" i="1"/>
  <c r="BH20" i="1" s="1"/>
  <c r="BH30" i="1" s="1"/>
  <c r="BH41" i="1" s="1"/>
  <c r="BI8" i="1"/>
  <c r="BI20" i="1" s="1"/>
  <c r="BI30" i="1" s="1"/>
  <c r="BI41" i="1" s="1"/>
  <c r="BA8" i="1"/>
  <c r="BJ8" i="1"/>
  <c r="BJ20" i="1" s="1"/>
  <c r="BJ30" i="1" s="1"/>
  <c r="BJ41" i="1" s="1"/>
  <c r="BP8" i="1"/>
  <c r="BP20" i="1" s="1"/>
  <c r="BP30" i="1" s="1"/>
  <c r="BP41" i="1" s="1"/>
  <c r="BP53" i="1" s="1"/>
  <c r="BQ8" i="1"/>
  <c r="BQ20" i="1" s="1"/>
  <c r="BQ30" i="1" s="1"/>
  <c r="BQ41" i="1" s="1"/>
  <c r="BH52" i="1"/>
  <c r="BQ52" i="1"/>
  <c r="BO38" i="1"/>
  <c r="BO50" i="1" s="1"/>
  <c r="BE38" i="1"/>
  <c r="BE50" i="1" s="1"/>
  <c r="BE29" i="1"/>
  <c r="BO29" i="1"/>
  <c r="AZ50" i="1"/>
  <c r="AZ65" i="1" s="1"/>
  <c r="BF51" i="1"/>
  <c r="BA19" i="1"/>
  <c r="BA29" i="1" s="1"/>
  <c r="BA40" i="1" s="1"/>
  <c r="BA52" i="1" s="1"/>
  <c r="BA67" i="1" s="1"/>
  <c r="BF7" i="1"/>
  <c r="BF19" i="1" s="1"/>
  <c r="BF29" i="1" s="1"/>
  <c r="BF40" i="1" s="1"/>
  <c r="BF52" i="1" s="1"/>
  <c r="BE19" i="1"/>
  <c r="BB29" i="1"/>
  <c r="BB40" i="1" s="1"/>
  <c r="AZ39" i="1"/>
  <c r="AZ51" i="1" s="1"/>
  <c r="AZ66" i="1" s="1"/>
  <c r="AL33" i="1"/>
  <c r="AB9" i="1"/>
  <c r="AL20" i="1" s="1"/>
  <c r="AL49" i="1" s="1"/>
  <c r="AQ49" i="1" s="1"/>
  <c r="X39" i="1"/>
  <c r="T40" i="1"/>
  <c r="U40" i="1" s="1"/>
  <c r="V40" i="1" s="1"/>
  <c r="W40" i="1" s="1"/>
  <c r="Z61" i="1"/>
  <c r="AB61" i="1" s="1"/>
  <c r="Z51" i="1"/>
  <c r="AB51" i="1" s="1"/>
  <c r="Z41" i="1"/>
  <c r="AB41" i="1" s="1"/>
  <c r="Z71" i="1"/>
  <c r="AB71" i="1" s="1"/>
  <c r="AR29" i="1"/>
  <c r="AO20" i="1"/>
  <c r="AQ20" i="1"/>
  <c r="AN20" i="1"/>
  <c r="AP20" i="1"/>
  <c r="AP34" i="1"/>
  <c r="AO34" i="1"/>
  <c r="AN34" i="1"/>
  <c r="AQ34" i="1"/>
  <c r="AM34" i="1"/>
  <c r="AN49" i="1" s="1"/>
  <c r="AS49" i="1" s="1"/>
  <c r="AR30" i="1"/>
  <c r="AI9" i="1"/>
  <c r="AR20" i="1"/>
  <c r="J22" i="1"/>
  <c r="Q34" i="1"/>
  <c r="Q24" i="1"/>
  <c r="AE41" i="1"/>
  <c r="AI41" i="1" s="1"/>
  <c r="AE10" i="1"/>
  <c r="AE31" i="1"/>
  <c r="AI31" i="1" s="1"/>
  <c r="Z31" i="1"/>
  <c r="AB31" i="1" s="1"/>
  <c r="AE51" i="1"/>
  <c r="AI51" i="1" s="1"/>
  <c r="AE71" i="1"/>
  <c r="AI71" i="1" s="1"/>
  <c r="Z21" i="1"/>
  <c r="AB21" i="1" s="1"/>
  <c r="AE21" i="1"/>
  <c r="AI21" i="1" s="1"/>
  <c r="Z10" i="1"/>
  <c r="AE61" i="1"/>
  <c r="AI61" i="1" s="1"/>
  <c r="AM20" i="1"/>
  <c r="AM49" i="1" s="1"/>
  <c r="AR49" i="1" s="1"/>
  <c r="AZ9" i="1" l="1"/>
  <c r="BO9" i="1"/>
  <c r="BO21" i="1" s="1"/>
  <c r="BE9" i="1"/>
  <c r="BE21" i="1" s="1"/>
  <c r="BO30" i="1"/>
  <c r="BE30" i="1"/>
  <c r="BG53" i="1"/>
  <c r="BJ53" i="1"/>
  <c r="BI53" i="1"/>
  <c r="BS53" i="1"/>
  <c r="BK53" i="1"/>
  <c r="BQ53" i="1"/>
  <c r="BH53" i="1"/>
  <c r="BU53" i="1"/>
  <c r="BR53" i="1"/>
  <c r="BT53" i="1"/>
  <c r="BS9" i="1"/>
  <c r="BS21" i="1" s="1"/>
  <c r="BS31" i="1" s="1"/>
  <c r="BS42" i="1" s="1"/>
  <c r="BS54" i="1" s="1"/>
  <c r="BT9" i="1"/>
  <c r="BT21" i="1" s="1"/>
  <c r="BT31" i="1" s="1"/>
  <c r="BT42" i="1" s="1"/>
  <c r="BT54" i="1" s="1"/>
  <c r="BG9" i="1"/>
  <c r="BG21" i="1" s="1"/>
  <c r="BG31" i="1" s="1"/>
  <c r="BG42" i="1" s="1"/>
  <c r="BG54" i="1" s="1"/>
  <c r="BU9" i="1"/>
  <c r="BU21" i="1" s="1"/>
  <c r="BU31" i="1" s="1"/>
  <c r="BU42" i="1" s="1"/>
  <c r="BU54" i="1" s="1"/>
  <c r="BH9" i="1"/>
  <c r="BH21" i="1" s="1"/>
  <c r="BH31" i="1" s="1"/>
  <c r="BH42" i="1" s="1"/>
  <c r="BH54" i="1" s="1"/>
  <c r="BA9" i="1"/>
  <c r="BI9" i="1"/>
  <c r="BI21" i="1" s="1"/>
  <c r="BI31" i="1" s="1"/>
  <c r="BI42" i="1" s="1"/>
  <c r="BI54" i="1" s="1"/>
  <c r="BB9" i="1"/>
  <c r="BB21" i="1" s="1"/>
  <c r="BB31" i="1" s="1"/>
  <c r="BJ9" i="1"/>
  <c r="BJ21" i="1" s="1"/>
  <c r="BJ31" i="1" s="1"/>
  <c r="BJ42" i="1" s="1"/>
  <c r="BJ54" i="1" s="1"/>
  <c r="BQ9" i="1"/>
  <c r="BQ21" i="1" s="1"/>
  <c r="BQ31" i="1" s="1"/>
  <c r="BQ42" i="1" s="1"/>
  <c r="BQ54" i="1" s="1"/>
  <c r="BP9" i="1"/>
  <c r="BP21" i="1" s="1"/>
  <c r="BP31" i="1" s="1"/>
  <c r="BP42" i="1" s="1"/>
  <c r="BP54" i="1" s="1"/>
  <c r="BK9" i="1"/>
  <c r="BK21" i="1" s="1"/>
  <c r="BK31" i="1" s="1"/>
  <c r="BK42" i="1" s="1"/>
  <c r="BK54" i="1" s="1"/>
  <c r="BR9" i="1"/>
  <c r="BR21" i="1" s="1"/>
  <c r="BR31" i="1" s="1"/>
  <c r="BR42" i="1" s="1"/>
  <c r="BR54" i="1" s="1"/>
  <c r="BB52" i="1"/>
  <c r="BB41" i="1"/>
  <c r="BF8" i="1"/>
  <c r="BF20" i="1" s="1"/>
  <c r="BF30" i="1" s="1"/>
  <c r="BF41" i="1" s="1"/>
  <c r="BA20" i="1"/>
  <c r="BA30" i="1" s="1"/>
  <c r="BA41" i="1" s="1"/>
  <c r="BA53" i="1" s="1"/>
  <c r="BO39" i="1"/>
  <c r="BO51" i="1" s="1"/>
  <c r="BE39" i="1"/>
  <c r="BE51" i="1" s="1"/>
  <c r="AZ40" i="1"/>
  <c r="AZ52" i="1" s="1"/>
  <c r="AZ67" i="1" s="1"/>
  <c r="AL34" i="1"/>
  <c r="AB10" i="1"/>
  <c r="AL35" i="1" s="1"/>
  <c r="X40" i="1"/>
  <c r="T41" i="1"/>
  <c r="U41" i="1" s="1"/>
  <c r="V41" i="1" s="1"/>
  <c r="W41" i="1" s="1"/>
  <c r="Q25" i="1"/>
  <c r="Z62" i="1"/>
  <c r="AB62" i="1" s="1"/>
  <c r="Z52" i="1"/>
  <c r="AB52" i="1" s="1"/>
  <c r="AE42" i="1"/>
  <c r="Z72" i="1"/>
  <c r="AB72" i="1" s="1"/>
  <c r="AE52" i="1"/>
  <c r="AE62" i="1"/>
  <c r="AE72" i="1"/>
  <c r="Z42" i="1"/>
  <c r="AB42" i="1" s="1"/>
  <c r="Q35" i="1"/>
  <c r="Z11" i="1"/>
  <c r="Z32" i="1"/>
  <c r="AB32" i="1" s="1"/>
  <c r="Z22" i="1"/>
  <c r="AB22" i="1" s="1"/>
  <c r="AE11" i="1"/>
  <c r="AE32" i="1"/>
  <c r="AE22" i="1"/>
  <c r="AI22" i="1" s="1"/>
  <c r="AP21" i="1"/>
  <c r="AN21" i="1"/>
  <c r="AM35" i="1"/>
  <c r="AN50" i="1" s="1"/>
  <c r="AS50" i="1" s="1"/>
  <c r="AQ21" i="1"/>
  <c r="AO21" i="1"/>
  <c r="AR31" i="1"/>
  <c r="AP35" i="1"/>
  <c r="AO35" i="1"/>
  <c r="AQ35" i="1"/>
  <c r="AN35" i="1"/>
  <c r="AI10" i="1"/>
  <c r="AR21" i="1"/>
  <c r="AM21" i="1"/>
  <c r="AM50" i="1" s="1"/>
  <c r="AR50" i="1" s="1"/>
  <c r="AZ41" i="1" l="1"/>
  <c r="AZ53" i="1" s="1"/>
  <c r="BO31" i="1"/>
  <c r="BE31" i="1"/>
  <c r="AZ42" i="1"/>
  <c r="AZ54" i="1" s="1"/>
  <c r="BF53" i="1"/>
  <c r="BB53" i="1"/>
  <c r="BB42" i="1"/>
  <c r="BB54" i="1" s="1"/>
  <c r="BF9" i="1"/>
  <c r="BF21" i="1" s="1"/>
  <c r="BF31" i="1" s="1"/>
  <c r="BF42" i="1" s="1"/>
  <c r="BF54" i="1" s="1"/>
  <c r="BA21" i="1"/>
  <c r="BA31" i="1" s="1"/>
  <c r="BA42" i="1" s="1"/>
  <c r="BA54" i="1" s="1"/>
  <c r="BO40" i="1"/>
  <c r="BO52" i="1" s="1"/>
  <c r="BE40" i="1"/>
  <c r="BE52" i="1" s="1"/>
  <c r="AB11" i="1"/>
  <c r="AL36" i="1" s="1"/>
  <c r="AL21" i="1"/>
  <c r="AL50" i="1" s="1"/>
  <c r="AQ50" i="1" s="1"/>
  <c r="X41" i="1"/>
  <c r="T42" i="1"/>
  <c r="U42" i="1" s="1"/>
  <c r="V42" i="1" s="1"/>
  <c r="W42" i="1" s="1"/>
  <c r="X42" i="1" s="1"/>
  <c r="AQ36" i="1"/>
  <c r="AO22" i="1"/>
  <c r="AM36" i="1"/>
  <c r="AN51" i="1" s="1"/>
  <c r="AS51" i="1" s="1"/>
  <c r="AM22" i="1"/>
  <c r="AM51" i="1" s="1"/>
  <c r="AR51" i="1" s="1"/>
  <c r="AO36" i="1"/>
  <c r="AN22" i="1"/>
  <c r="AP36" i="1"/>
  <c r="AP22" i="1"/>
  <c r="AR32" i="1"/>
  <c r="AN36" i="1"/>
  <c r="AQ22" i="1"/>
  <c r="AR22" i="1"/>
  <c r="BO41" i="1" l="1"/>
  <c r="BE41" i="1"/>
  <c r="BE53" i="1" s="1"/>
  <c r="AL22" i="1"/>
  <c r="AL51" i="1" s="1"/>
  <c r="AQ51" i="1" s="1"/>
  <c r="BO42" i="1" l="1"/>
  <c r="BO54" i="1" s="1"/>
  <c r="BO53" i="1"/>
  <c r="BE42" i="1"/>
  <c r="BE54" i="1" s="1"/>
</calcChain>
</file>

<file path=xl/sharedStrings.xml><?xml version="1.0" encoding="utf-8"?>
<sst xmlns="http://schemas.openxmlformats.org/spreadsheetml/2006/main" count="1381" uniqueCount="465">
  <si>
    <t>Input Data</t>
  </si>
  <si>
    <t>Values</t>
  </si>
  <si>
    <t>Sources</t>
  </si>
  <si>
    <t>Risk-adjusted discounting</t>
  </si>
  <si>
    <t>Replacement Factor</t>
  </si>
  <si>
    <t>Customer Compensation Level</t>
  </si>
  <si>
    <t>$ Per Pick</t>
  </si>
  <si>
    <t>$ Per year</t>
  </si>
  <si>
    <t>year</t>
  </si>
  <si>
    <t>DF</t>
  </si>
  <si>
    <t>C0D2</t>
  </si>
  <si>
    <t>Year</t>
  </si>
  <si>
    <t>Wage per hour</t>
  </si>
  <si>
    <t>Legally required benefit</t>
  </si>
  <si>
    <t>https://www.bls.gov/news.release/pdf/ecec.pdf</t>
  </si>
  <si>
    <t>Days worked</t>
  </si>
  <si>
    <t>Hours worked</t>
  </si>
  <si>
    <t>Number of workers replaced</t>
  </si>
  <si>
    <t>Hassle Cost level</t>
  </si>
  <si>
    <t>% of hassled customer not coming back</t>
  </si>
  <si>
    <t>Participation%</t>
  </si>
  <si>
    <t>Lost Profit Per year</t>
  </si>
  <si>
    <t>Robot purchase Cost</t>
  </si>
  <si>
    <t>Maintenance Cost</t>
  </si>
  <si>
    <t>Rate of increase</t>
  </si>
  <si>
    <t xml:space="preserve">Depreciation </t>
  </si>
  <si>
    <t>Wage</t>
  </si>
  <si>
    <t>benefits</t>
  </si>
  <si>
    <t>training cost</t>
  </si>
  <si>
    <t>Installation and Training</t>
  </si>
  <si>
    <t>day in a year</t>
  </si>
  <si>
    <t>Discount factor for up</t>
  </si>
  <si>
    <t>orders in a day</t>
  </si>
  <si>
    <t>mean items per order</t>
  </si>
  <si>
    <t>Locus monthly subscription</t>
  </si>
  <si>
    <t>https://locusrobotics.com/wp-content/uploads/Total-Economic-Impact-of-Locus-Robotics_NOV_2019F.pdf</t>
  </si>
  <si>
    <t>items picked in a year</t>
  </si>
  <si>
    <t>Number of bots</t>
  </si>
  <si>
    <t>Utilization by C3D1</t>
  </si>
  <si>
    <t>One time deployment fee</t>
  </si>
  <si>
    <t>share picked by cobot</t>
  </si>
  <si>
    <t>Internal integration cost</t>
  </si>
  <si>
    <t>Compensations in a year</t>
  </si>
  <si>
    <t>employee training cost</t>
  </si>
  <si>
    <t>Customer Hassle</t>
  </si>
  <si>
    <t>Fixed loss hassle profit for c0d2</t>
  </si>
  <si>
    <t>Peak hour customer number per week</t>
  </si>
  <si>
    <t>from iise dataset paper</t>
  </si>
  <si>
    <t>Lost Customer per week</t>
  </si>
  <si>
    <t>Spending per week</t>
  </si>
  <si>
    <t>https://www.statista.com/statistics/251731/us-consumers-grocery-expenditure-per-week/</t>
  </si>
  <si>
    <t>Profit margin</t>
  </si>
  <si>
    <t>Profit per week per customer</t>
  </si>
  <si>
    <t>Customer Dissatisfaction (Dedicated)</t>
  </si>
  <si>
    <t>Customer Dissatisfaction (Cobot)</t>
  </si>
  <si>
    <t>Online orders per day</t>
  </si>
  <si>
    <t>Online orders per year</t>
  </si>
  <si>
    <t>% of items picked</t>
  </si>
  <si>
    <t>mean number of items not picked</t>
  </si>
  <si>
    <t>mean item value</t>
  </si>
  <si>
    <t>lost profit for not picking per year</t>
  </si>
  <si>
    <t>approx dissatisfied customers per year</t>
  </si>
  <si>
    <t>% dissatisfied customers not reordering</t>
  </si>
  <si>
    <t>mean online basket value</t>
  </si>
  <si>
    <t>profit margin</t>
  </si>
  <si>
    <t>lost profit for dissatisfied customers/year</t>
  </si>
  <si>
    <t>per item dissatisfaction cost</t>
  </si>
  <si>
    <t>total lost profit for workers per year</t>
  </si>
  <si>
    <t>total lost profit for cobots per year</t>
  </si>
  <si>
    <t>participation rate variation</t>
  </si>
  <si>
    <t>C3D1(52%)</t>
  </si>
  <si>
    <t>C3D1(65%)</t>
  </si>
  <si>
    <t>C3D1(78%)</t>
  </si>
  <si>
    <t>C3D1(92%)</t>
  </si>
  <si>
    <t>range</t>
  </si>
  <si>
    <t>Percent of arrivals</t>
  </si>
  <si>
    <t>Row Labels</t>
  </si>
  <si>
    <t>Average of %picked</t>
  </si>
  <si>
    <t>Average of cobotUtilization</t>
  </si>
  <si>
    <t>Peak Customer Arrivals Per week</t>
  </si>
  <si>
    <t>0-50</t>
  </si>
  <si>
    <t>51-100</t>
  </si>
  <si>
    <t>100-150</t>
  </si>
  <si>
    <t>151-200</t>
  </si>
  <si>
    <t>200-250</t>
  </si>
  <si>
    <t>251-300</t>
  </si>
  <si>
    <t>300+</t>
  </si>
  <si>
    <t>Hourly Arrivals Range</t>
  </si>
  <si>
    <t xml:space="preserve">C0D2 </t>
  </si>
  <si>
    <t>101-150</t>
  </si>
  <si>
    <t>201-250</t>
  </si>
  <si>
    <t>C3D1 (Purchase)</t>
  </si>
  <si>
    <t>C3D1 (Subscription)</t>
  </si>
  <si>
    <t>Cumulative</t>
  </si>
  <si>
    <t>Initial one time cost</t>
  </si>
  <si>
    <t>C3D1 Fixed Costs (Purchase)</t>
  </si>
  <si>
    <t xml:space="preserve">Maintenance + yearly training </t>
  </si>
  <si>
    <t>Maintenance + yearly training + subscription</t>
  </si>
  <si>
    <t>Cuulative</t>
  </si>
  <si>
    <t>250+</t>
  </si>
  <si>
    <t>200+</t>
  </si>
  <si>
    <t>150+</t>
  </si>
  <si>
    <t>100+</t>
  </si>
  <si>
    <t>C3D1 Fixed Costs (Subscription)</t>
  </si>
  <si>
    <t>Cost</t>
  </si>
  <si>
    <t>Cost Comparison</t>
  </si>
  <si>
    <t>Previous</t>
  </si>
  <si>
    <t>Current</t>
  </si>
  <si>
    <t>1 dedicated wages</t>
  </si>
  <si>
    <t>Maintenance + yearly training</t>
  </si>
  <si>
    <t>Compensation loss</t>
  </si>
  <si>
    <t>hassle loss</t>
  </si>
  <si>
    <t>Purchase - Compensation Level</t>
  </si>
  <si>
    <t>Purchase - Churn rate</t>
  </si>
  <si>
    <t>Purchase - Participation rate</t>
  </si>
  <si>
    <t>N</t>
  </si>
  <si>
    <t>Median N</t>
  </si>
  <si>
    <t>Margin</t>
  </si>
  <si>
    <t>Cobot Margin</t>
  </si>
  <si>
    <t>Manual margin</t>
  </si>
  <si>
    <t>Weighted Average</t>
  </si>
  <si>
    <t>AMR Margin</t>
  </si>
  <si>
    <t>C3D1:P (CR=1%)</t>
  </si>
  <si>
    <t>C3D1:S (CR=1%)</t>
  </si>
  <si>
    <t>C3D1:P (CR=2%)</t>
  </si>
  <si>
    <t>C3D1:S (CR=2%)</t>
  </si>
  <si>
    <t>C3D1:P (CR=3%)</t>
  </si>
  <si>
    <t>C3D1:S (CR=3%)</t>
  </si>
  <si>
    <t>C3D1:P (CR=4%)</t>
  </si>
  <si>
    <t>C3D1:S (CR=4%)</t>
  </si>
  <si>
    <t>C3D1:P (CPP=$0.06)</t>
  </si>
  <si>
    <t>C3D1:S (CPP=$0.06)</t>
  </si>
  <si>
    <t>C3D1:P (CPP=$0.12)</t>
  </si>
  <si>
    <t>C3D1:S (CPP=$0.12)</t>
  </si>
  <si>
    <t>C3D1:P (CPP=$0.18)</t>
  </si>
  <si>
    <t>C3D1:S (CPP=$0.18)</t>
  </si>
  <si>
    <t>C3D1:P (CPP=$0.24)</t>
  </si>
  <si>
    <t>C3D1:S (CPP=$0.24)</t>
  </si>
  <si>
    <t>C3D1:P (f=78%)</t>
  </si>
  <si>
    <t>C3D1:S (f=78%)</t>
  </si>
  <si>
    <t>AMR Margin with DF</t>
  </si>
  <si>
    <t>Manual Margin with DF</t>
  </si>
  <si>
    <t>YOM</t>
  </si>
  <si>
    <t>CYOM</t>
  </si>
  <si>
    <t>ACYOM</t>
  </si>
  <si>
    <t>Median*f</t>
  </si>
  <si>
    <t>Range</t>
  </si>
  <si>
    <t>f</t>
  </si>
  <si>
    <t>Days</t>
  </si>
  <si>
    <t>Instance1</t>
  </si>
  <si>
    <t>Hours</t>
  </si>
  <si>
    <t>n_v</t>
  </si>
  <si>
    <t>Waves Per Hour</t>
  </si>
  <si>
    <t>Manual Margin</t>
  </si>
  <si>
    <t>Online Basket value</t>
  </si>
  <si>
    <t>Mean Items Per Basket</t>
  </si>
  <si>
    <t>Mean Price Per Item</t>
  </si>
  <si>
    <t>Net Profit After Taxes</t>
  </si>
  <si>
    <t>Mean Net Profit Per Item</t>
  </si>
  <si>
    <t>Instance2</t>
  </si>
  <si>
    <t>Instance3</t>
  </si>
  <si>
    <t>Instance4</t>
  </si>
  <si>
    <t>Instance5</t>
  </si>
  <si>
    <t>Instance6</t>
  </si>
  <si>
    <t>Instance7</t>
  </si>
  <si>
    <t>Instance8</t>
  </si>
  <si>
    <t>Instance9</t>
  </si>
  <si>
    <t>Instance10</t>
  </si>
  <si>
    <t>C3D1</t>
  </si>
  <si>
    <t>Instances</t>
  </si>
  <si>
    <t>UniqueKeys</t>
  </si>
  <si>
    <t>C3D1 (RAS)</t>
  </si>
  <si>
    <t>C3D1:P (f=52%)</t>
  </si>
  <si>
    <t>C3D1:S (f=52%)</t>
  </si>
  <si>
    <t>C3D1:P (f=65%)</t>
  </si>
  <si>
    <t>C3D1:S (f=65%)</t>
  </si>
  <si>
    <t>C3D1:P (f=91%)</t>
  </si>
  <si>
    <t>C3D1:S (f=91%)</t>
  </si>
  <si>
    <t>numItems</t>
  </si>
  <si>
    <t>PercentofArrivals</t>
  </si>
  <si>
    <t>%ofTotalArrivals</t>
  </si>
  <si>
    <t>UniqueKeys-extended</t>
  </si>
  <si>
    <t>UniqKeysExt</t>
  </si>
  <si>
    <t>600-500.78</t>
  </si>
  <si>
    <t>6051-1000.78</t>
  </si>
  <si>
    <t>60100-1500.78</t>
  </si>
  <si>
    <t>60151-2000.78</t>
  </si>
  <si>
    <t>60200-2500.78</t>
  </si>
  <si>
    <t>60251-3000.78</t>
  </si>
  <si>
    <t>60300+0.78</t>
  </si>
  <si>
    <t>720-500.78</t>
  </si>
  <si>
    <t>7251-1000.78</t>
  </si>
  <si>
    <t>72100-1500.78</t>
  </si>
  <si>
    <t>72151-2000.78</t>
  </si>
  <si>
    <t>72200-2500.78</t>
  </si>
  <si>
    <t>72251-3000.78</t>
  </si>
  <si>
    <t>72300+0.78</t>
  </si>
  <si>
    <t>810-500.78</t>
  </si>
  <si>
    <t>8151-1000.78</t>
  </si>
  <si>
    <t>81100-1500.78</t>
  </si>
  <si>
    <t>81151-2000.78</t>
  </si>
  <si>
    <t>81200-2500.78</t>
  </si>
  <si>
    <t>81251-3000.78</t>
  </si>
  <si>
    <t>81300+0.78</t>
  </si>
  <si>
    <t>850-500.78</t>
  </si>
  <si>
    <t>8551-1000.78</t>
  </si>
  <si>
    <t>85100-1500.78</t>
  </si>
  <si>
    <t>85151-2000.78</t>
  </si>
  <si>
    <t>85200-2500.78</t>
  </si>
  <si>
    <t>85251-3000.78</t>
  </si>
  <si>
    <t>85300+0.78</t>
  </si>
  <si>
    <t>890-500.78</t>
  </si>
  <si>
    <t>8951-1000.78</t>
  </si>
  <si>
    <t>89100-1500.78</t>
  </si>
  <si>
    <t>89151-2000.78</t>
  </si>
  <si>
    <t>89200-2500.78</t>
  </si>
  <si>
    <t>89251-3000.78</t>
  </si>
  <si>
    <t>89300+0.78</t>
  </si>
  <si>
    <t>1000-500.78</t>
  </si>
  <si>
    <t>10051-1000.78</t>
  </si>
  <si>
    <t>100100-1500.78</t>
  </si>
  <si>
    <t>100151-2000.78</t>
  </si>
  <si>
    <t>100200-2500.78</t>
  </si>
  <si>
    <t>100251-3000.78</t>
  </si>
  <si>
    <t>100300+0.78</t>
  </si>
  <si>
    <t>1060-500.78</t>
  </si>
  <si>
    <t>10651-1000.78</t>
  </si>
  <si>
    <t>106100-1500.78</t>
  </si>
  <si>
    <t>106151-2000.78</t>
  </si>
  <si>
    <t>106200-2500.78</t>
  </si>
  <si>
    <t>106251-3000.78</t>
  </si>
  <si>
    <t>106300+0.78</t>
  </si>
  <si>
    <t>1170-500.78</t>
  </si>
  <si>
    <t>11751-1000.78</t>
  </si>
  <si>
    <t>117100-1500.78</t>
  </si>
  <si>
    <t>117151-2000.78</t>
  </si>
  <si>
    <t>117200-2500.78</t>
  </si>
  <si>
    <t>117251-3000.78</t>
  </si>
  <si>
    <t>117300+0.78</t>
  </si>
  <si>
    <t>1250-500.78</t>
  </si>
  <si>
    <t>12551-1000.78</t>
  </si>
  <si>
    <t>125100-1500.78</t>
  </si>
  <si>
    <t>125151-2000.78</t>
  </si>
  <si>
    <t>125200-2500.78</t>
  </si>
  <si>
    <t>125251-3000.78</t>
  </si>
  <si>
    <t>125300+0.78</t>
  </si>
  <si>
    <t>1330-500.78</t>
  </si>
  <si>
    <t>13351-1000.78</t>
  </si>
  <si>
    <t>133100-1500.78</t>
  </si>
  <si>
    <t>133151-2000.78</t>
  </si>
  <si>
    <t>133200-2500.78</t>
  </si>
  <si>
    <t>133251-3000.78</t>
  </si>
  <si>
    <t>133300+0.78</t>
  </si>
  <si>
    <t>600-500.52</t>
  </si>
  <si>
    <t>6051-1000.52</t>
  </si>
  <si>
    <t>60101-1500.52</t>
  </si>
  <si>
    <t>60151-2000.52</t>
  </si>
  <si>
    <t>60201-2500.52</t>
  </si>
  <si>
    <t>60251-3000.52</t>
  </si>
  <si>
    <t>60300+0.52</t>
  </si>
  <si>
    <t>720-500.52</t>
  </si>
  <si>
    <t>7251-1000.52</t>
  </si>
  <si>
    <t>72101-1500.52</t>
  </si>
  <si>
    <t>72151-2000.52</t>
  </si>
  <si>
    <t>72201-2500.52</t>
  </si>
  <si>
    <t>72251-3000.52</t>
  </si>
  <si>
    <t>72300+0.52</t>
  </si>
  <si>
    <t>810-500.52</t>
  </si>
  <si>
    <t>8151-1000.52</t>
  </si>
  <si>
    <t>81101-1500.52</t>
  </si>
  <si>
    <t>81151-2000.52</t>
  </si>
  <si>
    <t>81201-2500.52</t>
  </si>
  <si>
    <t>81251-3000.52</t>
  </si>
  <si>
    <t>81300+0.52</t>
  </si>
  <si>
    <t>850-500.52</t>
  </si>
  <si>
    <t>8551-1000.52</t>
  </si>
  <si>
    <t>85101-1500.52</t>
  </si>
  <si>
    <t>85151-2000.52</t>
  </si>
  <si>
    <t>85201-2500.52</t>
  </si>
  <si>
    <t>85251-3000.52</t>
  </si>
  <si>
    <t>85300+0.52</t>
  </si>
  <si>
    <t>890-500.52</t>
  </si>
  <si>
    <t>8951-1000.52</t>
  </si>
  <si>
    <t>89101-1500.52</t>
  </si>
  <si>
    <t>89151-2000.52</t>
  </si>
  <si>
    <t>89201-2500.52</t>
  </si>
  <si>
    <t>89251-3000.52</t>
  </si>
  <si>
    <t>89300+0.52</t>
  </si>
  <si>
    <t>1000-500.52</t>
  </si>
  <si>
    <t>10051-1000.52</t>
  </si>
  <si>
    <t>100101-1500.52</t>
  </si>
  <si>
    <t>100151-2000.52</t>
  </si>
  <si>
    <t>100201-2500.52</t>
  </si>
  <si>
    <t>100251-3000.52</t>
  </si>
  <si>
    <t>100300+0.52</t>
  </si>
  <si>
    <t>1060-500.52</t>
  </si>
  <si>
    <t>10651-1000.52</t>
  </si>
  <si>
    <t>106101-1500.52</t>
  </si>
  <si>
    <t>106151-2000.52</t>
  </si>
  <si>
    <t>106201-2500.52</t>
  </si>
  <si>
    <t>106251-3000.52</t>
  </si>
  <si>
    <t>106300+0.52</t>
  </si>
  <si>
    <t>1170-500.52</t>
  </si>
  <si>
    <t>11751-1000.52</t>
  </si>
  <si>
    <t>117101-1500.52</t>
  </si>
  <si>
    <t>117151-2000.52</t>
  </si>
  <si>
    <t>117201-2500.52</t>
  </si>
  <si>
    <t>117251-3000.52</t>
  </si>
  <si>
    <t>117300+0.52</t>
  </si>
  <si>
    <t>1250-500.52</t>
  </si>
  <si>
    <t>12551-1000.52</t>
  </si>
  <si>
    <t>125101-1500.52</t>
  </si>
  <si>
    <t>125151-2000.52</t>
  </si>
  <si>
    <t>125201-2500.52</t>
  </si>
  <si>
    <t>125251-3000.52</t>
  </si>
  <si>
    <t>125300+0.52</t>
  </si>
  <si>
    <t>1330-500.52</t>
  </si>
  <si>
    <t>13351-1000.52</t>
  </si>
  <si>
    <t>133101-1500.52</t>
  </si>
  <si>
    <t>133151-2000.52</t>
  </si>
  <si>
    <t>133201-2500.52</t>
  </si>
  <si>
    <t>133251-3000.52</t>
  </si>
  <si>
    <t>133300+0.52</t>
  </si>
  <si>
    <t>600-500.65</t>
  </si>
  <si>
    <t>6051-1000.65</t>
  </si>
  <si>
    <t>60101-1500.65</t>
  </si>
  <si>
    <t>60151-2000.65</t>
  </si>
  <si>
    <t>60201-2500.65</t>
  </si>
  <si>
    <t>60251-3000.65</t>
  </si>
  <si>
    <t>60300+0.65</t>
  </si>
  <si>
    <t>720-500.65</t>
  </si>
  <si>
    <t>7251-1000.65</t>
  </si>
  <si>
    <t>72101-1500.65</t>
  </si>
  <si>
    <t>72151-2000.65</t>
  </si>
  <si>
    <t>72201-2500.65</t>
  </si>
  <si>
    <t>72251-3000.65</t>
  </si>
  <si>
    <t>72300+0.65</t>
  </si>
  <si>
    <t>810-500.65</t>
  </si>
  <si>
    <t>8151-1000.65</t>
  </si>
  <si>
    <t>81101-1500.65</t>
  </si>
  <si>
    <t>81151-2000.65</t>
  </si>
  <si>
    <t>81201-2500.65</t>
  </si>
  <si>
    <t>81251-3000.65</t>
  </si>
  <si>
    <t>81300+0.65</t>
  </si>
  <si>
    <t>850-500.65</t>
  </si>
  <si>
    <t>8551-1000.65</t>
  </si>
  <si>
    <t>85101-1500.65</t>
  </si>
  <si>
    <t>85151-2000.65</t>
  </si>
  <si>
    <t>85201-2500.65</t>
  </si>
  <si>
    <t>85251-3000.65</t>
  </si>
  <si>
    <t>85300+0.65</t>
  </si>
  <si>
    <t>890-500.65</t>
  </si>
  <si>
    <t>8951-1000.65</t>
  </si>
  <si>
    <t>89101-1500.65</t>
  </si>
  <si>
    <t>89151-2000.65</t>
  </si>
  <si>
    <t>89201-2500.65</t>
  </si>
  <si>
    <t>89251-3000.65</t>
  </si>
  <si>
    <t>89300+0.65</t>
  </si>
  <si>
    <t>1000-500.65</t>
  </si>
  <si>
    <t>10051-1000.65</t>
  </si>
  <si>
    <t>100101-1500.65</t>
  </si>
  <si>
    <t>100151-2000.65</t>
  </si>
  <si>
    <t>100201-2500.65</t>
  </si>
  <si>
    <t>100251-3000.65</t>
  </si>
  <si>
    <t>100300+0.65</t>
  </si>
  <si>
    <t>1060-500.65</t>
  </si>
  <si>
    <t>10651-1000.65</t>
  </si>
  <si>
    <t>106101-1500.65</t>
  </si>
  <si>
    <t>106151-2000.65</t>
  </si>
  <si>
    <t>106201-2500.65</t>
  </si>
  <si>
    <t>106251-3000.65</t>
  </si>
  <si>
    <t>106300+0.65</t>
  </si>
  <si>
    <t>1170-500.65</t>
  </si>
  <si>
    <t>11751-1000.65</t>
  </si>
  <si>
    <t>117101-1500.65</t>
  </si>
  <si>
    <t>117151-2000.65</t>
  </si>
  <si>
    <t>117201-2500.65</t>
  </si>
  <si>
    <t>117251-3000.65</t>
  </si>
  <si>
    <t>117300+0.65</t>
  </si>
  <si>
    <t>1250-500.65</t>
  </si>
  <si>
    <t>12551-1000.65</t>
  </si>
  <si>
    <t>125101-1500.65</t>
  </si>
  <si>
    <t>125151-2000.65</t>
  </si>
  <si>
    <t>125201-2500.65</t>
  </si>
  <si>
    <t>125251-3000.65</t>
  </si>
  <si>
    <t>125300+0.65</t>
  </si>
  <si>
    <t>1330-500.65</t>
  </si>
  <si>
    <t>13351-1000.65</t>
  </si>
  <si>
    <t>133101-1500.65</t>
  </si>
  <si>
    <t>133151-2000.65</t>
  </si>
  <si>
    <t>133201-2500.65</t>
  </si>
  <si>
    <t>133251-3000.65</t>
  </si>
  <si>
    <t>133300+0.65</t>
  </si>
  <si>
    <t>600-500.91</t>
  </si>
  <si>
    <t>6051-1000.91</t>
  </si>
  <si>
    <t>60101-1500.91</t>
  </si>
  <si>
    <t>60151-2000.91</t>
  </si>
  <si>
    <t>60201-2500.91</t>
  </si>
  <si>
    <t>60251-3000.91</t>
  </si>
  <si>
    <t>60300+0.91</t>
  </si>
  <si>
    <t>720-500.91</t>
  </si>
  <si>
    <t>7251-1000.91</t>
  </si>
  <si>
    <t>72101-1500.91</t>
  </si>
  <si>
    <t>72151-2000.91</t>
  </si>
  <si>
    <t>72201-2500.91</t>
  </si>
  <si>
    <t>72251-3000.91</t>
  </si>
  <si>
    <t>72300+0.91</t>
  </si>
  <si>
    <t>810-500.91</t>
  </si>
  <si>
    <t>8151-1000.91</t>
  </si>
  <si>
    <t>81101-1500.91</t>
  </si>
  <si>
    <t>81151-2000.91</t>
  </si>
  <si>
    <t>81201-2500.91</t>
  </si>
  <si>
    <t>81251-3000.91</t>
  </si>
  <si>
    <t>81300+0.91</t>
  </si>
  <si>
    <t>850-500.91</t>
  </si>
  <si>
    <t>8551-1000.91</t>
  </si>
  <si>
    <t>85101-1500.91</t>
  </si>
  <si>
    <t>85151-2000.91</t>
  </si>
  <si>
    <t>85201-2500.91</t>
  </si>
  <si>
    <t>85251-3000.91</t>
  </si>
  <si>
    <t>85300+0.91</t>
  </si>
  <si>
    <t>890-500.91</t>
  </si>
  <si>
    <t>8951-1000.91</t>
  </si>
  <si>
    <t>89101-1500.91</t>
  </si>
  <si>
    <t>89151-2000.91</t>
  </si>
  <si>
    <t>89201-2500.91</t>
  </si>
  <si>
    <t>89251-3000.91</t>
  </si>
  <si>
    <t>89300+0.91</t>
  </si>
  <si>
    <t>1000-500.91</t>
  </si>
  <si>
    <t>10051-1000.91</t>
  </si>
  <si>
    <t>100101-1500.91</t>
  </si>
  <si>
    <t>100151-2000.91</t>
  </si>
  <si>
    <t>100201-2500.91</t>
  </si>
  <si>
    <t>100251-3000.91</t>
  </si>
  <si>
    <t>100300+0.91</t>
  </si>
  <si>
    <t>1060-500.91</t>
  </si>
  <si>
    <t>10651-1000.91</t>
  </si>
  <si>
    <t>106101-1500.91</t>
  </si>
  <si>
    <t>106151-2000.91</t>
  </si>
  <si>
    <t>106201-2500.91</t>
  </si>
  <si>
    <t>106251-3000.91</t>
  </si>
  <si>
    <t>106300+0.91</t>
  </si>
  <si>
    <t>1170-500.91</t>
  </si>
  <si>
    <t>11751-1000.91</t>
  </si>
  <si>
    <t>117101-1500.91</t>
  </si>
  <si>
    <t>117151-2000.91</t>
  </si>
  <si>
    <t>117201-2500.91</t>
  </si>
  <si>
    <t>117251-3000.91</t>
  </si>
  <si>
    <t>117300+0.91</t>
  </si>
  <si>
    <t>1250-500.91</t>
  </si>
  <si>
    <t>12551-1000.91</t>
  </si>
  <si>
    <t>125101-1500.91</t>
  </si>
  <si>
    <t>125151-2000.91</t>
  </si>
  <si>
    <t>125201-2500.91</t>
  </si>
  <si>
    <t>125251-3000.91</t>
  </si>
  <si>
    <t>125300+0.91</t>
  </si>
  <si>
    <t>1330-500.91</t>
  </si>
  <si>
    <t>13351-1000.91</t>
  </si>
  <si>
    <t>133101-1500.91</t>
  </si>
  <si>
    <t>133151-2000.91</t>
  </si>
  <si>
    <t>133201-2500.91</t>
  </si>
  <si>
    <t>133251-3000.91</t>
  </si>
  <si>
    <t>133300+0.91</t>
  </si>
  <si>
    <t>Instance</t>
  </si>
  <si>
    <t>Avg%picked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</si>
</sst>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43" fontId="0" fillId="0" borderId="0" xfId="2" applyFont="1"/>
    <xf numFmtId="0" fontId="0" fillId="3" borderId="0" xfId="0" applyFill="1"/>
    <xf numFmtId="0" fontId="0" fillId="4" borderId="0" xfId="0" applyFill="1"/>
    <xf numFmtId="165" fontId="0" fillId="0" borderId="0" xfId="2" applyNumberFormat="1" applyFont="1"/>
    <xf numFmtId="0" fontId="0" fillId="5" borderId="0" xfId="0" applyFill="1"/>
    <xf numFmtId="0" fontId="0" fillId="6" borderId="0" xfId="0" applyFill="1"/>
    <xf numFmtId="2" fontId="0" fillId="0" borderId="0" xfId="0" applyNumberFormat="1"/>
    <xf numFmtId="0" fontId="0" fillId="7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CalcSheet!$AZ$47</c:f>
              <c:strCache>
                <c:ptCount val="1"/>
                <c:pt idx="0">
                  <c:v>C0D2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CalcSheet!$AY$48:$AY$52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CalcSheet!$AZ$48:$AZ$52</c:f>
              <c:numCache>
                <c:formatCode>General</c:formatCode>
                <c:ptCount val="5"/>
                <c:pt idx="0">
                  <c:v>2.557784565378892</c:v>
                </c:pt>
                <c:pt idx="1">
                  <c:v>2.0794449493162137</c:v>
                </c:pt>
                <c:pt idx="2">
                  <c:v>1.6429337827134241</c:v>
                </c:pt>
                <c:pt idx="3">
                  <c:v>1.2448867581261691</c:v>
                </c:pt>
                <c:pt idx="4">
                  <c:v>0.88220606848214378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E-457E-9FAE-27032B5A30D8}"/>
            </c:ext>
          </c:extLst>
        </c:ser>
        <c:ser>
          <c:idx val="1"/>
          <c:order val="1"/>
          <c:tx>
            <c:strRef>
              <c:f>CalcSheet!$BA$47</c:f>
              <c:strCache>
                <c:ptCount val="1"/>
                <c:pt idx="0">
                  <c:v>C3D1 (Purchase)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CalcSheet!$AY$48:$AY$52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CalcSheet!$BA$48:$BA$52</c:f>
              <c:numCache>
                <c:formatCode>General</c:formatCode>
                <c:ptCount val="5"/>
                <c:pt idx="0">
                  <c:v>-11.11911053544781</c:v>
                </c:pt>
                <c:pt idx="1">
                  <c:v>-2.3091758375336013</c:v>
                </c:pt>
                <c:pt idx="2">
                  <c:v>0.31581458529713302</c:v>
                </c:pt>
                <c:pt idx="3">
                  <c:v>1.4203916069947349</c:v>
                </c:pt>
                <c:pt idx="4">
                  <c:v>1.9353887065150002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E-457E-9FAE-27032B5A30D8}"/>
            </c:ext>
          </c:extLst>
        </c:ser>
        <c:ser>
          <c:idx val="2"/>
          <c:order val="2"/>
          <c:tx>
            <c:strRef>
              <c:f>CalcSheet!$BB$47</c:f>
              <c:strCache>
                <c:ptCount val="1"/>
                <c:pt idx="0">
                  <c:v>C3D1 (Subscription)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CalcSheet!$AY$48:$AY$52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CalcSheet!$BB$48:$BB$52</c:f>
              <c:numCache>
                <c:formatCode>General</c:formatCode>
                <c:ptCount val="5"/>
                <c:pt idx="0">
                  <c:v>-5.1306896223793501</c:v>
                </c:pt>
                <c:pt idx="1">
                  <c:v>-0.46001735028787216</c:v>
                </c:pt>
                <c:pt idx="2">
                  <c:v>0.85461601964973966</c:v>
                </c:pt>
                <c:pt idx="3">
                  <c:v>1.3513307119788172</c:v>
                </c:pt>
                <c:pt idx="4">
                  <c:v>1.536022193571086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E-457E-9FAE-27032B5A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48863"/>
        <c:axId val="600416271"/>
      </c:barChart>
      <c:catAx>
        <c:axId val="58324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16271"/>
        <c:crosses val="autoZero"/>
        <c:auto val="1"/>
        <c:lblAlgn val="ctr"/>
        <c:lblOffset val="100"/>
        <c:noMultiLvlLbl val="0"/>
      </c:catAx>
      <c:valAx>
        <c:axId val="60041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8937007874016"/>
          <c:y val="2.536960593551672E-2"/>
          <c:w val="0.89521062992125988"/>
          <c:h val="0.792724627666345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'ACYOM-5-Years'!$O$1</c:f>
              <c:strCache>
                <c:ptCount val="1"/>
                <c:pt idx="0">
                  <c:v>C0D2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'ACYOM-5-Years'!$N$2:$N$11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'ACYOM-5-Years'!$O$2:$O$11</c:f>
              <c:numCache>
                <c:formatCode>General</c:formatCode>
                <c:ptCount val="10"/>
                <c:pt idx="0">
                  <c:v>-4.5547869772262466</c:v>
                </c:pt>
                <c:pt idx="1">
                  <c:v>-1.7126066889945701</c:v>
                </c:pt>
                <c:pt idx="2">
                  <c:v>-1.5983521933809428</c:v>
                </c:pt>
                <c:pt idx="3">
                  <c:v>-0.65225780052001281</c:v>
                </c:pt>
                <c:pt idx="4">
                  <c:v>-0.20850913551919703</c:v>
                </c:pt>
                <c:pt idx="5">
                  <c:v>0.88220606848214378</c:v>
                </c:pt>
                <c:pt idx="6">
                  <c:v>-1.725836507434392</c:v>
                </c:pt>
                <c:pt idx="7">
                  <c:v>0.36797944094605767</c:v>
                </c:pt>
                <c:pt idx="8">
                  <c:v>-5.3074087428934726</c:v>
                </c:pt>
                <c:pt idx="9">
                  <c:v>-4.4209231061564109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9-48DA-8EA8-CCC95BE75199}"/>
            </c:ext>
          </c:extLst>
        </c:ser>
        <c:ser>
          <c:idx val="1"/>
          <c:order val="1"/>
          <c:tx>
            <c:strRef>
              <c:f>'ACYOM-5-Years'!$P$1</c:f>
              <c:strCache>
                <c:ptCount val="1"/>
                <c:pt idx="0">
                  <c:v>C3D1 (Purchase)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'ACYOM-5-Years'!$N$2:$N$11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'ACYOM-5-Years'!$P$2:$P$11</c:f>
              <c:numCache>
                <c:formatCode>General</c:formatCode>
                <c:ptCount val="10"/>
                <c:pt idx="0">
                  <c:v>-2.9066409085424754</c:v>
                </c:pt>
                <c:pt idx="1">
                  <c:v>-0.78143692278845056</c:v>
                </c:pt>
                <c:pt idx="2">
                  <c:v>0.93462889715369002</c:v>
                </c:pt>
                <c:pt idx="3">
                  <c:v>1.0091912310059943</c:v>
                </c:pt>
                <c:pt idx="4">
                  <c:v>1.7466874635212721</c:v>
                </c:pt>
                <c:pt idx="5">
                  <c:v>2.9173802405273475</c:v>
                </c:pt>
                <c:pt idx="6">
                  <c:v>1.5057828632811663</c:v>
                </c:pt>
                <c:pt idx="7">
                  <c:v>5.1963328805143743</c:v>
                </c:pt>
                <c:pt idx="8">
                  <c:v>2.4360129548912046</c:v>
                </c:pt>
                <c:pt idx="9">
                  <c:v>3.534999067002051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9-48DA-8EA8-CCC95BE75199}"/>
            </c:ext>
          </c:extLst>
        </c:ser>
        <c:ser>
          <c:idx val="2"/>
          <c:order val="2"/>
          <c:tx>
            <c:strRef>
              <c:f>'ACYOM-5-Years'!$Q$1</c:f>
              <c:strCache>
                <c:ptCount val="1"/>
                <c:pt idx="0">
                  <c:v>C3D1 (Subscription)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'ACYOM-5-Years'!$N$2:$N$11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'ACYOM-5-Years'!$Q$2:$Q$11</c:f>
              <c:numCache>
                <c:formatCode>General</c:formatCode>
                <c:ptCount val="10"/>
                <c:pt idx="0">
                  <c:v>-3.3060074214863908</c:v>
                </c:pt>
                <c:pt idx="1">
                  <c:v>-1.1808034357323636</c:v>
                </c:pt>
                <c:pt idx="2">
                  <c:v>0.53526238420977745</c:v>
                </c:pt>
                <c:pt idx="3">
                  <c:v>0.60982471806208061</c:v>
                </c:pt>
                <c:pt idx="4">
                  <c:v>1.3473209505773576</c:v>
                </c:pt>
                <c:pt idx="5">
                  <c:v>2.5180137275834329</c:v>
                </c:pt>
                <c:pt idx="6">
                  <c:v>1.1064163503372526</c:v>
                </c:pt>
                <c:pt idx="7">
                  <c:v>4.7969663675704606</c:v>
                </c:pt>
                <c:pt idx="8">
                  <c:v>2.0366464419472918</c:v>
                </c:pt>
                <c:pt idx="9">
                  <c:v>3.1356325540581373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9-48DA-8EA8-CCC95BE7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95631"/>
        <c:axId val="480994191"/>
      </c:barChart>
      <c:catAx>
        <c:axId val="48099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94191"/>
        <c:crosses val="autoZero"/>
        <c:auto val="1"/>
        <c:lblAlgn val="ctr"/>
        <c:lblOffset val="100"/>
        <c:noMultiLvlLbl val="0"/>
      </c:catAx>
      <c:valAx>
        <c:axId val="48099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1128940</xdr:colOff>
      <xdr:row>52</xdr:row>
      <xdr:rowOff>131536</xdr:rowOff>
    </xdr:from>
    <xdr:to>
      <xdr:col>43</xdr:col>
      <xdr:colOff>635908</xdr:colOff>
      <xdr:row>68</xdr:row>
      <xdr:rowOff>34926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E5DC98-CF05-2268-7DF5-0602F7B44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549275</xdr:colOff>
      <xdr:row>12</xdr:row>
      <xdr:rowOff>39687</xdr:rowOff>
    </xdr:from>
    <xdr:to>
      <xdr:col>18</xdr:col>
      <xdr:colOff>149225</xdr:colOff>
      <xdr:row>27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C371-0F11-B84D-568C-01EE683A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92"/>
  <sheetViews>
    <sheetView tabSelected="1" zoomScale="70" zoomScaleNormal="70" workbookViewId="0">
      <selection activeCell="E31" sqref="E31"/>
    </sheetView>
  </sheetViews>
  <sheetFormatPr defaultRowHeight="14.5" x14ac:dyDescent="0.35"/>
  <cols>
    <col min="1" max="1" width="34.1796875" bestFit="1" customWidth="1"/>
    <col min="2" max="2" width="17.453125" bestFit="1" customWidth="1"/>
    <col min="3" max="3" width="102.36328125" bestFit="1" customWidth="1"/>
    <col min="4" max="4" width="38.81640625" bestFit="1" customWidth="1"/>
    <col min="5" max="5" width="34.453125" bestFit="1" customWidth="1"/>
    <col min="6" max="6" width="80.26953125" bestFit="1" customWidth="1"/>
    <col min="7" max="7" width="17" bestFit="1" customWidth="1"/>
    <col min="8" max="8" width="7.1796875" bestFit="1" customWidth="1"/>
    <col min="9" max="9" width="22.1796875" bestFit="1" customWidth="1"/>
    <col min="10" max="10" width="16.81640625" bestFit="1" customWidth="1"/>
    <col min="11" max="11" width="7.1796875" customWidth="1"/>
    <col min="12" max="12" width="12.6328125" bestFit="1" customWidth="1"/>
    <col min="15" max="15" width="16.36328125" bestFit="1" customWidth="1"/>
    <col min="16" max="16" width="39" bestFit="1" customWidth="1"/>
    <col min="17" max="17" width="16.453125" bestFit="1" customWidth="1"/>
    <col min="18" max="18" width="10.36328125" bestFit="1" customWidth="1"/>
    <col min="19" max="19" width="19.36328125" bestFit="1" customWidth="1"/>
    <col min="20" max="20" width="24.54296875" bestFit="1" customWidth="1"/>
    <col min="21" max="21" width="29.453125" bestFit="1" customWidth="1"/>
    <col min="22" max="23" width="29.453125" customWidth="1"/>
    <col min="26" max="26" width="10.81640625" bestFit="1" customWidth="1"/>
    <col min="27" max="27" width="10.81640625" style="14" customWidth="1"/>
    <col min="28" max="28" width="10.81640625" customWidth="1"/>
    <col min="31" max="31" width="14.7265625" bestFit="1" customWidth="1"/>
    <col min="32" max="32" width="11.81640625" bestFit="1" customWidth="1"/>
    <col min="33" max="33" width="11.81640625" customWidth="1"/>
    <col min="35" max="35" width="17.7265625" bestFit="1" customWidth="1"/>
    <col min="37" max="37" width="4.6328125" bestFit="1" customWidth="1"/>
    <col min="38" max="38" width="11.81640625" bestFit="1" customWidth="1"/>
    <col min="39" max="39" width="17.7265625" bestFit="1" customWidth="1"/>
    <col min="40" max="40" width="18.6328125" bestFit="1" customWidth="1"/>
    <col min="41" max="41" width="11.81640625" bestFit="1" customWidth="1"/>
    <col min="42" max="43" width="12" bestFit="1" customWidth="1"/>
    <col min="44" max="44" width="15.36328125" bestFit="1" customWidth="1"/>
    <col min="45" max="45" width="18.6328125" bestFit="1" customWidth="1"/>
    <col min="47" max="47" width="12.54296875" bestFit="1" customWidth="1"/>
    <col min="48" max="49" width="12.54296875" customWidth="1"/>
    <col min="52" max="52" width="14.1796875" bestFit="1" customWidth="1"/>
    <col min="53" max="53" width="16.453125" bestFit="1" customWidth="1"/>
    <col min="54" max="54" width="19.08984375" bestFit="1" customWidth="1"/>
    <col min="55" max="55" width="14.1796875" bestFit="1" customWidth="1"/>
    <col min="58" max="58" width="16.453125" bestFit="1" customWidth="1"/>
    <col min="59" max="59" width="14.1796875" bestFit="1" customWidth="1"/>
    <col min="67" max="67" width="14.1796875" bestFit="1" customWidth="1"/>
    <col min="68" max="68" width="19.08984375" bestFit="1" customWidth="1"/>
    <col min="70" max="70" width="11.81640625" bestFit="1" customWidth="1"/>
  </cols>
  <sheetData>
    <row r="1" spans="1:73" x14ac:dyDescent="0.35">
      <c r="A1" s="1" t="s">
        <v>0</v>
      </c>
      <c r="B1" t="s">
        <v>1</v>
      </c>
      <c r="C1" t="s">
        <v>2</v>
      </c>
      <c r="I1" s="1" t="s">
        <v>3</v>
      </c>
      <c r="J1">
        <f>1.1</f>
        <v>1.1000000000000001</v>
      </c>
      <c r="Y1" t="s">
        <v>80</v>
      </c>
      <c r="AD1" t="s">
        <v>80</v>
      </c>
      <c r="AH1" t="s">
        <v>80</v>
      </c>
      <c r="AY1" t="s">
        <v>11</v>
      </c>
      <c r="AZ1" t="s">
        <v>10</v>
      </c>
      <c r="BA1" t="s">
        <v>91</v>
      </c>
      <c r="BB1" t="s">
        <v>92</v>
      </c>
      <c r="BD1" t="s">
        <v>11</v>
      </c>
      <c r="BE1" t="s">
        <v>10</v>
      </c>
      <c r="BF1" t="s">
        <v>91</v>
      </c>
      <c r="BG1" t="s">
        <v>86</v>
      </c>
      <c r="BH1" t="s">
        <v>99</v>
      </c>
      <c r="BI1" t="s">
        <v>100</v>
      </c>
      <c r="BJ1" t="s">
        <v>101</v>
      </c>
      <c r="BK1" t="s">
        <v>102</v>
      </c>
      <c r="BN1" t="s">
        <v>11</v>
      </c>
      <c r="BO1" t="s">
        <v>10</v>
      </c>
      <c r="BP1" t="s">
        <v>92</v>
      </c>
      <c r="BQ1" t="s">
        <v>86</v>
      </c>
      <c r="BR1" t="s">
        <v>99</v>
      </c>
      <c r="BS1" t="s">
        <v>100</v>
      </c>
      <c r="BT1" t="s">
        <v>101</v>
      </c>
      <c r="BU1" t="s">
        <v>102</v>
      </c>
    </row>
    <row r="2" spans="1:73" x14ac:dyDescent="0.35">
      <c r="A2" t="s">
        <v>4</v>
      </c>
      <c r="B2">
        <v>0.3</v>
      </c>
      <c r="D2" t="s">
        <v>5</v>
      </c>
      <c r="E2" t="s">
        <v>6</v>
      </c>
      <c r="F2" t="s">
        <v>7</v>
      </c>
      <c r="I2" t="s">
        <v>8</v>
      </c>
      <c r="J2" t="s">
        <v>9</v>
      </c>
      <c r="O2" t="s">
        <v>170</v>
      </c>
      <c r="P2" t="s">
        <v>87</v>
      </c>
      <c r="Q2" t="s">
        <v>75</v>
      </c>
      <c r="R2" t="s">
        <v>76</v>
      </c>
      <c r="S2" t="s">
        <v>77</v>
      </c>
      <c r="T2" t="s">
        <v>78</v>
      </c>
      <c r="U2" t="s">
        <v>79</v>
      </c>
      <c r="V2" t="s">
        <v>120</v>
      </c>
      <c r="Y2" t="s">
        <v>11</v>
      </c>
      <c r="Z2" t="s">
        <v>88</v>
      </c>
      <c r="AB2" t="s">
        <v>93</v>
      </c>
      <c r="AD2" t="s">
        <v>11</v>
      </c>
      <c r="AE2" t="s">
        <v>91</v>
      </c>
      <c r="AF2" t="s">
        <v>93</v>
      </c>
      <c r="AH2" t="s">
        <v>11</v>
      </c>
      <c r="AI2" t="s">
        <v>92</v>
      </c>
      <c r="AS2" t="s">
        <v>463</v>
      </c>
      <c r="AU2" t="s">
        <v>464</v>
      </c>
      <c r="AW2">
        <v>0</v>
      </c>
      <c r="AY2">
        <v>0</v>
      </c>
      <c r="AZ2">
        <f>Z3+Z14+Z24+Z34+Z44+Z54+Z64</f>
        <v>0</v>
      </c>
      <c r="BA2">
        <f>AE3+AE14+AE24+AE34+AE44+AE54+AE64+Q17</f>
        <v>230420</v>
      </c>
      <c r="BB2">
        <f>Q27+AE3+AE14+AE24+AE34+AE44+AE54+AE64</f>
        <v>125420</v>
      </c>
      <c r="BD2">
        <v>0</v>
      </c>
      <c r="BE2">
        <f>Z3+Z14+Z24+Z34+Z44+Z54+Z64</f>
        <v>0</v>
      </c>
      <c r="BF2">
        <f>BA2</f>
        <v>230420</v>
      </c>
      <c r="BG2">
        <f>AE3+AE14+AE24+AE34+AE44+AE54+Z64+Q17</f>
        <v>230420</v>
      </c>
      <c r="BH2">
        <f>AE3+AE14+AE24+AE34+AE44+Z54+Z64+Q17</f>
        <v>230420</v>
      </c>
      <c r="BI2">
        <f>AE3+AE14+AE24+AE34+Z44+Z54+Z64+Q17</f>
        <v>230420</v>
      </c>
      <c r="BJ2">
        <f>AE3+AE14+AE24+Z34+Z44+Z54+Z64+Q17</f>
        <v>230420</v>
      </c>
      <c r="BK2">
        <f>AE3+AE14+Z24+Z34+Z44+Z54+Z64+Q17</f>
        <v>230420</v>
      </c>
      <c r="BN2">
        <v>0</v>
      </c>
      <c r="BO2">
        <f>Z3+Z14+Z24+Z34+Z44+Z54+Z64</f>
        <v>0</v>
      </c>
      <c r="BP2">
        <f>AE3+AE14+AE24+AE34+AE44+AE54+AE64+Q27</f>
        <v>125420</v>
      </c>
      <c r="BQ2">
        <f>AE3+AE14+AE24+AE34+AE44+AE54+Z64+Q27</f>
        <v>125420</v>
      </c>
      <c r="BR2">
        <f>AE3+AE14+AE24+AE34+AE44+Z54+Z64+Q27</f>
        <v>125420</v>
      </c>
      <c r="BS2">
        <f>AE3+AE14+AE24+AE34+Z44+Z54+Z64+Q27</f>
        <v>125420</v>
      </c>
      <c r="BT2">
        <f>AE3+AE14+AE24+Z34+Z44+Z54+Z64+Q27</f>
        <v>125420</v>
      </c>
      <c r="BU2">
        <f>AE3+AE14+Z24+Z34+Z44+Z54+Z64+Q27</f>
        <v>125420</v>
      </c>
    </row>
    <row r="3" spans="1:73" x14ac:dyDescent="0.35">
      <c r="A3" t="s">
        <v>12</v>
      </c>
      <c r="B3">
        <v>17.5</v>
      </c>
      <c r="D3">
        <v>1</v>
      </c>
      <c r="E3">
        <v>0.06</v>
      </c>
      <c r="F3">
        <f>$E$20*E3</f>
        <v>44457.335999999996</v>
      </c>
      <c r="I3">
        <v>0</v>
      </c>
      <c r="J3">
        <f t="shared" ref="J3:J11" si="0">1/(($J$1)^I3)</f>
        <v>1</v>
      </c>
      <c r="O3" t="str">
        <f>_xlfn.CONCAT($E$30,P3,$F$9)</f>
        <v>1000-500.78</v>
      </c>
      <c r="P3" t="s">
        <v>80</v>
      </c>
      <c r="Q3" s="6">
        <v>6.7199999999999996E-2</v>
      </c>
      <c r="R3" s="4">
        <v>32</v>
      </c>
      <c r="S3" s="5">
        <f>VLOOKUP(O3,BucketData!$C$2:$H$281,5,FALSE)</f>
        <v>0.73089999999999988</v>
      </c>
      <c r="T3" s="5">
        <f>VLOOKUP(O3,BucketData!$C$2:$H$281,6,FALSE)</f>
        <v>0.43049056576593342</v>
      </c>
      <c r="U3">
        <v>0</v>
      </c>
      <c r="V3">
        <f>SUMPRODUCT(Q3:Q9,S3:S9)</f>
        <v>0.91123791999999981</v>
      </c>
      <c r="W3">
        <f>ROUNDUP((R3/0.78)*0.52,0)</f>
        <v>22</v>
      </c>
      <c r="Y3">
        <v>0</v>
      </c>
      <c r="Z3">
        <v>0</v>
      </c>
      <c r="AB3">
        <f>Z3</f>
        <v>0</v>
      </c>
      <c r="AD3">
        <v>0</v>
      </c>
      <c r="AE3">
        <f>0</f>
        <v>0</v>
      </c>
      <c r="AF3">
        <f>AE3</f>
        <v>0</v>
      </c>
      <c r="AH3">
        <v>0</v>
      </c>
      <c r="AI3">
        <f>AE3</f>
        <v>0</v>
      </c>
      <c r="AK3" t="s">
        <v>11</v>
      </c>
      <c r="AS3" t="s">
        <v>151</v>
      </c>
      <c r="AT3" s="12">
        <v>100</v>
      </c>
      <c r="AW3">
        <f>AA4+AA15+AA25+AA35+AA45+AA55+AA65</f>
        <v>319993.9587835031</v>
      </c>
      <c r="AY3">
        <v>1</v>
      </c>
      <c r="AZ3">
        <f>Z4+Z15+Z25+Z35+Z45+Z55+Z65</f>
        <v>290903.59889409371</v>
      </c>
      <c r="BA3">
        <f>AE4+AE15+AE25+AE35+AE45+AE55+AE65+Q18</f>
        <v>238186.86334849684</v>
      </c>
      <c r="BB3">
        <f t="shared" ref="BB3:BB7" si="1">Q28+AE4+AE15+AE25+AE35+AE45+AE55+AE65</f>
        <v>269277.7724394059</v>
      </c>
      <c r="BD3">
        <v>1</v>
      </c>
      <c r="BE3">
        <f t="shared" ref="BE3:BE7" si="2">Z4+Z15+Z25+Z35+Z45+Z55+Z65</f>
        <v>290903.59889409371</v>
      </c>
      <c r="BF3">
        <f t="shared" ref="BF3:BF7" si="3">BA3</f>
        <v>238186.86334849684</v>
      </c>
      <c r="BG3">
        <f t="shared" ref="BG3:BG7" si="4">AE4+AE15+AE25+AE35+AE45+AE55+Z65+Q18</f>
        <v>244756.2729509011</v>
      </c>
      <c r="BH3">
        <f t="shared" ref="BH3:BH7" si="5">AE4+AE15+AE25+AE35+AE45+Z55+Z65+Q18</f>
        <v>261235.24741560759</v>
      </c>
      <c r="BI3">
        <f t="shared" ref="BI3:BI7" si="6">AE4+AE15+AE25+AE35+Z45+Z55+Z65+Q18</f>
        <v>278043.15548553312</v>
      </c>
      <c r="BJ3">
        <f t="shared" ref="BJ3:BJ7" si="7">AE4+AE15+AE25+Z35+Z45+Z55+Z65+Q18</f>
        <v>286204.28946177562</v>
      </c>
      <c r="BK3">
        <f t="shared" ref="BK3:BK7" si="8">AE4+AE15+Z25+Z35+Z45+Z55+Z65+Q18</f>
        <v>294594.00264701911</v>
      </c>
      <c r="BN3">
        <v>1</v>
      </c>
      <c r="BO3">
        <f t="shared" ref="BO3:BO7" si="9">Z4+Z15+Z25+Z35+Z45+Z55+Z65</f>
        <v>290903.59889409371</v>
      </c>
      <c r="BP3">
        <f t="shared" ref="BP3:BP7" si="10">AE4+AE15+AE25+AE35+AE45+AE55+AE65+Q28</f>
        <v>269277.7724394059</v>
      </c>
      <c r="BQ3">
        <f t="shared" ref="BQ3:BQ7" si="11">AE4+AE15+AE25+AE35+AE45+AE55+Z65+Q28</f>
        <v>275847.18204181019</v>
      </c>
      <c r="BR3">
        <f t="shared" ref="BR3:BR7" si="12">AE4+AE15+AE25+AE35+AE45+Z55+Z65+Q28</f>
        <v>292326.15650651668</v>
      </c>
      <c r="BS3">
        <f t="shared" ref="BS3:BS7" si="13">AE4+AE15+AE25+AE35+Z45+Z55+Z65+Q28</f>
        <v>309134.06457644224</v>
      </c>
      <c r="BT3">
        <f t="shared" ref="BT3:BT7" si="14">AE4+AE15+AE25+Z35+Z45+Z55+Z65+Q28</f>
        <v>317295.19855268474</v>
      </c>
      <c r="BU3">
        <f t="shared" ref="BU3:BU7" si="15">AE4+AE15+Z25+Z35+Z45+Z55+Z65+Q28</f>
        <v>325684.91173792823</v>
      </c>
    </row>
    <row r="4" spans="1:73" x14ac:dyDescent="0.35">
      <c r="A4" t="s">
        <v>13</v>
      </c>
      <c r="B4" s="2">
        <v>2.8000000000000001E-2</v>
      </c>
      <c r="D4">
        <v>2</v>
      </c>
      <c r="E4" s="12">
        <v>0.12</v>
      </c>
      <c r="F4">
        <f>$E$20*E4</f>
        <v>88914.671999999991</v>
      </c>
      <c r="I4">
        <v>1</v>
      </c>
      <c r="J4">
        <f t="shared" si="0"/>
        <v>0.90909090909090906</v>
      </c>
      <c r="O4" t="str">
        <f t="shared" ref="O4:O9" si="16">_xlfn.CONCAT($E$30,P4,$F$9)</f>
        <v>10051-1000.78</v>
      </c>
      <c r="P4" t="s">
        <v>81</v>
      </c>
      <c r="Q4" s="6">
        <v>0.1429</v>
      </c>
      <c r="R4" s="4">
        <v>61</v>
      </c>
      <c r="S4" s="5">
        <f>VLOOKUP(O4,BucketData!$C$2:$H$281,5,FALSE)</f>
        <v>0.77510000000000023</v>
      </c>
      <c r="T4" s="5">
        <f>VLOOKUP(O4,BucketData!$C$2:$H$281,6,FALSE)</f>
        <v>0.51884843867409725</v>
      </c>
      <c r="U4">
        <v>0</v>
      </c>
      <c r="W4">
        <f t="shared" ref="W4:W9" si="17">ROUNDUP((R4/0.78)*0.52,0)</f>
        <v>41</v>
      </c>
      <c r="Y4">
        <v>1</v>
      </c>
      <c r="Z4">
        <f>(2*$B$7*$B$6*(J15+K15)*$Q$3+$B$24*0+$B$38*$Q$3+$B$44*$Q$3)*J4</f>
        <v>18070.85307912192</v>
      </c>
      <c r="AA4" s="14">
        <f>(2*$B$7*$B$6*(J15+K15)*$Q$3+$B$24*0+$B$38*$Q$3+$B$44*$Q$3)</f>
        <v>19877.938387034112</v>
      </c>
      <c r="AB4">
        <f>AB3+Z4</f>
        <v>18070.85307912192</v>
      </c>
      <c r="AD4">
        <v>1</v>
      </c>
      <c r="AE4">
        <f>((J15+K15)*$B$6*$B$7*1*$Q$3+($E$4*$T$3*$B$6*$E$16*$E$17*$Q$3)+$G$9*0+($E$16*$B$6*(1-$S$3)*$E$37*$E$43*$Q$3)+($E$16*$B$6*(1-$S$3)*(1/$E$17)*$E$41*$E$42*$E$43*$Q$3))*J4</f>
        <v>12549.970984964979</v>
      </c>
      <c r="AF4">
        <f>AF3+AE4</f>
        <v>12549.970984964979</v>
      </c>
      <c r="AH4">
        <v>1</v>
      </c>
      <c r="AI4">
        <f t="shared" ref="AI4:AI10" si="18">AE4</f>
        <v>12549.970984964979</v>
      </c>
      <c r="AK4">
        <v>0</v>
      </c>
      <c r="AL4">
        <f t="shared" ref="AL4:AL9" si="19">AE3+AE14+AE24+AE34+AE44+AE54+AE64+Q17</f>
        <v>230420</v>
      </c>
      <c r="AM4">
        <f>AL4</f>
        <v>230420</v>
      </c>
      <c r="AS4" t="s">
        <v>118</v>
      </c>
      <c r="AT4">
        <f>AT3*E37*E43*AU4</f>
        <v>29.534295999999998</v>
      </c>
      <c r="AU4">
        <f>VLOOKUP(AT3,'Avg%picked'!$B$2:$D$11,3,FALSE)</f>
        <v>0.94540000000000002</v>
      </c>
      <c r="AW4">
        <f t="shared" ref="AW4:AW9" si="20">AA5+AA16+AA26+AA36+AA46+AA56+AA66</f>
        <v>330808.33475215168</v>
      </c>
      <c r="AY4">
        <v>2</v>
      </c>
      <c r="AZ4">
        <f>Z5+Z16+Z26+Z36+Z46+Z56+Z66</f>
        <v>273395.31797698484</v>
      </c>
      <c r="BA4">
        <f t="shared" ref="BA3:BA7" si="21">AE5+AE16+AE26+AE36+AE46+AE56+AE66+Q19</f>
        <v>221017.45334518247</v>
      </c>
      <c r="BB4">
        <f t="shared" si="1"/>
        <v>249281.91615509981</v>
      </c>
      <c r="BD4">
        <v>2</v>
      </c>
      <c r="BE4">
        <f t="shared" si="2"/>
        <v>273395.31797698484</v>
      </c>
      <c r="BF4">
        <f t="shared" si="3"/>
        <v>221017.45334518247</v>
      </c>
      <c r="BG4">
        <f t="shared" si="4"/>
        <v>227365.0564677027</v>
      </c>
      <c r="BH4">
        <f t="shared" si="5"/>
        <v>243397.54447410456</v>
      </c>
      <c r="BI4">
        <f t="shared" si="6"/>
        <v>259729.06303070564</v>
      </c>
      <c r="BJ4">
        <f t="shared" si="7"/>
        <v>267673.85334121261</v>
      </c>
      <c r="BK4">
        <f t="shared" si="8"/>
        <v>275826.44293262961</v>
      </c>
      <c r="BN4">
        <v>2</v>
      </c>
      <c r="BO4">
        <f t="shared" si="9"/>
        <v>273395.31797698484</v>
      </c>
      <c r="BP4">
        <f t="shared" si="10"/>
        <v>249281.91615509981</v>
      </c>
      <c r="BQ4">
        <f t="shared" si="11"/>
        <v>255629.51927762004</v>
      </c>
      <c r="BR4">
        <f t="shared" si="12"/>
        <v>271662.00728402188</v>
      </c>
      <c r="BS4">
        <f t="shared" si="13"/>
        <v>287993.52584062296</v>
      </c>
      <c r="BT4">
        <f t="shared" si="14"/>
        <v>295938.31615112995</v>
      </c>
      <c r="BU4">
        <f t="shared" si="15"/>
        <v>304090.90574254695</v>
      </c>
    </row>
    <row r="5" spans="1:73" x14ac:dyDescent="0.35">
      <c r="A5" t="s">
        <v>13</v>
      </c>
      <c r="B5">
        <v>2.8</v>
      </c>
      <c r="C5" t="s">
        <v>14</v>
      </c>
      <c r="D5">
        <v>3</v>
      </c>
      <c r="E5">
        <v>0.18</v>
      </c>
      <c r="F5">
        <f>$E$20*E5</f>
        <v>133372.008</v>
      </c>
      <c r="I5">
        <v>2</v>
      </c>
      <c r="J5">
        <f t="shared" si="0"/>
        <v>0.82644628099173545</v>
      </c>
      <c r="O5" t="str">
        <f t="shared" si="16"/>
        <v>100101-1500.78</v>
      </c>
      <c r="P5" t="s">
        <v>89</v>
      </c>
      <c r="Q5" s="6">
        <v>0.1176</v>
      </c>
      <c r="R5" s="4">
        <v>99</v>
      </c>
      <c r="S5" s="5">
        <f>VLOOKUP(O5,BucketData!$C$2:$H$281,5,FALSE)</f>
        <v>0.8444999999999997</v>
      </c>
      <c r="T5" s="5">
        <f>VLOOKUP(O5,BucketData!$C$2:$H$281,6,FALSE)</f>
        <v>0.54259491554956352</v>
      </c>
      <c r="U5">
        <v>0</v>
      </c>
      <c r="W5">
        <f t="shared" si="17"/>
        <v>66</v>
      </c>
      <c r="Y5">
        <v>2</v>
      </c>
      <c r="Z5">
        <f>(2*$B$7*$B$6*(J16+K16)*$Q$3+$B$24*0+$B$38*$Q$3+$B$44*$Q$3)*J5</f>
        <v>17028.708373555197</v>
      </c>
      <c r="AA5" s="14">
        <f t="shared" ref="AA5:AA11" si="22">(2*$B$7*$B$6*(J16+K16)*$Q$3+$B$24*0+$B$38*$Q$3+$B$44*$Q$3)</f>
        <v>20604.737132001792</v>
      </c>
      <c r="AB5">
        <f t="shared" ref="AB5:AB10" si="23">AB4+Z5</f>
        <v>35099.561452677117</v>
      </c>
      <c r="AD5">
        <v>2</v>
      </c>
      <c r="AE5">
        <f>((J16+K16)*$B$6*$B$7*1*$Q$3+($E$4*$T$3*$B$6*$E$16*$E$17*$Q$3)+$G$9*0+($E$16*$B$6*(1-$S$3)*$E$37*$E$43*$Q$3)+($E$16*$B$6*(1-$S$3)*(1/$E$17)*$E$41*$E$42*$E$43*$Q$3))*J5</f>
        <v>11709.394591690343</v>
      </c>
      <c r="AF5">
        <f t="shared" ref="AF5:AF7" si="24">AF4+AE5</f>
        <v>24259.36557665532</v>
      </c>
      <c r="AH5">
        <v>2</v>
      </c>
      <c r="AI5">
        <f t="shared" si="18"/>
        <v>11709.394591690343</v>
      </c>
      <c r="AK5">
        <v>1</v>
      </c>
      <c r="AL5">
        <f t="shared" si="19"/>
        <v>238186.86334849684</v>
      </c>
      <c r="AM5">
        <f>AM4+AL5</f>
        <v>468606.86334849684</v>
      </c>
      <c r="AS5" t="s">
        <v>153</v>
      </c>
      <c r="AT5">
        <f>AT3*E37*E43*AU5</f>
        <v>28.7408</v>
      </c>
      <c r="AU5">
        <f>VLOOKUP(AT3,'Avg%picked'!$B$2:$D$11,2,FALSE)</f>
        <v>0.92</v>
      </c>
      <c r="AW5">
        <f t="shared" si="20"/>
        <v>342071.46269682189</v>
      </c>
      <c r="AY5">
        <v>3</v>
      </c>
      <c r="AZ5">
        <f>Z6+Z17+Z27+Z37+Z47+Z57+Z67</f>
        <v>257003.35289017411</v>
      </c>
      <c r="BA5">
        <f t="shared" si="21"/>
        <v>205170.42479110885</v>
      </c>
      <c r="BB5">
        <f t="shared" si="1"/>
        <v>230865.39098194279</v>
      </c>
      <c r="BD5">
        <v>3</v>
      </c>
      <c r="BE5">
        <f t="shared" si="2"/>
        <v>257003.35289017411</v>
      </c>
      <c r="BF5">
        <f t="shared" si="3"/>
        <v>205170.42479110885</v>
      </c>
      <c r="BG5">
        <f t="shared" si="4"/>
        <v>211296.41912754308</v>
      </c>
      <c r="BH5">
        <f t="shared" si="5"/>
        <v>226867.08029537884</v>
      </c>
      <c r="BI5">
        <f t="shared" si="6"/>
        <v>242709.5874179411</v>
      </c>
      <c r="BJ5">
        <f t="shared" si="7"/>
        <v>250429.74852438422</v>
      </c>
      <c r="BK5">
        <f t="shared" si="8"/>
        <v>258338.81806801821</v>
      </c>
      <c r="BN5">
        <v>3</v>
      </c>
      <c r="BO5">
        <f t="shared" si="9"/>
        <v>257003.35289017411</v>
      </c>
      <c r="BP5">
        <f t="shared" si="10"/>
        <v>230865.39098194279</v>
      </c>
      <c r="BQ5">
        <f t="shared" si="11"/>
        <v>236991.38531837703</v>
      </c>
      <c r="BR5">
        <f t="shared" si="12"/>
        <v>252562.04648621278</v>
      </c>
      <c r="BS5">
        <f t="shared" si="13"/>
        <v>268404.55360877502</v>
      </c>
      <c r="BT5">
        <f t="shared" si="14"/>
        <v>276124.71471521817</v>
      </c>
      <c r="BU5">
        <f t="shared" si="15"/>
        <v>284033.78425885213</v>
      </c>
    </row>
    <row r="6" spans="1:73" x14ac:dyDescent="0.35">
      <c r="A6" t="s">
        <v>15</v>
      </c>
      <c r="B6">
        <v>363</v>
      </c>
      <c r="D6">
        <v>4</v>
      </c>
      <c r="E6">
        <v>0.24</v>
      </c>
      <c r="F6">
        <f>$E$20*E6</f>
        <v>177829.34399999998</v>
      </c>
      <c r="I6">
        <v>3</v>
      </c>
      <c r="J6">
        <f t="shared" si="0"/>
        <v>0.75131480090157754</v>
      </c>
      <c r="O6" t="str">
        <f t="shared" si="16"/>
        <v>100151-2000.78</v>
      </c>
      <c r="P6" t="s">
        <v>83</v>
      </c>
      <c r="Q6" s="6">
        <v>0.1176</v>
      </c>
      <c r="R6" s="4">
        <v>135</v>
      </c>
      <c r="S6" s="5">
        <f>VLOOKUP(O6,BucketData!$C$2:$H$281,5,FALSE)</f>
        <v>0.94829999999999959</v>
      </c>
      <c r="T6" s="5">
        <f>VLOOKUP(O6,BucketData!$C$2:$H$281,6,FALSE)</f>
        <v>0.58984357407905452</v>
      </c>
      <c r="U6">
        <v>398</v>
      </c>
      <c r="W6">
        <f t="shared" si="17"/>
        <v>90</v>
      </c>
      <c r="Y6">
        <v>3</v>
      </c>
      <c r="Z6">
        <f>(2*$B$7*$B$6*(J17+K17)*$Q$3+$B$24*0+$B$38*$Q$3+$B$44*$Q$3)*J6</f>
        <v>16049.357645133729</v>
      </c>
      <c r="AA6" s="14">
        <f t="shared" si="22"/>
        <v>21361.695025672998</v>
      </c>
      <c r="AB6">
        <f t="shared" si="23"/>
        <v>51148.919097810845</v>
      </c>
      <c r="AD6">
        <v>3</v>
      </c>
      <c r="AE6">
        <f>((J17+K17)*$B$6*$B$7*1*$Q$3+($E$4*$T$3*$B$6*$E$16*$E$17*$Q$3)+$G$9*0+($E$16*$B$6*(1-$S$3)*$E$37*$E$43*$Q$3)+($E$16*$B$6*(1-$S$3)*(1/$E$17)*$E$41*$E$42*$E$43*$Q$3))*J6</f>
        <v>10929.261008851177</v>
      </c>
      <c r="AF6">
        <f t="shared" si="24"/>
        <v>35188.626585506499</v>
      </c>
      <c r="AH6">
        <v>3</v>
      </c>
      <c r="AI6">
        <f t="shared" si="18"/>
        <v>10929.261008851177</v>
      </c>
      <c r="AK6">
        <v>2</v>
      </c>
      <c r="AL6">
        <f t="shared" si="19"/>
        <v>221017.45334518247</v>
      </c>
      <c r="AM6">
        <f t="shared" ref="AM6:AM9" si="25">AM5+AL6</f>
        <v>689624.31669367931</v>
      </c>
      <c r="AW6">
        <f t="shared" si="20"/>
        <v>353801.98303154937</v>
      </c>
      <c r="AY6">
        <v>4</v>
      </c>
      <c r="AZ6">
        <f>Z7+Z18+Z28+Z38+Z48+Z58+Z68</f>
        <v>241651.51494539264</v>
      </c>
      <c r="BA6">
        <f t="shared" si="21"/>
        <v>190538.25070836823</v>
      </c>
      <c r="BB6">
        <f t="shared" si="1"/>
        <v>213897.31088185366</v>
      </c>
      <c r="BD6">
        <v>4</v>
      </c>
      <c r="BE6">
        <f t="shared" si="2"/>
        <v>241651.51494539264</v>
      </c>
      <c r="BF6">
        <f t="shared" si="3"/>
        <v>190538.25070836823</v>
      </c>
      <c r="BG6">
        <f t="shared" si="4"/>
        <v>196443.87845849819</v>
      </c>
      <c r="BH6">
        <f t="shared" si="5"/>
        <v>211541.7431911969</v>
      </c>
      <c r="BI6">
        <f t="shared" si="6"/>
        <v>226886.7406100106</v>
      </c>
      <c r="BJ6">
        <f t="shared" si="7"/>
        <v>234376.2276742245</v>
      </c>
      <c r="BK6">
        <f t="shared" si="8"/>
        <v>242037.44968133923</v>
      </c>
      <c r="BN6">
        <v>4</v>
      </c>
      <c r="BO6">
        <f t="shared" si="9"/>
        <v>241651.51494539264</v>
      </c>
      <c r="BP6">
        <f t="shared" si="10"/>
        <v>213897.31088185366</v>
      </c>
      <c r="BQ6">
        <f t="shared" si="11"/>
        <v>219802.93863198362</v>
      </c>
      <c r="BR6">
        <f t="shared" si="12"/>
        <v>234900.80336468233</v>
      </c>
      <c r="BS6">
        <f t="shared" si="13"/>
        <v>250245.80078349603</v>
      </c>
      <c r="BT6">
        <f t="shared" si="14"/>
        <v>257735.28784770993</v>
      </c>
      <c r="BU6">
        <f t="shared" si="15"/>
        <v>265396.50985482463</v>
      </c>
    </row>
    <row r="7" spans="1:73" x14ac:dyDescent="0.35">
      <c r="A7" t="s">
        <v>16</v>
      </c>
      <c r="B7">
        <v>17</v>
      </c>
      <c r="I7">
        <v>4</v>
      </c>
      <c r="J7">
        <f t="shared" si="0"/>
        <v>0.68301345536507052</v>
      </c>
      <c r="O7" t="str">
        <f t="shared" si="16"/>
        <v>100201-2500.78</v>
      </c>
      <c r="P7" t="s">
        <v>90</v>
      </c>
      <c r="Q7" s="6">
        <v>0.23530000000000001</v>
      </c>
      <c r="R7" s="4">
        <v>183</v>
      </c>
      <c r="S7" s="5">
        <f>VLOOKUP(O7,BucketData!$C$2:$H$281,5,FALSE)</f>
        <v>0.96779999999999999</v>
      </c>
      <c r="T7" s="5">
        <f>VLOOKUP(O7,BucketData!$C$2:$H$281,6,FALSE)</f>
        <v>0.60659411017607578</v>
      </c>
      <c r="U7">
        <v>6416</v>
      </c>
      <c r="W7">
        <f t="shared" si="17"/>
        <v>122</v>
      </c>
      <c r="Y7">
        <v>4</v>
      </c>
      <c r="Z7">
        <f>(2*$B$7*$B$6*(J18+K18)*$Q$3+$B$24*0+$B$38*$Q$3+$B$44*$Q$3)*J7</f>
        <v>15128.792315516039</v>
      </c>
      <c r="AA7" s="14">
        <f t="shared" si="22"/>
        <v>22150.064829147039</v>
      </c>
      <c r="AB7">
        <f t="shared" si="23"/>
        <v>66277.711413326877</v>
      </c>
      <c r="AD7">
        <v>4</v>
      </c>
      <c r="AE7">
        <f>((J18+K18)*$B$6*$B$7*1*$Q$3+($E$4*$T$3*$B$6*$E$16*$E$17*$Q$3)+$G$9*0+($E$16*$B$6*(1-$S$3)*$E$37*$E$43*$Q$3)+($E$16*$B$6*(1-$S$3)*(1/$E$17)*$E$41*$E$42*$E$43*$Q$3))*J7</f>
        <v>10204.925418016484</v>
      </c>
      <c r="AF7">
        <f t="shared" si="24"/>
        <v>45393.552003522986</v>
      </c>
      <c r="AH7">
        <v>4</v>
      </c>
      <c r="AI7">
        <f t="shared" si="18"/>
        <v>10204.925418016484</v>
      </c>
      <c r="AK7">
        <v>3</v>
      </c>
      <c r="AL7">
        <f t="shared" si="19"/>
        <v>205170.42479110885</v>
      </c>
      <c r="AM7">
        <f t="shared" si="25"/>
        <v>894794.74148478813</v>
      </c>
      <c r="AW7">
        <f t="shared" si="20"/>
        <v>366019.31119533931</v>
      </c>
      <c r="AY7">
        <v>5</v>
      </c>
      <c r="AZ7">
        <f>Z8+Z19+Z29+Z39+Z49+Z59+Z69</f>
        <v>227269.19497261062</v>
      </c>
      <c r="BA7">
        <f t="shared" si="21"/>
        <v>177022.50370895959</v>
      </c>
      <c r="BB7">
        <f t="shared" si="1"/>
        <v>198258.01295758269</v>
      </c>
      <c r="BD7">
        <v>5</v>
      </c>
      <c r="BE7">
        <f t="shared" si="2"/>
        <v>227269.19497261062</v>
      </c>
      <c r="BF7">
        <f t="shared" si="3"/>
        <v>177022.50370895959</v>
      </c>
      <c r="BG7">
        <f t="shared" si="4"/>
        <v>182709.90005530609</v>
      </c>
      <c r="BH7">
        <f t="shared" si="5"/>
        <v>197327.81373783833</v>
      </c>
      <c r="BI7">
        <f t="shared" si="6"/>
        <v>212170.39349865692</v>
      </c>
      <c r="BJ7">
        <f t="shared" si="7"/>
        <v>219425.1194872075</v>
      </c>
      <c r="BK7">
        <f t="shared" si="8"/>
        <v>226835.96815112239</v>
      </c>
      <c r="BN7">
        <v>5</v>
      </c>
      <c r="BO7">
        <f t="shared" si="9"/>
        <v>227269.19497261062</v>
      </c>
      <c r="BP7">
        <f t="shared" si="10"/>
        <v>198258.01295758269</v>
      </c>
      <c r="BQ7">
        <f t="shared" si="11"/>
        <v>203945.40930392919</v>
      </c>
      <c r="BR7">
        <f t="shared" si="12"/>
        <v>218563.32298646143</v>
      </c>
      <c r="BS7">
        <f t="shared" si="13"/>
        <v>233405.90274728002</v>
      </c>
      <c r="BT7">
        <f t="shared" si="14"/>
        <v>240660.6287358306</v>
      </c>
      <c r="BU7">
        <f t="shared" si="15"/>
        <v>248071.47739974549</v>
      </c>
    </row>
    <row r="8" spans="1:73" x14ac:dyDescent="0.35">
      <c r="A8" t="s">
        <v>17</v>
      </c>
      <c r="B8">
        <v>2</v>
      </c>
      <c r="D8" t="s">
        <v>18</v>
      </c>
      <c r="E8" t="s">
        <v>19</v>
      </c>
      <c r="F8" t="s">
        <v>20</v>
      </c>
      <c r="G8" t="s">
        <v>21</v>
      </c>
      <c r="I8">
        <v>5</v>
      </c>
      <c r="J8">
        <f t="shared" si="0"/>
        <v>0.62092132305915493</v>
      </c>
      <c r="O8" t="str">
        <f t="shared" si="16"/>
        <v>100251-3000.78</v>
      </c>
      <c r="P8" t="s">
        <v>85</v>
      </c>
      <c r="Q8" s="6">
        <v>0.23530000000000001</v>
      </c>
      <c r="R8" s="4">
        <v>215</v>
      </c>
      <c r="S8" s="5">
        <f>VLOOKUP(O8,BucketData!$C$2:$H$281,5,FALSE)</f>
        <v>0.97909999999999986</v>
      </c>
      <c r="T8" s="5">
        <f>VLOOKUP(O8,BucketData!$C$2:$H$281,6,FALSE)</f>
        <v>0.6258654595543417</v>
      </c>
      <c r="U8">
        <f>7636</f>
        <v>7636</v>
      </c>
      <c r="W8">
        <f t="shared" si="17"/>
        <v>144</v>
      </c>
      <c r="Y8">
        <v>5</v>
      </c>
      <c r="Z8">
        <f>(2*$B$7*$B$6*(J19+K19)*$Q$3+$B$24*0+$B$38*$Q$3+$B$44*$Q$3)*J8</f>
        <v>14263.277713525425</v>
      </c>
      <c r="AA8" s="14">
        <f t="shared" si="22"/>
        <v>22971.151390409843</v>
      </c>
      <c r="AB8">
        <f t="shared" si="23"/>
        <v>80540.989126852306</v>
      </c>
      <c r="AD8">
        <v>5</v>
      </c>
      <c r="AE8">
        <f>((J19+K19)*$B$6*$B$7*1*$Q$3+($E$4*$T$3*$B$6*$E$16*$E$17*$Q$3)+$G$9*0+($E$16*$B$6*(1-$S$3)*$E$37*$E$43*$Q$3)+($E$16*$B$6*(1-$S$3)*(1/$E$17)*$E$41*$E$42*$E$43*$Q$3))*J8</f>
        <v>9532.1200024522277</v>
      </c>
      <c r="AF8">
        <f>AF7+AE8</f>
        <v>54925.672005975212</v>
      </c>
      <c r="AH8">
        <v>5</v>
      </c>
      <c r="AI8">
        <f t="shared" si="18"/>
        <v>9532.1200024522277</v>
      </c>
      <c r="AK8">
        <v>4</v>
      </c>
      <c r="AL8">
        <f t="shared" si="19"/>
        <v>190538.25070836823</v>
      </c>
      <c r="AM8">
        <f t="shared" si="25"/>
        <v>1085332.9921931564</v>
      </c>
      <c r="AW8">
        <f t="shared" si="20"/>
        <v>378743.66990406235</v>
      </c>
      <c r="AY8">
        <v>6</v>
      </c>
      <c r="AZ8">
        <f t="shared" ref="AZ8:AZ9" si="26">Z9+Z20+Z30+Z40+Z50+Z60+Z70</f>
        <v>213790.92783373652</v>
      </c>
      <c r="BA8">
        <f t="shared" ref="BA8:BA9" si="27">AE9+AE20+AE30+AE40+AE50+AE60+AE70+Q23</f>
        <v>164533.0647480714</v>
      </c>
      <c r="BB8">
        <f t="shared" ref="BB8:BB9" si="28">Q33+AE9+AE20+AE30+AE40+AE50+AE60+AE70</f>
        <v>183838.07315591059</v>
      </c>
      <c r="BE8">
        <f t="shared" ref="BE8:BE9" si="29">Z9+Z20+Z30+Z40+Z50+Z60+Z70</f>
        <v>213790.92783373652</v>
      </c>
      <c r="BF8">
        <f t="shared" ref="BF8:BF9" si="30">BA8</f>
        <v>164533.0647480714</v>
      </c>
      <c r="BG8">
        <f t="shared" ref="BG8:BG9" si="31">AE9+AE20+AE30+AE40+AE50+AE60+Z70+Q23</f>
        <v>170005.12312098217</v>
      </c>
      <c r="BH8">
        <f t="shared" ref="BH8:BH9" si="32">AE9+AE20+AE30+AE40+AE50+Z60+Z70+Q23</f>
        <v>184139.24928654361</v>
      </c>
      <c r="BI8">
        <f t="shared" ref="BI8:BI9" si="33">AE9+AE20+AE30+AE40+Z50+Z60+Z70+Q23</f>
        <v>198477.61734145629</v>
      </c>
      <c r="BJ8">
        <f t="shared" ref="BJ8:BJ9" si="34">AE9+AE20+AE30+Z40+Z50+Z60+Z70+Q23</f>
        <v>205495.20006686362</v>
      </c>
      <c r="BK8">
        <f t="shared" ref="BK8:BK9" si="35">AE9+AE20+Z30+Z40+Z50+Z60+Z70+Q23</f>
        <v>212654.71249714764</v>
      </c>
      <c r="BO8">
        <f t="shared" ref="BO8:BO9" si="36">Z9+Z20+Z30+Z40+Z50+Z60+Z70</f>
        <v>213790.92783373652</v>
      </c>
      <c r="BP8">
        <f t="shared" ref="BP8:BP9" si="37">AE9+AE20+AE30+AE40+AE50+AE60+AE70+Q33</f>
        <v>183838.07315591059</v>
      </c>
      <c r="BQ8">
        <f t="shared" ref="BQ8:BQ9" si="38">AE9+AE20+AE30+AE40+AE50+AE60+Z70+Q33</f>
        <v>189310.13152882137</v>
      </c>
      <c r="BR8">
        <f t="shared" ref="BR8:BR9" si="39">AE9+AE20+AE30+AE40+AE50+Z60+Z70+Q33</f>
        <v>203444.2576943828</v>
      </c>
      <c r="BS8">
        <f t="shared" ref="BS8:BS9" si="40">AE9+AE20+AE30+AE40+Z50+Z60+Z70+Q33</f>
        <v>217782.62574929549</v>
      </c>
      <c r="BT8">
        <f t="shared" ref="BT8:BT9" si="41">AE9+AE20+AE30+Z40+Z50+Z60+Z70+Q33</f>
        <v>224800.20847470281</v>
      </c>
      <c r="BU8">
        <f t="shared" ref="BU8:BU9" si="42">AE9+AE20+Z30+Z40+Z50+Z60+Z70+Q33</f>
        <v>231959.72090498684</v>
      </c>
    </row>
    <row r="9" spans="1:73" x14ac:dyDescent="0.35">
      <c r="D9">
        <v>1</v>
      </c>
      <c r="E9" s="12">
        <v>0.04</v>
      </c>
      <c r="F9" s="12">
        <v>0.78</v>
      </c>
      <c r="G9">
        <f>$E$24*(1-F9)*E9*$E$28*52</f>
        <v>21775.463423999998</v>
      </c>
      <c r="I9">
        <v>6</v>
      </c>
      <c r="J9">
        <f t="shared" si="0"/>
        <v>0.56447393005377722</v>
      </c>
      <c r="O9" t="str">
        <f t="shared" si="16"/>
        <v>100300+0.78</v>
      </c>
      <c r="P9" t="s">
        <v>86</v>
      </c>
      <c r="Q9" s="6">
        <v>8.4000000000000005E-2</v>
      </c>
      <c r="R9" s="4">
        <v>261</v>
      </c>
      <c r="S9" s="5">
        <f>VLOOKUP(O9,BucketData!$C$2:$H$281,5,FALSE)</f>
        <v>0.98119999999999974</v>
      </c>
      <c r="T9" s="5">
        <f>VLOOKUP(O9,BucketData!$C$2:$H$281,6,FALSE)</f>
        <v>0.57334773702254938</v>
      </c>
      <c r="U9">
        <v>3301</v>
      </c>
      <c r="W9">
        <f t="shared" si="17"/>
        <v>174</v>
      </c>
      <c r="Y9">
        <v>6</v>
      </c>
      <c r="Z9">
        <f>(2*$B$7*$B$6*(J20+K20)*$Q$3+$B$24*0+$B$38*$Q$3+$B$44*$Q$3)*J9</f>
        <v>13449.332996085464</v>
      </c>
      <c r="AA9" s="14">
        <f t="shared" si="22"/>
        <v>23826.313811878172</v>
      </c>
      <c r="AB9">
        <f t="shared" si="23"/>
        <v>93990.322122937767</v>
      </c>
      <c r="AD9">
        <v>6</v>
      </c>
      <c r="AE9">
        <f>((J20+K20)*$B$6*$B$7*1*$Q$3+($E$4*$T$3*$B$6*$E$16*$E$17*$Q$3)+$G$9*0+($E$16*$B$6*(1-$S$3)*$E$37*$E$43*$Q$3)+($E$16*$B$6*(1-$S$3)*(1/$E$17)*$E$41*$E$42*$E$43*$Q$3))*J9</f>
        <v>8906.9220850332003</v>
      </c>
      <c r="AH9">
        <v>6</v>
      </c>
      <c r="AI9">
        <f t="shared" si="18"/>
        <v>8906.9220850332003</v>
      </c>
      <c r="AK9">
        <v>5</v>
      </c>
      <c r="AL9">
        <f t="shared" si="19"/>
        <v>177022.50370895959</v>
      </c>
      <c r="AM9">
        <f t="shared" si="25"/>
        <v>1262355.4959021159</v>
      </c>
      <c r="AW9">
        <f t="shared" si="20"/>
        <v>348741.42925618432</v>
      </c>
      <c r="AY9">
        <v>7</v>
      </c>
      <c r="AZ9">
        <f t="shared" si="26"/>
        <v>201155.99270184641</v>
      </c>
      <c r="BA9">
        <f t="shared" si="27"/>
        <v>152987.40189062795</v>
      </c>
      <c r="BB9">
        <f t="shared" si="28"/>
        <v>170537.40953411814</v>
      </c>
      <c r="BE9">
        <f t="shared" si="29"/>
        <v>201155.99270184641</v>
      </c>
      <c r="BF9">
        <f t="shared" si="30"/>
        <v>152987.40189062795</v>
      </c>
      <c r="BG9">
        <f t="shared" si="31"/>
        <v>158247.65433485591</v>
      </c>
      <c r="BH9">
        <f t="shared" si="32"/>
        <v>171897.03098962613</v>
      </c>
      <c r="BI9">
        <f t="shared" si="33"/>
        <v>185732.08208926112</v>
      </c>
      <c r="BJ9">
        <f t="shared" si="34"/>
        <v>192511.61824148227</v>
      </c>
      <c r="BK9">
        <f t="shared" si="35"/>
        <v>199420.18139813677</v>
      </c>
      <c r="BO9">
        <f t="shared" si="36"/>
        <v>201155.99270184641</v>
      </c>
      <c r="BP9">
        <f t="shared" si="37"/>
        <v>170537.40953411811</v>
      </c>
      <c r="BQ9">
        <f t="shared" si="38"/>
        <v>175797.66197834606</v>
      </c>
      <c r="BR9">
        <f t="shared" si="39"/>
        <v>189447.03863311629</v>
      </c>
      <c r="BS9">
        <f t="shared" si="40"/>
        <v>203282.08973275128</v>
      </c>
      <c r="BT9">
        <f t="shared" si="41"/>
        <v>210061.62588497243</v>
      </c>
      <c r="BU9">
        <f t="shared" si="42"/>
        <v>216970.18904162693</v>
      </c>
    </row>
    <row r="10" spans="1:73" x14ac:dyDescent="0.35">
      <c r="A10" t="s">
        <v>22</v>
      </c>
      <c r="B10">
        <v>35000</v>
      </c>
      <c r="D10">
        <v>2</v>
      </c>
      <c r="E10">
        <v>0.02</v>
      </c>
      <c r="F10">
        <v>0.78</v>
      </c>
      <c r="G10">
        <f>$E$24*(1-F10)*E10*$E$28*52</f>
        <v>10887.731711999999</v>
      </c>
      <c r="I10">
        <v>7</v>
      </c>
      <c r="J10">
        <f t="shared" si="0"/>
        <v>0.51315811823070645</v>
      </c>
      <c r="Y10">
        <v>7</v>
      </c>
      <c r="Z10">
        <f>(2*$B$7*$B$6*(J21+K21)*$Q$3+$B$24*0+$B$38*$Q$3+$B$44*$Q$3)*J10</f>
        <v>12683.712637517616</v>
      </c>
      <c r="AA10" s="14">
        <f t="shared" si="22"/>
        <v>24716.967708216693</v>
      </c>
      <c r="AB10">
        <f t="shared" si="23"/>
        <v>106674.03476045538</v>
      </c>
      <c r="AD10">
        <v>7</v>
      </c>
      <c r="AE10">
        <f>((J21+K21)*$B$6*$B$7*1*$Q$3+($E$4*$T$3*$B$6*$E$16*$E$17*$Q$3)+$G$9*0+($E$16*$B$6*(1-$S$3)*$E$37*$E$43*$Q$3)+($E$16*$B$6*(1-$S$3)*(1/$E$17)*$E$41*$E$42*$E$43*$Q$3))*J10</f>
        <v>8325.7250342046882</v>
      </c>
      <c r="AH10">
        <v>7</v>
      </c>
      <c r="AI10">
        <f t="shared" si="18"/>
        <v>8325.7250342046882</v>
      </c>
    </row>
    <row r="11" spans="1:73" x14ac:dyDescent="0.35">
      <c r="I11">
        <v>8</v>
      </c>
      <c r="J11">
        <f t="shared" si="0"/>
        <v>0.46650738020973315</v>
      </c>
      <c r="Z11">
        <f>(2*$B$7*$B$6*(J22+K22)*$Q$3+$B$24*0+$B$38*$Q$3+$B$44*$Q$3)*J11</f>
        <v>11963.389358330496</v>
      </c>
      <c r="AA11" s="14">
        <f t="shared" si="22"/>
        <v>25644.587558190346</v>
      </c>
      <c r="AB11">
        <f>AB10+Z11</f>
        <v>118637.42411878589</v>
      </c>
      <c r="AE11">
        <f>((J22+K22)*$B$6*$B$7*1*$Q$3+($E$4*$T$3*$B$6*$E$16*$E$17*$Q$3)+$G$9*0+($E$16*$B$6*(1-$S$3)*$E$37*$E$43*$Q$3)+($E$16*$B$6*(1-$S$3)*(1/$E$17)*$E$41*$E$42*$E$43*$Q$3))*J11</f>
        <v>7785.2116932069584</v>
      </c>
    </row>
    <row r="12" spans="1:73" x14ac:dyDescent="0.35">
      <c r="A12" t="s">
        <v>23</v>
      </c>
      <c r="B12" s="2">
        <v>0.2</v>
      </c>
      <c r="D12">
        <v>3</v>
      </c>
      <c r="E12">
        <v>0.03</v>
      </c>
      <c r="F12">
        <v>0.78</v>
      </c>
      <c r="G12">
        <f>$E$24*(1-F12)*E12*$E$28*52</f>
        <v>16331.597567999997</v>
      </c>
      <c r="I12" t="s">
        <v>24</v>
      </c>
      <c r="J12">
        <v>1.042</v>
      </c>
      <c r="K12">
        <v>1.038</v>
      </c>
      <c r="Y12" t="s">
        <v>81</v>
      </c>
      <c r="AD12" t="s">
        <v>81</v>
      </c>
      <c r="AH12" t="s">
        <v>81</v>
      </c>
    </row>
    <row r="13" spans="1:73" x14ac:dyDescent="0.35">
      <c r="A13" t="s">
        <v>25</v>
      </c>
      <c r="B13" s="2">
        <v>0.2</v>
      </c>
      <c r="D13">
        <v>4</v>
      </c>
      <c r="E13">
        <v>0.04</v>
      </c>
      <c r="F13">
        <v>0.78</v>
      </c>
      <c r="G13">
        <f>$E$24*(1-F13)*E13*$E$28*52</f>
        <v>21775.463423999998</v>
      </c>
      <c r="I13" t="s">
        <v>11</v>
      </c>
      <c r="J13" t="s">
        <v>26</v>
      </c>
      <c r="K13" t="s">
        <v>27</v>
      </c>
      <c r="L13" t="s">
        <v>28</v>
      </c>
      <c r="P13" s="1"/>
      <c r="Y13" t="s">
        <v>11</v>
      </c>
      <c r="Z13" t="s">
        <v>88</v>
      </c>
      <c r="AB13" t="s">
        <v>93</v>
      </c>
      <c r="AD13" t="s">
        <v>11</v>
      </c>
      <c r="AE13" t="s">
        <v>91</v>
      </c>
      <c r="AH13" t="s">
        <v>11</v>
      </c>
      <c r="AI13" t="s">
        <v>92</v>
      </c>
      <c r="AK13" t="s">
        <v>11</v>
      </c>
      <c r="AL13" t="s">
        <v>10</v>
      </c>
      <c r="AM13" t="s">
        <v>91</v>
      </c>
      <c r="AN13" t="s">
        <v>86</v>
      </c>
      <c r="AO13" t="s">
        <v>99</v>
      </c>
      <c r="AP13" t="s">
        <v>100</v>
      </c>
      <c r="AQ13" t="s">
        <v>101</v>
      </c>
      <c r="AR13" t="s">
        <v>102</v>
      </c>
    </row>
    <row r="14" spans="1:73" x14ac:dyDescent="0.35">
      <c r="A14" t="s">
        <v>29</v>
      </c>
      <c r="B14" s="2">
        <v>0.1</v>
      </c>
      <c r="I14">
        <v>0</v>
      </c>
      <c r="J14">
        <v>17.5</v>
      </c>
      <c r="K14">
        <f>B5</f>
        <v>2.8</v>
      </c>
      <c r="L14">
        <f>J14*12*2</f>
        <v>420</v>
      </c>
      <c r="Y14">
        <v>0</v>
      </c>
      <c r="Z14">
        <v>0</v>
      </c>
      <c r="AA14" s="14">
        <v>0</v>
      </c>
      <c r="AB14">
        <f>Z14</f>
        <v>0</v>
      </c>
      <c r="AD14">
        <v>0</v>
      </c>
      <c r="AE14">
        <v>0</v>
      </c>
      <c r="AF14">
        <f>AE14</f>
        <v>0</v>
      </c>
      <c r="AH14">
        <v>0</v>
      </c>
      <c r="AI14">
        <f>AF14</f>
        <v>0</v>
      </c>
      <c r="AK14">
        <v>0</v>
      </c>
      <c r="AL14">
        <f>AB3+AB14+AB24+AB34+AB44+AB54+AB64</f>
        <v>0</v>
      </c>
      <c r="AM14">
        <f>Q17+AF3+AF14+AF24+AF34+AF44+AF54+AF64</f>
        <v>230420</v>
      </c>
      <c r="AN14">
        <f>Q17+AF3+AF14+AF24+AF34+AF44+AF54+AB64</f>
        <v>230420</v>
      </c>
      <c r="AO14">
        <f>Q17+AF3+AF14+AF24+AF34+AF44+AB54+AB64</f>
        <v>230420</v>
      </c>
      <c r="AP14">
        <f>Q17+AF3+AF14+AF24+AF34+AB44+AB54+AB64</f>
        <v>230420</v>
      </c>
      <c r="AQ14">
        <f>AF3+AF14+AF24+AB34+AB44+AB54+AB64+Q17</f>
        <v>230420</v>
      </c>
      <c r="AR14">
        <f>AF3+AF14+AB24+AB34+AB44+AB54+AB64+Q17</f>
        <v>230420</v>
      </c>
      <c r="AY14" t="s">
        <v>11</v>
      </c>
      <c r="AZ14" t="s">
        <v>10</v>
      </c>
      <c r="BA14" t="s">
        <v>91</v>
      </c>
      <c r="BB14" t="s">
        <v>92</v>
      </c>
      <c r="BD14" t="s">
        <v>11</v>
      </c>
      <c r="BE14" t="s">
        <v>10</v>
      </c>
      <c r="BF14" t="s">
        <v>91</v>
      </c>
      <c r="BG14" t="s">
        <v>86</v>
      </c>
      <c r="BH14" t="s">
        <v>99</v>
      </c>
      <c r="BI14" t="s">
        <v>100</v>
      </c>
      <c r="BJ14" t="s">
        <v>101</v>
      </c>
      <c r="BK14" t="s">
        <v>102</v>
      </c>
      <c r="BN14" t="s">
        <v>11</v>
      </c>
      <c r="BO14" t="s">
        <v>10</v>
      </c>
      <c r="BP14" t="s">
        <v>92</v>
      </c>
      <c r="BQ14" t="s">
        <v>86</v>
      </c>
      <c r="BR14" t="s">
        <v>99</v>
      </c>
      <c r="BS14" t="s">
        <v>100</v>
      </c>
      <c r="BT14" t="s">
        <v>101</v>
      </c>
      <c r="BU14" t="s">
        <v>102</v>
      </c>
    </row>
    <row r="15" spans="1:73" x14ac:dyDescent="0.35">
      <c r="D15" t="s">
        <v>30</v>
      </c>
      <c r="E15">
        <f>B6</f>
        <v>363</v>
      </c>
      <c r="I15">
        <v>1</v>
      </c>
      <c r="J15">
        <f>J14*$J$12</f>
        <v>18.234999999999999</v>
      </c>
      <c r="K15">
        <f>K14*$K$12</f>
        <v>2.9064000000000001</v>
      </c>
      <c r="L15">
        <f t="shared" ref="L15:L19" si="43">J15*12*2</f>
        <v>437.64</v>
      </c>
      <c r="Y15">
        <v>1</v>
      </c>
      <c r="Z15">
        <f>(2*$B$7*$B$6*(J15+K15)*$Q$4+$B$24*0+$B$38*$Q$4+$B$44*$Q$4)*J4</f>
        <v>38427.453943549437</v>
      </c>
      <c r="AA15" s="14">
        <f>(2*$B$7*$B$6*(J15+K15)*$Q$4+$B$24*0+$B$38*$Q$4+$B$44*$Q$4)</f>
        <v>42270.199337904385</v>
      </c>
      <c r="AB15">
        <f>AB14+Z15</f>
        <v>38427.453943549437</v>
      </c>
      <c r="AD15">
        <v>1</v>
      </c>
      <c r="AE15">
        <f>((J15+K15)*$B$6*$B$7*1*$Q$4+($E$4*$T$4*$B$6*$E$16*$E$17*$Q$4)+$G$9*0+($E$16*$B$6*(1-$S$4)*$E$37*$E$43*$Q$4)+($E$16*$B$6*(1-$S$4)*(1/$E$17)*$E$41*$E$42*$E$43*$Q$4))*J4</f>
        <v>28149.97615426817</v>
      </c>
      <c r="AF15">
        <f>AF14+AE15</f>
        <v>28149.97615426817</v>
      </c>
      <c r="AH15">
        <v>1</v>
      </c>
      <c r="AI15">
        <f>AE15</f>
        <v>28149.97615426817</v>
      </c>
      <c r="AK15">
        <v>1</v>
      </c>
      <c r="AL15">
        <f>AB4+AB15+AB25+AB35+AB45+AB55+AB65</f>
        <v>290903.59889409371</v>
      </c>
      <c r="AM15">
        <f>AE4+AE15+AE25+AE35+AE45+AE55+AE65+Q18+AM14</f>
        <v>468606.86334849684</v>
      </c>
      <c r="AN15">
        <f>AE4+AE15+AE25+AE35+AE45+AE55+Z65+Q18+AN14</f>
        <v>475176.27295090107</v>
      </c>
      <c r="AO15">
        <f>AE4+AE15+AE25+AE35+AE45+Z55+Z65+Q18+AO14</f>
        <v>491655.24741560756</v>
      </c>
      <c r="AP15">
        <f>AE4+AE15+AE25+AE35+Z45+Z55+Z65+Q18+AP14</f>
        <v>508463.15548553312</v>
      </c>
      <c r="AQ15">
        <f>AE4+AE15+AE25+Z35+Z45+Z55+Z65+Q18+AQ14</f>
        <v>516624.28946177562</v>
      </c>
      <c r="AR15">
        <f>AE4+AE15+Z25+Z35+Z45+Z55+Z65+Q28+AN14</f>
        <v>556104.91173792817</v>
      </c>
      <c r="AW15">
        <f>(AW2+AW3)/($B$6*$B$7*2)</f>
        <v>25.927236978083219</v>
      </c>
      <c r="AY15">
        <v>1</v>
      </c>
      <c r="AZ15">
        <f>(AZ2+AZ3)/($B$6*$B$7*2)</f>
        <v>23.570215434621108</v>
      </c>
      <c r="BA15">
        <f t="shared" ref="BA15:BB15" si="44">(BA2+BA3)/($B$6*$B$7*2)</f>
        <v>37.968470535447807</v>
      </c>
      <c r="BB15">
        <f t="shared" si="44"/>
        <v>31.980049622379347</v>
      </c>
      <c r="BD15">
        <v>1</v>
      </c>
      <c r="BE15">
        <f>(BE2+BE3)/($B$6*$B$7*2)</f>
        <v>23.570215434621108</v>
      </c>
      <c r="BF15">
        <f t="shared" ref="BF15:BK15" si="45">(BF2+BF3)/($B$6*$B$7*2)</f>
        <v>37.968470535447807</v>
      </c>
      <c r="BG15">
        <f t="shared" si="45"/>
        <v>38.500751332920196</v>
      </c>
      <c r="BH15">
        <f t="shared" si="45"/>
        <v>39.835946152617694</v>
      </c>
      <c r="BI15">
        <f t="shared" si="45"/>
        <v>41.19779253650406</v>
      </c>
      <c r="BJ15">
        <f t="shared" si="45"/>
        <v>41.859041440753167</v>
      </c>
      <c r="BK15">
        <f t="shared" si="45"/>
        <v>42.538810780020995</v>
      </c>
      <c r="BN15">
        <v>1</v>
      </c>
      <c r="BO15">
        <f>(BO2+BO3)/($B$6*$B$7*2)</f>
        <v>23.570215434621108</v>
      </c>
      <c r="BP15">
        <f t="shared" ref="BP15:BU15" si="46">(BP2+BP3)/($B$6*$B$7*2)</f>
        <v>31.980049622379347</v>
      </c>
      <c r="BQ15">
        <f t="shared" si="46"/>
        <v>32.512330419851743</v>
      </c>
      <c r="BR15">
        <f t="shared" si="46"/>
        <v>33.847525239549235</v>
      </c>
      <c r="BS15">
        <f t="shared" si="46"/>
        <v>35.209371623435608</v>
      </c>
      <c r="BT15">
        <f t="shared" si="46"/>
        <v>35.870620527684714</v>
      </c>
      <c r="BU15">
        <f t="shared" si="46"/>
        <v>36.550389866952536</v>
      </c>
    </row>
    <row r="16" spans="1:73" x14ac:dyDescent="0.35">
      <c r="A16" t="s">
        <v>31</v>
      </c>
      <c r="B16" s="2">
        <v>1.1000000000000001</v>
      </c>
      <c r="D16" t="s">
        <v>32</v>
      </c>
      <c r="E16" s="8">
        <f>ROUND(E31,0)</f>
        <v>324</v>
      </c>
      <c r="I16">
        <v>2</v>
      </c>
      <c r="J16">
        <f t="shared" ref="J16:J22" si="47">J15*$J$12</f>
        <v>19.000869999999999</v>
      </c>
      <c r="K16">
        <f t="shared" ref="K16:K22" si="48">K15*$K$12</f>
        <v>3.0168432000000003</v>
      </c>
      <c r="L16">
        <f t="shared" si="43"/>
        <v>456.02087999999998</v>
      </c>
      <c r="O16" t="s">
        <v>11</v>
      </c>
      <c r="P16" t="s">
        <v>95</v>
      </c>
      <c r="Q16" s="2" t="s">
        <v>104</v>
      </c>
      <c r="Y16">
        <v>2</v>
      </c>
      <c r="Z16">
        <f>(2*$B$7*$B$6*(J16+K16)*$Q$4+$B$24*0+$B$38*$Q$4+$B$44*$Q$4)*J5</f>
        <v>36211.345633646393</v>
      </c>
      <c r="AA16" s="14">
        <f t="shared" ref="AA16:AA21" si="49">(2*$B$7*$B$6*(J16+K16)*$Q$4+$B$24*0+$B$38*$Q$4+$B$44*$Q$4)</f>
        <v>43815.728216712145</v>
      </c>
      <c r="AB16">
        <f t="shared" ref="AB16:AB22" si="50">AB15+Z16</f>
        <v>74638.799577195838</v>
      </c>
      <c r="AD16">
        <v>2</v>
      </c>
      <c r="AE16">
        <f>((J16+K16)*$B$6*$B$7*1*$Q$4+($E$4*$T$4*$B$6*$E$16*$E$17*$Q$4)+$G$9*0+($E$16*$B$6*(1-$S$4)*$E$37*$E$43*$Q$4)+($E$16*$B$6*(1-$S$4)*(1/$E$17)*$E$41*$E$42*$E$43*$Q$4))*J5</f>
        <v>26229.535709999062</v>
      </c>
      <c r="AF16">
        <f t="shared" ref="AF16:AF18" si="51">AF15+AE16</f>
        <v>54379.511864267231</v>
      </c>
      <c r="AH16">
        <v>2</v>
      </c>
      <c r="AI16">
        <f t="shared" ref="AI16:AI22" si="52">AE16</f>
        <v>26229.535709999062</v>
      </c>
      <c r="AK16">
        <v>2</v>
      </c>
      <c r="AL16">
        <f t="shared" ref="AL14:AL22" si="53">AB5+AB16+AB26+AB36+AB46+AB56+AB66</f>
        <v>564298.91687107855</v>
      </c>
      <c r="AM16">
        <f>AE5+AE16+AE26+AE36+AE46+AE56+AE66+Q19+AM15</f>
        <v>689624.31669367931</v>
      </c>
      <c r="AN16">
        <f t="shared" ref="AN16:AN22" si="54">AE5+AE16+AE26+AE36+AE46+AE56+Z66+Q19+AN15</f>
        <v>702541.3294186038</v>
      </c>
      <c r="AO16">
        <f>AE5+AE16+AE26+AE36+AE46+Z56+Z66+Q19+AO15</f>
        <v>735052.7918897121</v>
      </c>
      <c r="AP16">
        <f t="shared" ref="AP16:AP22" si="55">AE5+AE16+AE26+AE36+Z46+Z56+Z66+Q19+AP15</f>
        <v>768192.21851623873</v>
      </c>
      <c r="AQ16">
        <f t="shared" ref="AQ16:AQ22" si="56">AE5+AE16+AE26+Z36+Z46+Z56+Z66+Q19+AQ15</f>
        <v>784298.14280298818</v>
      </c>
      <c r="AR16">
        <f>AE5+AE16+Z26+Z36+Z46+Z56+Z66+Q29+AN15</f>
        <v>779267.17869344796</v>
      </c>
      <c r="AW16">
        <f>(AW4)/($B$6*$B$7*2)</f>
        <v>26.803462546763221</v>
      </c>
      <c r="AY16">
        <v>2</v>
      </c>
      <c r="AZ16">
        <f>(AZ4)/($B$6*$B$7*2)</f>
        <v>22.151621939473735</v>
      </c>
      <c r="BA16">
        <f t="shared" ref="BA16:BB16" si="57">(BA4)/($B$6*$B$7*2)</f>
        <v>17.907750230528478</v>
      </c>
      <c r="BB16">
        <f t="shared" si="57"/>
        <v>20.197854169105479</v>
      </c>
      <c r="BD16">
        <v>2</v>
      </c>
      <c r="BE16">
        <f>(BE4)/($B$6*$B$7*2)</f>
        <v>22.151621939473735</v>
      </c>
      <c r="BF16">
        <f t="shared" ref="BF16:BK16" si="58">(BF4)/($B$6*$B$7*2)</f>
        <v>17.907750230528478</v>
      </c>
      <c r="BG16">
        <f t="shared" si="58"/>
        <v>18.422059347569494</v>
      </c>
      <c r="BH16">
        <f t="shared" si="58"/>
        <v>19.721077983641596</v>
      </c>
      <c r="BI16">
        <f t="shared" si="58"/>
        <v>21.044325314430857</v>
      </c>
      <c r="BJ16">
        <f t="shared" si="58"/>
        <v>21.688045158095335</v>
      </c>
      <c r="BK16">
        <f t="shared" si="58"/>
        <v>22.348601760867737</v>
      </c>
      <c r="BN16">
        <v>2</v>
      </c>
      <c r="BO16">
        <f>(BO4)/($B$6*$B$7*2)</f>
        <v>22.151621939473735</v>
      </c>
      <c r="BP16">
        <f t="shared" ref="BP16:BU16" si="59">(BP4)/($B$6*$B$7*2)</f>
        <v>20.197854169105479</v>
      </c>
      <c r="BQ16">
        <f t="shared" si="59"/>
        <v>20.712163286146495</v>
      </c>
      <c r="BR16">
        <f t="shared" si="59"/>
        <v>22.011181922218594</v>
      </c>
      <c r="BS16">
        <f t="shared" si="59"/>
        <v>23.334429253007855</v>
      </c>
      <c r="BT16">
        <f t="shared" si="59"/>
        <v>23.978149096672336</v>
      </c>
      <c r="BU16">
        <f t="shared" si="59"/>
        <v>24.638705699444738</v>
      </c>
    </row>
    <row r="17" spans="1:73" x14ac:dyDescent="0.35">
      <c r="B17" s="2"/>
      <c r="D17" t="s">
        <v>33</v>
      </c>
      <c r="E17">
        <v>10.5</v>
      </c>
      <c r="I17">
        <v>3</v>
      </c>
      <c r="J17">
        <f t="shared" si="47"/>
        <v>19.798906540000001</v>
      </c>
      <c r="K17">
        <f t="shared" si="48"/>
        <v>3.1314832416000002</v>
      </c>
      <c r="L17">
        <f t="shared" si="43"/>
        <v>475.17375695999999</v>
      </c>
      <c r="O17">
        <v>0</v>
      </c>
      <c r="P17" t="s">
        <v>94</v>
      </c>
      <c r="Q17">
        <f>$B$20+$B$21+12*2*J14+$B$10*3</f>
        <v>230420</v>
      </c>
      <c r="T17" t="s">
        <v>116</v>
      </c>
      <c r="U17">
        <f>E30</f>
        <v>100</v>
      </c>
      <c r="Y17">
        <v>3</v>
      </c>
      <c r="Z17">
        <f>(2*$B$7*$B$6*(J17+K17)*$Q$4+$B$24*0+$B$38*$Q$4+$B$44*$Q$4)*J6</f>
        <v>34128.767968595377</v>
      </c>
      <c r="AA17" s="14">
        <f t="shared" si="49"/>
        <v>45425.390166200465</v>
      </c>
      <c r="AB17">
        <f t="shared" si="50"/>
        <v>108767.56754579121</v>
      </c>
      <c r="AD17">
        <v>3</v>
      </c>
      <c r="AE17">
        <f>((J17+K17)*$B$6*$B$7*1*$Q$4+($E$4*$T$4*$B$6*$E$16*$E$17*$Q$4)+$G$9*0+($E$16*$B$6*(1-$S$4)*$E$37*$E$43*$Q$4)+($E$16*$B$6*(1-$S$4)*(1/$E$17)*$E$41*$E$42*$E$43*$Q$4))*J6</f>
        <v>24449.713887184836</v>
      </c>
      <c r="AF17">
        <f t="shared" si="51"/>
        <v>78829.225751452061</v>
      </c>
      <c r="AH17">
        <v>3</v>
      </c>
      <c r="AI17">
        <f t="shared" si="52"/>
        <v>24449.713887184836</v>
      </c>
      <c r="AK17">
        <v>3</v>
      </c>
      <c r="AL17">
        <f t="shared" si="53"/>
        <v>821302.26976125268</v>
      </c>
      <c r="AM17">
        <f>AE6+AE17+AE27+AE37+AE47+AE57+AE67+Q20+AM16</f>
        <v>894794.74148478813</v>
      </c>
      <c r="AN17">
        <f t="shared" si="54"/>
        <v>913837.7485461469</v>
      </c>
      <c r="AO17">
        <f>AE6+AE17+AE27+AE37+AE47+Z57+Z67+Q20+AO16</f>
        <v>961919.87218509091</v>
      </c>
      <c r="AP17">
        <f t="shared" si="55"/>
        <v>1010901.8059341798</v>
      </c>
      <c r="AQ17">
        <f t="shared" si="56"/>
        <v>1034727.8913273724</v>
      </c>
      <c r="AR17">
        <f>AE6+AE17+Z27+Z37+Z47+Z57+Z67+Q30+AN16</f>
        <v>986575.11367745593</v>
      </c>
      <c r="AW17">
        <f t="shared" ref="AW17" si="60">(AW5)/($B$6*$B$7*2)</f>
        <v>27.716047860705064</v>
      </c>
      <c r="AY17">
        <v>3</v>
      </c>
      <c r="AZ17">
        <f t="shared" ref="AZ17:BB17" si="61">(AZ5)/($B$6*$B$7*2)</f>
        <v>20.823476980244216</v>
      </c>
      <c r="BA17">
        <f t="shared" si="61"/>
        <v>16.623758288049654</v>
      </c>
      <c r="BB17">
        <f t="shared" si="61"/>
        <v>18.705670959483292</v>
      </c>
      <c r="BD17">
        <v>3</v>
      </c>
      <c r="BE17">
        <f t="shared" ref="BE17:BF17" si="62">(BE5)/($B$6*$B$7*2)</f>
        <v>20.823476980244216</v>
      </c>
      <c r="BF17">
        <f t="shared" si="62"/>
        <v>16.623758288049654</v>
      </c>
      <c r="BG17">
        <f t="shared" ref="BG17:BK17" si="63">(BG5)/($B$6*$B$7*2)</f>
        <v>17.120111742630293</v>
      </c>
      <c r="BH17">
        <f t="shared" si="63"/>
        <v>18.381711253879342</v>
      </c>
      <c r="BI17">
        <f t="shared" si="63"/>
        <v>19.665336851234898</v>
      </c>
      <c r="BJ17">
        <f t="shared" si="63"/>
        <v>20.290856305654206</v>
      </c>
      <c r="BK17">
        <f t="shared" si="63"/>
        <v>20.931681904717081</v>
      </c>
      <c r="BN17">
        <v>3</v>
      </c>
      <c r="BO17">
        <f t="shared" ref="BO17:BU17" si="64">(BO5)/($B$6*$B$7*2)</f>
        <v>20.823476980244216</v>
      </c>
      <c r="BP17">
        <f t="shared" si="64"/>
        <v>18.705670959483292</v>
      </c>
      <c r="BQ17">
        <f t="shared" si="64"/>
        <v>19.202024414063931</v>
      </c>
      <c r="BR17">
        <f t="shared" si="64"/>
        <v>20.46362392531298</v>
      </c>
      <c r="BS17">
        <f t="shared" si="64"/>
        <v>21.747249522668533</v>
      </c>
      <c r="BT17">
        <f t="shared" si="64"/>
        <v>22.372768977087844</v>
      </c>
      <c r="BU17">
        <f t="shared" si="64"/>
        <v>23.013594576150716</v>
      </c>
    </row>
    <row r="18" spans="1:73" x14ac:dyDescent="0.35">
      <c r="A18" t="s">
        <v>34</v>
      </c>
      <c r="B18">
        <v>950</v>
      </c>
      <c r="C18" t="s">
        <v>35</v>
      </c>
      <c r="D18" t="s">
        <v>36</v>
      </c>
      <c r="E18">
        <f>E17*E16*E15</f>
        <v>1234926</v>
      </c>
      <c r="I18">
        <v>4</v>
      </c>
      <c r="J18">
        <f t="shared" si="47"/>
        <v>20.63046061468</v>
      </c>
      <c r="K18">
        <f t="shared" si="48"/>
        <v>3.2504796047808004</v>
      </c>
      <c r="L18">
        <f t="shared" si="43"/>
        <v>495.13105475231998</v>
      </c>
      <c r="O18">
        <v>1</v>
      </c>
      <c r="P18" t="s">
        <v>96</v>
      </c>
      <c r="Q18">
        <f>($B$10*3*$B$12+2*12*J15)*J4</f>
        <v>19488.763636363634</v>
      </c>
      <c r="T18" t="s">
        <v>117</v>
      </c>
      <c r="U18">
        <f>U17*E37*E43</f>
        <v>31.24</v>
      </c>
      <c r="Y18">
        <v>4</v>
      </c>
      <c r="Z18">
        <f>(2*$B$7*$B$6*(J18+K18)*$Q$4+$B$24*0+$B$38*$Q$4+$B$44*$Q$4)*J7</f>
        <v>32171.196754274431</v>
      </c>
      <c r="AA18" s="14">
        <f t="shared" si="49"/>
        <v>47101.849167933207</v>
      </c>
      <c r="AB18">
        <f t="shared" si="50"/>
        <v>140938.76430006564</v>
      </c>
      <c r="AD18">
        <v>4</v>
      </c>
      <c r="AE18">
        <f>((J18+K18)*$B$6*$B$7*1*$Q$4+($E$4*$T$4*$B$6*$E$16*$E$17*$Q$4)+$G$9*0+($E$16*$B$6*(1-$S$4)*$E$37*$E$43*$Q$4)+($E$16*$B$6*(1-$S$4)*(1/$E$17)*$E$41*$E$42*$E$43*$Q$4))*J7</f>
        <v>22799.534652489168</v>
      </c>
      <c r="AF18">
        <f t="shared" si="51"/>
        <v>101628.76040394123</v>
      </c>
      <c r="AH18">
        <v>4</v>
      </c>
      <c r="AI18">
        <f t="shared" si="52"/>
        <v>22799.534652489168</v>
      </c>
      <c r="AK18">
        <v>4</v>
      </c>
      <c r="AL18">
        <f t="shared" si="53"/>
        <v>1062953.7847066452</v>
      </c>
      <c r="AM18">
        <f>AE7+AE18+AE28+AE38+AE48+AE58+AE68+Q21+AM17</f>
        <v>1085332.9921931564</v>
      </c>
      <c r="AN18">
        <f t="shared" si="54"/>
        <v>1110281.6270046451</v>
      </c>
      <c r="AO18">
        <f>AE7+AE18+AE28+AE38+AE48+Z58+Z68+Q21+AO17</f>
        <v>1173461.6153762878</v>
      </c>
      <c r="AP18">
        <f t="shared" si="55"/>
        <v>1237788.5465441905</v>
      </c>
      <c r="AQ18">
        <f t="shared" si="56"/>
        <v>1269104.1190015969</v>
      </c>
      <c r="AR18">
        <f>AE7+AE18+Z28+Z38+Z48+Z58+Z68+Q31+AN17</f>
        <v>1179234.2584009715</v>
      </c>
      <c r="AW18">
        <f t="shared" ref="AW18" si="65">(AW6)/($B$6*$B$7*2)</f>
        <v>28.666503243522069</v>
      </c>
      <c r="AY18">
        <v>4</v>
      </c>
      <c r="AZ18">
        <f t="shared" ref="AZ18:BB18" si="66">(AZ6)/($B$6*$B$7*2)</f>
        <v>19.579607433592013</v>
      </c>
      <c r="BA18">
        <f t="shared" si="66"/>
        <v>15.438198890647239</v>
      </c>
      <c r="BB18">
        <f t="shared" si="66"/>
        <v>17.33084677376873</v>
      </c>
      <c r="BD18">
        <v>4</v>
      </c>
      <c r="BE18">
        <f t="shared" ref="BE18:BF18" si="67">(BE6)/($B$6*$B$7*2)</f>
        <v>19.579607433592013</v>
      </c>
      <c r="BF18">
        <f t="shared" si="67"/>
        <v>15.438198890647239</v>
      </c>
      <c r="BG18">
        <f t="shared" ref="BG18:BK18" si="68">(BG6)/($B$6*$B$7*2)</f>
        <v>15.916697330942975</v>
      </c>
      <c r="BH18">
        <f t="shared" si="68"/>
        <v>17.139988915183675</v>
      </c>
      <c r="BI18">
        <f t="shared" si="68"/>
        <v>18.383304214066651</v>
      </c>
      <c r="BJ18">
        <f t="shared" si="68"/>
        <v>18.990133501395601</v>
      </c>
      <c r="BK18">
        <f t="shared" si="68"/>
        <v>19.610877465673248</v>
      </c>
      <c r="BN18">
        <v>4</v>
      </c>
      <c r="BO18">
        <f t="shared" ref="BO18:BU18" si="69">(BO6)/($B$6*$B$7*2)</f>
        <v>19.579607433592013</v>
      </c>
      <c r="BP18">
        <f t="shared" si="69"/>
        <v>17.33084677376873</v>
      </c>
      <c r="BQ18">
        <f t="shared" si="69"/>
        <v>17.809345214064464</v>
      </c>
      <c r="BR18">
        <f t="shared" si="69"/>
        <v>19.032636798305163</v>
      </c>
      <c r="BS18">
        <f t="shared" si="69"/>
        <v>20.275952097188142</v>
      </c>
      <c r="BT18">
        <f t="shared" si="69"/>
        <v>20.882781384517092</v>
      </c>
      <c r="BU18">
        <f t="shared" si="69"/>
        <v>21.503525348794735</v>
      </c>
    </row>
    <row r="19" spans="1:73" x14ac:dyDescent="0.35">
      <c r="A19" t="s">
        <v>37</v>
      </c>
      <c r="B19">
        <v>6</v>
      </c>
      <c r="D19" t="s">
        <v>38</v>
      </c>
      <c r="E19">
        <v>0.6</v>
      </c>
      <c r="I19">
        <v>5</v>
      </c>
      <c r="J19">
        <f t="shared" si="47"/>
        <v>21.496939960496562</v>
      </c>
      <c r="K19">
        <f t="shared" si="48"/>
        <v>3.3739978297624709</v>
      </c>
      <c r="L19">
        <f t="shared" si="43"/>
        <v>515.92655905191748</v>
      </c>
      <c r="O19">
        <v>2</v>
      </c>
      <c r="P19" t="s">
        <v>96</v>
      </c>
      <c r="Q19">
        <f>($B$10*3*$B$12+2*12*J16)*J5</f>
        <v>17732.248661157024</v>
      </c>
      <c r="T19" t="s">
        <v>119</v>
      </c>
      <c r="U19">
        <f>U18*0.876</f>
        <v>27.366239999999998</v>
      </c>
      <c r="Y19">
        <v>5</v>
      </c>
      <c r="Z19">
        <f>(2*$B$7*$B$6*(J19+K19)*$Q$4+$B$24*0+$B$38*$Q$4+$B$44*$Q$4)*J8</f>
        <v>30330.690256886661</v>
      </c>
      <c r="AA19" s="14">
        <f t="shared" si="49"/>
        <v>48847.879965618558</v>
      </c>
      <c r="AB19">
        <f t="shared" si="50"/>
        <v>171269.45455695229</v>
      </c>
      <c r="AD19">
        <v>5</v>
      </c>
      <c r="AE19">
        <f>((J19+K19)*$B$6*$B$7*1*$Q$4+($E$4*$T$4*$B$6*$E$16*$E$17*$Q$4)+$G$9*0+($E$16*$B$6*(1-$S$4)*$E$37*$E$43*$Q$4)+($E$16*$B$6*(1-$S$4)*(1/$E$17)*$E$41*$E$42*$E$43*$Q$4))*J8</f>
        <v>21268.923560581468</v>
      </c>
      <c r="AF19">
        <f>AF18+AE19</f>
        <v>122897.6839645227</v>
      </c>
      <c r="AH19">
        <v>5</v>
      </c>
      <c r="AI19">
        <f t="shared" si="52"/>
        <v>21268.923560581468</v>
      </c>
      <c r="AK19">
        <v>5</v>
      </c>
      <c r="AL19">
        <f t="shared" si="53"/>
        <v>1290222.9796792557</v>
      </c>
      <c r="AM19">
        <f>AE8+AE19+AE29+AE39+AE49+AE59+AE69+Q22+AM18</f>
        <v>1262355.4959021159</v>
      </c>
      <c r="AN19">
        <f t="shared" si="54"/>
        <v>1292991.5270599511</v>
      </c>
      <c r="AO19">
        <f>AE8+AE19+AE29+AE39+AE49+Z59+Z69+Q22+AO18</f>
        <v>1370789.4291141261</v>
      </c>
      <c r="AP19">
        <f t="shared" si="55"/>
        <v>1449958.9400428473</v>
      </c>
      <c r="AQ19">
        <f t="shared" si="56"/>
        <v>1488529.2384888045</v>
      </c>
      <c r="AR19">
        <f>AE8+AE19+Z29+Z39+Z49+Z59+Z69+Q32+AN18</f>
        <v>1358353.1044043906</v>
      </c>
      <c r="AW19">
        <f t="shared" ref="AW19" si="70">(AW7)/($B$6*$B$7*2)</f>
        <v>29.656401814563225</v>
      </c>
      <c r="AY19">
        <v>5</v>
      </c>
      <c r="AZ19">
        <f t="shared" ref="AZ19:BB19" si="71">(AZ7)/($B$6*$B$7*2)</f>
        <v>18.414292251872517</v>
      </c>
      <c r="BA19">
        <f t="shared" si="71"/>
        <v>14.343097043344644</v>
      </c>
      <c r="BB19">
        <f t="shared" si="71"/>
        <v>16.063686028000543</v>
      </c>
      <c r="BD19">
        <v>5</v>
      </c>
      <c r="BE19">
        <f t="shared" ref="BE19:BF19" si="72">(BE7)/($B$6*$B$7*2)</f>
        <v>18.414292251872517</v>
      </c>
      <c r="BF19">
        <f t="shared" si="72"/>
        <v>14.343097043344644</v>
      </c>
      <c r="BG19">
        <f t="shared" ref="BG19:BK19" si="73">(BG7)/($B$6*$B$7*2)</f>
        <v>14.803913470694059</v>
      </c>
      <c r="BH19">
        <f t="shared" si="73"/>
        <v>15.98831743135945</v>
      </c>
      <c r="BI19">
        <f t="shared" si="73"/>
        <v>17.190924768972366</v>
      </c>
      <c r="BJ19">
        <f t="shared" si="73"/>
        <v>17.778732740820573</v>
      </c>
      <c r="BK19">
        <f t="shared" si="73"/>
        <v>18.379190418985772</v>
      </c>
      <c r="BN19">
        <v>5</v>
      </c>
      <c r="BO19">
        <f t="shared" ref="BO19:BU19" si="74">(BO7)/($B$6*$B$7*2)</f>
        <v>18.414292251872517</v>
      </c>
      <c r="BP19">
        <f t="shared" si="74"/>
        <v>16.063686028000543</v>
      </c>
      <c r="BQ19">
        <f t="shared" si="74"/>
        <v>16.52450245534996</v>
      </c>
      <c r="BR19">
        <f t="shared" si="74"/>
        <v>17.708906416015349</v>
      </c>
      <c r="BS19">
        <f t="shared" si="74"/>
        <v>18.911513753628263</v>
      </c>
      <c r="BT19">
        <f t="shared" si="74"/>
        <v>19.49932172547647</v>
      </c>
      <c r="BU19">
        <f t="shared" si="74"/>
        <v>20.099779403641669</v>
      </c>
    </row>
    <row r="20" spans="1:73" x14ac:dyDescent="0.35">
      <c r="A20" t="s">
        <v>39</v>
      </c>
      <c r="B20">
        <v>75000</v>
      </c>
      <c r="D20" t="s">
        <v>40</v>
      </c>
      <c r="E20">
        <f>E18*E19</f>
        <v>740955.6</v>
      </c>
      <c r="I20">
        <v>6</v>
      </c>
      <c r="J20">
        <f t="shared" si="47"/>
        <v>22.399811438837418</v>
      </c>
      <c r="K20">
        <f t="shared" si="48"/>
        <v>3.502209747293445</v>
      </c>
      <c r="O20">
        <v>3</v>
      </c>
      <c r="P20" t="s">
        <v>96</v>
      </c>
      <c r="Q20">
        <f>($B$10*3*$B$12+2*12*J17)*J6</f>
        <v>16134.615895537187</v>
      </c>
      <c r="T20" t="s">
        <v>121</v>
      </c>
      <c r="U20">
        <f>U18*V3</f>
        <v>28.467072620799993</v>
      </c>
      <c r="Y20">
        <v>6</v>
      </c>
      <c r="Z20">
        <f>(2*$B$7*$B$6*(J20+K20)*$Q$4+$B$24*0+$B$38*$Q$4+$B$44*$Q$4)*J9</f>
        <v>28599.846505068646</v>
      </c>
      <c r="AA20" s="14">
        <f t="shared" si="49"/>
        <v>50666.372674365935</v>
      </c>
      <c r="AB20">
        <f t="shared" si="50"/>
        <v>199869.30106202094</v>
      </c>
      <c r="AD20">
        <v>6</v>
      </c>
      <c r="AE20">
        <f>((J20+K20)*$B$6*$B$7*1*$Q$4+($E$4*$T$4*$B$6*$E$16*$E$17*$Q$4)+$G$9*0+($E$16*$B$6*(1-$S$4)*$E$37*$E$43*$Q$4)+($E$16*$B$6*(1-$S$4)*(1/$E$17)*$E$41*$E$42*$E$43*$Q$4))*J9</f>
        <v>19848.63091811445</v>
      </c>
      <c r="AH20">
        <v>6</v>
      </c>
      <c r="AI20">
        <f t="shared" si="52"/>
        <v>19848.63091811445</v>
      </c>
      <c r="AK20">
        <v>6</v>
      </c>
      <c r="AL20">
        <f t="shared" si="53"/>
        <v>1504013.9075129924</v>
      </c>
      <c r="AM20">
        <f>AE9+AE20+AE30+AE40+AE50+AE60+AE70+Q23+AM19</f>
        <v>1426888.5606501873</v>
      </c>
      <c r="AN20">
        <f t="shared" si="54"/>
        <v>1462996.6501809333</v>
      </c>
      <c r="AO20">
        <f>AE9+AE20+AE30+AE40+AE50+Z60+Z70+Q23+AO19</f>
        <v>1554928.6784006697</v>
      </c>
      <c r="AP20">
        <f t="shared" si="55"/>
        <v>1648436.5573843035</v>
      </c>
      <c r="AQ20">
        <f t="shared" si="56"/>
        <v>1694024.4385556681</v>
      </c>
      <c r="AR20">
        <f>AE9+AE20+Z30+Z40+Z50+Z60+Z70+Q33+AN19</f>
        <v>1524951.2479649379</v>
      </c>
      <c r="AW20">
        <f t="shared" ref="AW20" si="75">(AW8)/($B$6*$B$7*2)</f>
        <v>30.687382102095476</v>
      </c>
      <c r="AY20">
        <v>6</v>
      </c>
      <c r="AZ20">
        <f t="shared" ref="AZ20:BB20" si="76">(AZ8)/($B$6*$B$7*2)</f>
        <v>17.32222717823177</v>
      </c>
      <c r="BA20">
        <f t="shared" si="76"/>
        <v>13.331150927570199</v>
      </c>
      <c r="BB20">
        <f t="shared" si="76"/>
        <v>14.895322731802835</v>
      </c>
      <c r="BE20">
        <f t="shared" ref="BE20:BK20" si="77">(BE8)/($B$6*$B$7*2)</f>
        <v>17.32222717823177</v>
      </c>
      <c r="BF20">
        <f t="shared" si="77"/>
        <v>13.331150927570199</v>
      </c>
      <c r="BG20">
        <f t="shared" si="77"/>
        <v>13.774519779693904</v>
      </c>
      <c r="BH20">
        <f t="shared" si="77"/>
        <v>14.919725270340594</v>
      </c>
      <c r="BI20">
        <f t="shared" si="77"/>
        <v>16.081479285485035</v>
      </c>
      <c r="BJ20">
        <f t="shared" si="77"/>
        <v>16.650072927148244</v>
      </c>
      <c r="BK20">
        <f t="shared" si="77"/>
        <v>17.230166301826905</v>
      </c>
      <c r="BO20">
        <f t="shared" ref="BO20:BU20" si="78">(BO8)/($B$6*$B$7*2)</f>
        <v>17.32222717823177</v>
      </c>
      <c r="BP20">
        <f t="shared" si="78"/>
        <v>14.895322731802835</v>
      </c>
      <c r="BQ20">
        <f t="shared" si="78"/>
        <v>15.338691583926542</v>
      </c>
      <c r="BR20">
        <f t="shared" si="78"/>
        <v>16.483897074573228</v>
      </c>
      <c r="BS20">
        <f t="shared" si="78"/>
        <v>17.645651089717671</v>
      </c>
      <c r="BT20">
        <f t="shared" si="78"/>
        <v>18.21424473138088</v>
      </c>
      <c r="BU20">
        <f t="shared" si="78"/>
        <v>18.794338106059541</v>
      </c>
    </row>
    <row r="21" spans="1:73" x14ac:dyDescent="0.35">
      <c r="A21" t="s">
        <v>41</v>
      </c>
      <c r="B21">
        <v>50000</v>
      </c>
      <c r="D21" t="s">
        <v>42</v>
      </c>
      <c r="E21">
        <v>44150.400000000001</v>
      </c>
      <c r="I21">
        <v>7</v>
      </c>
      <c r="J21">
        <f t="shared" si="47"/>
        <v>23.340603519268591</v>
      </c>
      <c r="K21">
        <f t="shared" si="48"/>
        <v>3.6352937176905962</v>
      </c>
      <c r="O21">
        <v>4</v>
      </c>
      <c r="P21" t="s">
        <v>96</v>
      </c>
      <c r="Q21">
        <f>($B$10*3*$B$12+2*12*J18)*J7</f>
        <v>14681.463735231415</v>
      </c>
      <c r="Y21">
        <v>7</v>
      </c>
      <c r="Z21">
        <f>(2*$B$7*$B$6*(J21+K21)*$Q$4+$B$24*0+$B$38*$Q$4+$B$44*$Q$4)*J10</f>
        <v>26971.763927102191</v>
      </c>
      <c r="AA21" s="14">
        <f t="shared" si="49"/>
        <v>52560.337581907224</v>
      </c>
      <c r="AB21">
        <f t="shared" si="50"/>
        <v>226841.06498912314</v>
      </c>
      <c r="AD21">
        <v>7</v>
      </c>
      <c r="AE21">
        <f>((J21+K21)*$B$6*$B$7*1*$Q$4+($E$4*$T$4*$B$6*$E$16*$E$17*$Q$4)+$G$9*0+($E$16*$B$6*(1-$S$4)*$E$37*$E$43*$Q$4)+($E$16*$B$6*(1-$S$4)*(1/$E$17)*$E$41*$E$42*$E$43*$Q$4))*J10</f>
        <v>18530.161659533027</v>
      </c>
      <c r="AH21">
        <v>7</v>
      </c>
      <c r="AI21">
        <f t="shared" si="52"/>
        <v>18530.161659533027</v>
      </c>
      <c r="AK21">
        <v>7</v>
      </c>
      <c r="AL21">
        <f t="shared" si="53"/>
        <v>1705169.9002148388</v>
      </c>
      <c r="AM21">
        <f>AE10+AE21+AE31+AE41+AE51+AE61+AE71+Q24+AM20</f>
        <v>1579875.9625408154</v>
      </c>
      <c r="AN21">
        <f t="shared" si="54"/>
        <v>1621244.3045157893</v>
      </c>
      <c r="AO21">
        <f>AE10+AE21+AE31+AE41+AE51+Z61+Z71+Q24+AO20</f>
        <v>1726825.7093902959</v>
      </c>
      <c r="AP21">
        <f t="shared" si="55"/>
        <v>1834168.6394735647</v>
      </c>
      <c r="AQ21">
        <f t="shared" si="56"/>
        <v>1886536.0567971503</v>
      </c>
      <c r="AR21">
        <f>AE10+AE21+Z31+Z41+Z51+Z61+Z71+Q34+AN20</f>
        <v>1679966.8392225602</v>
      </c>
      <c r="AW21">
        <f>(AW9)/($B$6*$B$7*2)</f>
        <v>28.256476199658429</v>
      </c>
      <c r="AY21">
        <v>7</v>
      </c>
      <c r="AZ21">
        <f>(AZ9)/($B$6*$B$7*2)</f>
        <v>16.298492359572712</v>
      </c>
      <c r="BA21">
        <f t="shared" ref="AZ21:BB21" si="79">(BA9)/($B$6*$B$7*2)</f>
        <v>12.395673463833086</v>
      </c>
      <c r="BB21">
        <f t="shared" si="79"/>
        <v>13.817647831317302</v>
      </c>
      <c r="BE21">
        <f t="shared" ref="BE21:BK21" si="80">(BE9)/($B$6*$B$7*2)</f>
        <v>16.298492359572712</v>
      </c>
      <c r="BF21">
        <f t="shared" si="80"/>
        <v>12.395673463833086</v>
      </c>
      <c r="BG21">
        <f t="shared" si="80"/>
        <v>12.821880921637977</v>
      </c>
      <c r="BH21">
        <f t="shared" si="80"/>
        <v>13.927809997538983</v>
      </c>
      <c r="BI21">
        <f t="shared" si="80"/>
        <v>15.048783186619763</v>
      </c>
      <c r="BJ21">
        <f t="shared" si="80"/>
        <v>15.598089308173899</v>
      </c>
      <c r="BK21">
        <f t="shared" si="80"/>
        <v>16.157849732469355</v>
      </c>
      <c r="BO21">
        <f t="shared" ref="BO21:BU21" si="81">(BO9)/($B$6*$B$7*2)</f>
        <v>16.298492359572712</v>
      </c>
      <c r="BP21">
        <f t="shared" si="81"/>
        <v>13.817647831317299</v>
      </c>
      <c r="BQ21">
        <f t="shared" si="81"/>
        <v>14.243855289122189</v>
      </c>
      <c r="BR21">
        <f t="shared" si="81"/>
        <v>15.349784365023197</v>
      </c>
      <c r="BS21">
        <f t="shared" si="81"/>
        <v>16.470757554103976</v>
      </c>
      <c r="BT21">
        <f t="shared" si="81"/>
        <v>17.020063675658111</v>
      </c>
      <c r="BU21">
        <f t="shared" si="81"/>
        <v>17.579824099953569</v>
      </c>
    </row>
    <row r="22" spans="1:73" x14ac:dyDescent="0.35">
      <c r="A22" t="s">
        <v>43</v>
      </c>
      <c r="B22">
        <f>3*30*17.5</f>
        <v>1575</v>
      </c>
      <c r="I22">
        <v>8</v>
      </c>
      <c r="J22">
        <f t="shared" si="47"/>
        <v>24.320908867077872</v>
      </c>
      <c r="K22">
        <f t="shared" si="48"/>
        <v>3.7734348789628389</v>
      </c>
      <c r="O22">
        <v>5</v>
      </c>
      <c r="P22" t="s">
        <v>96</v>
      </c>
      <c r="Q22">
        <f>($B$10*3*$B$12+2*12*J19)*J8</f>
        <v>13359.697585890128</v>
      </c>
      <c r="Y22" t="s">
        <v>89</v>
      </c>
      <c r="Z22">
        <f>(2*$B$7*$B$6*(J22+K22)*$Q$4+$B$24*0+$B$38*$Q$4+$B$44*$Q$4)*J11</f>
        <v>25440.005049187916</v>
      </c>
      <c r="AB22">
        <f t="shared" si="50"/>
        <v>252281.07003831107</v>
      </c>
      <c r="AD22" t="s">
        <v>89</v>
      </c>
      <c r="AE22">
        <f>((J22+K22)*$B$6*$B$7*1*$Q$4+($E$4*$T$4*$B$6*$E$16*$E$17*$Q$4)+$G$9*0+($E$16*$B$6*(1-$S$4)*$E$37*$E$43*$Q$4)+($E$16*$B$6*(1-$S$4)*(1/$E$17)*$E$41*$E$42*$E$43*$Q$4))*J11</f>
        <v>17305.711339122987</v>
      </c>
      <c r="AH22" t="s">
        <v>89</v>
      </c>
      <c r="AI22">
        <f t="shared" si="52"/>
        <v>17305.711339122987</v>
      </c>
      <c r="AK22">
        <v>8</v>
      </c>
      <c r="AL22">
        <f t="shared" si="53"/>
        <v>1895237.9750215767</v>
      </c>
      <c r="AM22">
        <f>AE11+AE22+AE32+AE42+AE52+AE62+AE72+Q25+AM21</f>
        <v>1722185.8753693805</v>
      </c>
      <c r="AN22">
        <f t="shared" si="54"/>
        <v>1768606.7284622015</v>
      </c>
      <c r="AO22">
        <f>AE11+AE22+AE32+AE42+AE52+Z62+Z72+Q25+AO21</f>
        <v>1887354.2771841777</v>
      </c>
      <c r="AP22">
        <f t="shared" si="55"/>
        <v>2008032.1460647932</v>
      </c>
      <c r="AQ22">
        <f t="shared" si="56"/>
        <v>2067701.4556382401</v>
      </c>
      <c r="AR22">
        <f>AE11+AE22+Z32+Z42+Z52+Z62+Z72+Q35+AN21</f>
        <v>1825023.4165384334</v>
      </c>
    </row>
    <row r="23" spans="1:73" x14ac:dyDescent="0.35">
      <c r="D23" s="1" t="s">
        <v>44</v>
      </c>
      <c r="O23">
        <v>6</v>
      </c>
      <c r="P23" t="s">
        <v>96</v>
      </c>
      <c r="Q23">
        <f>($B$10*3*$B$12+2*12*J20)*J9</f>
        <v>12157.411161417582</v>
      </c>
      <c r="T23" t="s">
        <v>140</v>
      </c>
      <c r="U23" t="s">
        <v>141</v>
      </c>
      <c r="Y23" t="s">
        <v>11</v>
      </c>
      <c r="Z23" t="s">
        <v>88</v>
      </c>
      <c r="AB23" t="s">
        <v>93</v>
      </c>
      <c r="AD23" t="s">
        <v>11</v>
      </c>
      <c r="AE23" t="s">
        <v>91</v>
      </c>
      <c r="AF23" t="s">
        <v>98</v>
      </c>
      <c r="AH23" t="s">
        <v>11</v>
      </c>
      <c r="AI23" t="s">
        <v>92</v>
      </c>
      <c r="AY23" s="1" t="s">
        <v>142</v>
      </c>
      <c r="BD23" s="1" t="str">
        <f>AY23</f>
        <v>YOM</v>
      </c>
    </row>
    <row r="24" spans="1:73" x14ac:dyDescent="0.35">
      <c r="A24" t="s">
        <v>45</v>
      </c>
      <c r="B24">
        <f>E24*0.01*E26*E27*52</f>
        <v>24744.844799999999</v>
      </c>
      <c r="D24" t="s">
        <v>46</v>
      </c>
      <c r="E24">
        <v>18135</v>
      </c>
      <c r="F24" t="s">
        <v>47</v>
      </c>
      <c r="O24">
        <v>7</v>
      </c>
      <c r="P24" t="s">
        <v>96</v>
      </c>
      <c r="Q24">
        <f>($B$10*3*$B$12+2*12*J21)*J10</f>
        <v>11063.77856717244</v>
      </c>
      <c r="S24">
        <v>1</v>
      </c>
      <c r="T24">
        <f>$U$20*J4</f>
        <v>25.879156927999993</v>
      </c>
      <c r="U24">
        <f>$U$19*J4</f>
        <v>24.878399999999996</v>
      </c>
      <c r="V24">
        <f>T24</f>
        <v>25.879156927999993</v>
      </c>
      <c r="Y24">
        <v>0</v>
      </c>
      <c r="Z24">
        <v>0</v>
      </c>
      <c r="AA24" s="14">
        <v>0</v>
      </c>
      <c r="AB24">
        <f>Z24</f>
        <v>0</v>
      </c>
      <c r="AD24">
        <v>0</v>
      </c>
      <c r="AE24">
        <v>0</v>
      </c>
      <c r="AF24">
        <f>AE24</f>
        <v>0</v>
      </c>
      <c r="AH24">
        <v>0</v>
      </c>
      <c r="AI24">
        <f>AF24</f>
        <v>0</v>
      </c>
      <c r="AY24" t="s">
        <v>11</v>
      </c>
      <c r="AZ24" t="s">
        <v>10</v>
      </c>
      <c r="BA24" t="s">
        <v>91</v>
      </c>
      <c r="BB24" t="s">
        <v>92</v>
      </c>
      <c r="BD24" t="s">
        <v>11</v>
      </c>
      <c r="BE24" t="s">
        <v>10</v>
      </c>
      <c r="BF24" t="s">
        <v>91</v>
      </c>
      <c r="BG24" t="s">
        <v>86</v>
      </c>
      <c r="BH24" t="s">
        <v>99</v>
      </c>
      <c r="BI24" t="s">
        <v>100</v>
      </c>
      <c r="BJ24" t="s">
        <v>101</v>
      </c>
      <c r="BK24" t="s">
        <v>102</v>
      </c>
      <c r="BN24" t="s">
        <v>11</v>
      </c>
      <c r="BO24" t="s">
        <v>10</v>
      </c>
      <c r="BP24" t="s">
        <v>92</v>
      </c>
      <c r="BQ24" t="s">
        <v>86</v>
      </c>
      <c r="BR24" t="s">
        <v>99</v>
      </c>
      <c r="BS24" t="s">
        <v>100</v>
      </c>
      <c r="BT24" t="s">
        <v>101</v>
      </c>
      <c r="BU24" t="s">
        <v>102</v>
      </c>
    </row>
    <row r="25" spans="1:73" x14ac:dyDescent="0.35">
      <c r="D25" t="s">
        <v>48</v>
      </c>
      <c r="E25">
        <v>17.40959999999999</v>
      </c>
      <c r="Q25">
        <f>($B$10*3*$B$12+2*12*J22)*J11</f>
        <v>10068.956187922</v>
      </c>
      <c r="S25">
        <v>2</v>
      </c>
      <c r="T25">
        <f>$U$20*J5</f>
        <v>23.526506298181811</v>
      </c>
      <c r="U25">
        <f>$U$19*J5</f>
        <v>22.616727272727267</v>
      </c>
      <c r="V25">
        <f>(V24+T25)/2</f>
        <v>24.7028316130909</v>
      </c>
      <c r="Y25">
        <v>1</v>
      </c>
      <c r="Z25">
        <f>(2*$B$7*$B$6*(J15+K15)*$Q$5+$B$24*0+$B$38*$Q$5+$B$44*$Q$5)*J4</f>
        <v>31623.992888463352</v>
      </c>
      <c r="AA25" s="14">
        <f>(2*$B$7*$B$6*(J15+K15)*$Q$5+$B$24*0+$B$38*$Q$5+$B$44*$Q$5)</f>
        <v>34786.392177309688</v>
      </c>
      <c r="AB25">
        <f>AB24+Z25</f>
        <v>31623.992888463352</v>
      </c>
      <c r="AD25">
        <v>1</v>
      </c>
      <c r="AE25">
        <f>((J15+K15)*$B$6*$B$7*1*$Q$5+($E$4*$T$5*$B$6*$E$16*$E$17*$Q$5)+$G$9*0+($E$16*$B$6*(1-$S$5)*$E$37*$E$43*$Q$5)+($E$16*$B$6*(1-$S$5)*(1/$E$17)*$E$41*$E$42*$E$43*$Q$5))*J4</f>
        <v>23234.279703219872</v>
      </c>
      <c r="AF25">
        <f>AF24+AE25</f>
        <v>23234.279703219872</v>
      </c>
      <c r="AH25">
        <v>1</v>
      </c>
      <c r="AI25">
        <f>AE25</f>
        <v>23234.279703219872</v>
      </c>
      <c r="AV25">
        <f>AW25*J4</f>
        <v>2.5577845653788924</v>
      </c>
      <c r="AW25">
        <f>$AT$5-AW15</f>
        <v>2.8135630219167815</v>
      </c>
      <c r="AX25">
        <f>$AT$5*J4</f>
        <v>26.128</v>
      </c>
      <c r="AY25">
        <v>1</v>
      </c>
      <c r="AZ25">
        <f>$AT$5*J4-AZ15</f>
        <v>2.557784565378892</v>
      </c>
      <c r="BA25">
        <f>$AT$4*J4-BA15</f>
        <v>-11.11911053544781</v>
      </c>
      <c r="BB25">
        <f>$AT$4*J4-BB15</f>
        <v>-5.1306896223793501</v>
      </c>
      <c r="BD25">
        <v>1</v>
      </c>
      <c r="BE25">
        <f>AZ25</f>
        <v>2.557784565378892</v>
      </c>
      <c r="BF25">
        <f>$AT$4*$J4-BF15</f>
        <v>-11.11911053544781</v>
      </c>
      <c r="BG25">
        <f>$AT$4*$J4-BG15</f>
        <v>-11.651391332920198</v>
      </c>
      <c r="BH25">
        <f>$AT$4*$J4-BH15</f>
        <v>-12.986586152617697</v>
      </c>
      <c r="BI25">
        <f>$AT$4*$J4-BI15</f>
        <v>-14.348432536504063</v>
      </c>
      <c r="BJ25">
        <f>$AT$4*$J4-BJ15</f>
        <v>-15.00968144075317</v>
      </c>
      <c r="BK25">
        <f>$AT$4*$J4-BK15</f>
        <v>-15.689450780020998</v>
      </c>
      <c r="BN25">
        <v>1</v>
      </c>
      <c r="BO25">
        <f>AZ25</f>
        <v>2.557784565378892</v>
      </c>
      <c r="BP25">
        <f>$AT$4*$J4-BP15</f>
        <v>-5.1306896223793501</v>
      </c>
      <c r="BQ25">
        <f>$AT$4*$J4-BQ15</f>
        <v>-5.6629704198517459</v>
      </c>
      <c r="BR25">
        <f>$AT$4*$J4-BR15</f>
        <v>-6.9981652395492375</v>
      </c>
      <c r="BS25">
        <f>$AT$4*$J4-BS15</f>
        <v>-8.3600116234356108</v>
      </c>
      <c r="BT25">
        <f>$AT$4*$J4-BT15</f>
        <v>-9.0212605276847171</v>
      </c>
      <c r="BU25">
        <f>$AT$4*$J4-BU15</f>
        <v>-9.7010298669525383</v>
      </c>
    </row>
    <row r="26" spans="1:73" x14ac:dyDescent="0.35">
      <c r="D26" t="s">
        <v>49</v>
      </c>
      <c r="E26">
        <v>164</v>
      </c>
      <c r="F26" t="s">
        <v>50</v>
      </c>
      <c r="O26" t="s">
        <v>11</v>
      </c>
      <c r="P26" t="s">
        <v>103</v>
      </c>
      <c r="Q26" s="2" t="s">
        <v>104</v>
      </c>
      <c r="S26">
        <v>3</v>
      </c>
      <c r="T26">
        <f>$U$20*J6</f>
        <v>21.387732998347097</v>
      </c>
      <c r="U26">
        <f>$U$19*J6</f>
        <v>20.560661157024786</v>
      </c>
      <c r="V26">
        <f t="shared" ref="V26:V31" si="82">T26</f>
        <v>21.387732998347097</v>
      </c>
      <c r="Y26">
        <v>2</v>
      </c>
      <c r="Z26">
        <f>(2*$B$7*$B$6*(J16+K16)*$Q$5+$B$24*0+$B$38*$Q$5+$B$44*$Q$5)*J5</f>
        <v>29800.239653721594</v>
      </c>
      <c r="AA26" s="14">
        <f t="shared" ref="AA26:AA30" si="83">(2*$B$7*$B$6*(J16+K16)*$Q$5+$B$24*0+$B$38*$Q$5+$B$44*$Q$5)</f>
        <v>36058.28998100313</v>
      </c>
      <c r="AB26">
        <f t="shared" ref="AB26:AB32" si="84">AB25+Z26</f>
        <v>61424.232542184945</v>
      </c>
      <c r="AD26">
        <v>2</v>
      </c>
      <c r="AE26">
        <f>((J16+K16)*$B$6*$B$7*1*$Q$5+($E$4*$T$5*$B$6*$E$16*$E$17*$Q$5)+$G$9*0+($E$16*$B$6*(1-$S$5)*$E$37*$E$43*$Q$5)+($E$16*$B$6*(1-$S$5)*(1/$E$17)*$E$41*$E$42*$E$43*$Q$5))*J5</f>
        <v>21647.650062304609</v>
      </c>
      <c r="AF26">
        <f t="shared" ref="AF26:AF29" si="85">AF25+AE26</f>
        <v>44881.929765524481</v>
      </c>
      <c r="AH26">
        <v>2</v>
      </c>
      <c r="AI26">
        <f t="shared" ref="AI26:AI31" si="86">AE26</f>
        <v>21647.650062304609</v>
      </c>
      <c r="AV26">
        <f t="shared" ref="AV26:AV31" si="87">AW26*J5</f>
        <v>1.6011053332535363</v>
      </c>
      <c r="AW26">
        <f t="shared" ref="AW26:AW31" si="88">$AT$5-AW16</f>
        <v>1.9373374532367791</v>
      </c>
      <c r="AX26">
        <f t="shared" ref="AX26:AX31" si="89">$AT$5*J5</f>
        <v>23.75272727272727</v>
      </c>
      <c r="AY26">
        <v>2</v>
      </c>
      <c r="AZ26">
        <f t="shared" ref="AZ26:AZ29" si="90">$AT$5*J5-AZ16</f>
        <v>1.6011053332535354</v>
      </c>
      <c r="BA26">
        <f>$AT$4*J5-BA16</f>
        <v>6.500758860380607</v>
      </c>
      <c r="BB26">
        <f t="shared" ref="BB26:BB29" si="91">$AT$4*J5-BB16</f>
        <v>4.2106549218036058</v>
      </c>
      <c r="BD26">
        <v>2</v>
      </c>
      <c r="BE26">
        <f t="shared" ref="BE26:BE29" si="92">AZ26</f>
        <v>1.6011053332535354</v>
      </c>
      <c r="BF26">
        <f>$AT$4*$J5-BF16</f>
        <v>6.500758860380607</v>
      </c>
      <c r="BG26">
        <f>$AT$4*$J5-BG16</f>
        <v>5.9864497433395911</v>
      </c>
      <c r="BH26">
        <f>$AT$4*$J5-BH16</f>
        <v>4.6874311072674892</v>
      </c>
      <c r="BI26">
        <f>$AT$4*$J5-BI16</f>
        <v>3.3641837764782281</v>
      </c>
      <c r="BJ26">
        <f>$AT$4*$J5-BJ16</f>
        <v>2.7204639328137503</v>
      </c>
      <c r="BK26">
        <f>$AT$4*$J5-BK16</f>
        <v>2.059907330041348</v>
      </c>
      <c r="BN26">
        <v>2</v>
      </c>
      <c r="BO26">
        <f t="shared" ref="BO26:BO29" si="93">AZ26</f>
        <v>1.6011053332535354</v>
      </c>
      <c r="BP26">
        <f>$AT$4*$J5-BP16</f>
        <v>4.2106549218036058</v>
      </c>
      <c r="BQ26">
        <f>$AT$4*$J5-BQ16</f>
        <v>3.6963458047625899</v>
      </c>
      <c r="BR26">
        <f>$AT$4*$J5-BR16</f>
        <v>2.3973271686904916</v>
      </c>
      <c r="BS26">
        <f>$AT$4*$J5-BS16</f>
        <v>1.0740798379012304</v>
      </c>
      <c r="BT26">
        <f>$AT$4*$J5-BT16</f>
        <v>0.43035999423674909</v>
      </c>
      <c r="BU26">
        <f>$AT$4*$J5-BU16</f>
        <v>-0.23019660853565327</v>
      </c>
    </row>
    <row r="27" spans="1:73" x14ac:dyDescent="0.35">
      <c r="D27" t="s">
        <v>51</v>
      </c>
      <c r="E27">
        <v>1.6E-2</v>
      </c>
      <c r="O27">
        <v>0</v>
      </c>
      <c r="P27" t="s">
        <v>94</v>
      </c>
      <c r="Q27">
        <f>$B$20+$B$21+12*2*J14</f>
        <v>125420</v>
      </c>
      <c r="S27">
        <v>4</v>
      </c>
      <c r="T27">
        <f>$U$20*J7</f>
        <v>19.443393634860996</v>
      </c>
      <c r="U27">
        <f>$U$19*J7</f>
        <v>18.691510142749806</v>
      </c>
      <c r="V27">
        <f t="shared" ref="V27:V31" si="94">(V26+T27)/2</f>
        <v>20.415563316604047</v>
      </c>
      <c r="Y27">
        <v>3</v>
      </c>
      <c r="Z27">
        <f>(2*$B$7*$B$6*(J17+K17)*$Q$5+$B$24*0+$B$38*$Q$5+$B$44*$Q$5)*J6</f>
        <v>28086.375878984018</v>
      </c>
      <c r="AA27" s="14">
        <f t="shared" si="83"/>
        <v>37382.966294927741</v>
      </c>
      <c r="AB27">
        <f t="shared" si="84"/>
        <v>89510.608421168959</v>
      </c>
      <c r="AD27">
        <v>3</v>
      </c>
      <c r="AE27">
        <f>((J17+K17)*$B$6*$B$7*1*$Q$5+($E$4*$T$5*$B$6*$E$16*$E$17*$Q$5)+$G$9*0+($E$16*$B$6*(1-$S$5)*$E$37*$E$43*$Q$5)+($E$16*$B$6*(1-$S$5)*(1/$E$17)*$E$41*$E$42*$E$43*$Q$5))*J6</f>
        <v>20177.306335350018</v>
      </c>
      <c r="AF27">
        <f t="shared" si="85"/>
        <v>65059.236100874499</v>
      </c>
      <c r="AH27">
        <v>3</v>
      </c>
      <c r="AI27">
        <f t="shared" si="86"/>
        <v>20177.306335350018</v>
      </c>
      <c r="AK27" t="s">
        <v>11</v>
      </c>
      <c r="AL27" t="s">
        <v>10</v>
      </c>
      <c r="AM27" t="s">
        <v>92</v>
      </c>
      <c r="AN27" t="s">
        <v>86</v>
      </c>
      <c r="AO27" t="s">
        <v>99</v>
      </c>
      <c r="AP27" t="s">
        <v>100</v>
      </c>
      <c r="AQ27" t="s">
        <v>101</v>
      </c>
      <c r="AR27" t="s">
        <v>102</v>
      </c>
      <c r="AV27">
        <f t="shared" si="87"/>
        <v>0.76991144950784041</v>
      </c>
      <c r="AW27">
        <f t="shared" si="88"/>
        <v>1.0247521392949359</v>
      </c>
      <c r="AX27">
        <f t="shared" si="89"/>
        <v>21.593388429752061</v>
      </c>
      <c r="AY27">
        <v>3</v>
      </c>
      <c r="AZ27">
        <f t="shared" si="90"/>
        <v>0.76991144950784474</v>
      </c>
      <c r="BA27">
        <f t="shared" ref="BA26:BA29" si="95">$AT$4*J6-BA17</f>
        <v>5.5657954309586017</v>
      </c>
      <c r="BB27">
        <f t="shared" si="91"/>
        <v>3.4838827595249633</v>
      </c>
      <c r="BD27">
        <v>3</v>
      </c>
      <c r="BE27">
        <f t="shared" si="92"/>
        <v>0.76991144950784474</v>
      </c>
      <c r="BF27">
        <f>$AT$4*$J6-BF17</f>
        <v>5.5657954309586017</v>
      </c>
      <c r="BG27">
        <f>$AT$4*$J6-BG17</f>
        <v>5.0694419763779628</v>
      </c>
      <c r="BH27">
        <f>$AT$4*$J6-BH17</f>
        <v>3.807842465128914</v>
      </c>
      <c r="BI27">
        <f>$AT$4*$J6-BI17</f>
        <v>2.5242168677733581</v>
      </c>
      <c r="BJ27">
        <f>$AT$4*$J6-BJ17</f>
        <v>1.89869741335405</v>
      </c>
      <c r="BK27">
        <f>$AT$4*$J6-BK17</f>
        <v>1.2578718142911747</v>
      </c>
      <c r="BN27">
        <v>3</v>
      </c>
      <c r="BO27">
        <f t="shared" si="93"/>
        <v>0.76991144950784474</v>
      </c>
      <c r="BP27">
        <f>$AT$4*$J6-BP17</f>
        <v>3.4838827595249633</v>
      </c>
      <c r="BQ27">
        <f>$AT$4*$J6-BQ17</f>
        <v>2.9875293049443243</v>
      </c>
      <c r="BR27">
        <f>$AT$4*$J6-BR17</f>
        <v>1.7259297936952755</v>
      </c>
      <c r="BS27">
        <f>$AT$4*$J6-BS17</f>
        <v>0.44230419633972318</v>
      </c>
      <c r="BT27">
        <f>$AT$4*$J6-BT17</f>
        <v>-0.18321525807958849</v>
      </c>
      <c r="BU27">
        <f>$AT$4*$J6-BU17</f>
        <v>-0.82404085714246023</v>
      </c>
    </row>
    <row r="28" spans="1:73" x14ac:dyDescent="0.35">
      <c r="D28" t="s">
        <v>52</v>
      </c>
      <c r="E28">
        <f>E26*E27</f>
        <v>2.6240000000000001</v>
      </c>
      <c r="O28">
        <v>1</v>
      </c>
      <c r="P28" t="s">
        <v>97</v>
      </c>
      <c r="Q28">
        <f>($B$10*3*$B$12+2*12*J15+3*12*$B$18)*J4</f>
        <v>50579.672727272722</v>
      </c>
      <c r="S28">
        <v>5</v>
      </c>
      <c r="T28">
        <f>$U$20*J8</f>
        <v>17.675812395328176</v>
      </c>
      <c r="U28">
        <f>$U$19*J8</f>
        <v>16.992281947954368</v>
      </c>
      <c r="V28">
        <f t="shared" ref="V28:V31" si="96">T28</f>
        <v>17.675812395328176</v>
      </c>
      <c r="Y28">
        <v>4</v>
      </c>
      <c r="Z28">
        <f>(2*$B$7*$B$6*(J18+K18)*$Q$5+$B$24*0+$B$38*$Q$5+$B$44*$Q$5)*J7</f>
        <v>26475.386552153064</v>
      </c>
      <c r="AA28" s="14">
        <f t="shared" si="83"/>
        <v>38762.61345100731</v>
      </c>
      <c r="AB28">
        <f t="shared" si="84"/>
        <v>115985.99497332203</v>
      </c>
      <c r="AD28">
        <v>4</v>
      </c>
      <c r="AE28">
        <f>((J18+K18)*$B$6*$B$7*1*$Q$5+($E$4*$T$5*$B$6*$E$16*$E$17*$Q$5)+$G$9*0+($E$16*$B$6*(1-$S$5)*$E$37*$E$43*$Q$5)+($E$16*$B$6*(1-$S$5)*(1/$E$17)*$E$41*$E$42*$E$43*$Q$5))*J7</f>
        <v>18814.164545038355</v>
      </c>
      <c r="AF28">
        <f t="shared" si="85"/>
        <v>83873.400645912858</v>
      </c>
      <c r="AH28">
        <v>4</v>
      </c>
      <c r="AI28">
        <f t="shared" si="86"/>
        <v>18814.164545038355</v>
      </c>
      <c r="AK28">
        <v>0</v>
      </c>
      <c r="AL28">
        <f t="shared" ref="AL28:AL33" si="97">AB3+AB14+AB24+AB34+AB44+AB54+AB64</f>
        <v>0</v>
      </c>
      <c r="AM28">
        <f>AI3+AI14+AI24+AI34+AI44+AI54+AI64+Q27</f>
        <v>125420</v>
      </c>
      <c r="AN28">
        <f>Q27</f>
        <v>125420</v>
      </c>
      <c r="AO28">
        <f>Q27</f>
        <v>125420</v>
      </c>
      <c r="AP28">
        <f>AO28</f>
        <v>125420</v>
      </c>
      <c r="AQ28">
        <f>AP28</f>
        <v>125420</v>
      </c>
      <c r="AR28">
        <f>AF18+AF28+AB38+AB48+AB58+AB68+AB78+Q31</f>
        <v>963293.99897850165</v>
      </c>
      <c r="AV28">
        <f t="shared" si="87"/>
        <v>5.0745684364409058E-2</v>
      </c>
      <c r="AW28">
        <f t="shared" si="88"/>
        <v>7.4296756477931325E-2</v>
      </c>
      <c r="AX28">
        <f t="shared" si="89"/>
        <v>19.630353117956417</v>
      </c>
      <c r="AY28">
        <v>4</v>
      </c>
      <c r="AZ28">
        <f t="shared" si="90"/>
        <v>5.0745684364404298E-2</v>
      </c>
      <c r="BA28">
        <f t="shared" si="95"/>
        <v>4.7341226720875405</v>
      </c>
      <c r="BB28">
        <f t="shared" si="91"/>
        <v>2.8414747889660497</v>
      </c>
      <c r="BD28">
        <v>4</v>
      </c>
      <c r="BE28">
        <f t="shared" si="92"/>
        <v>5.0745684364404298E-2</v>
      </c>
      <c r="BF28">
        <f>$AT$4*$J7-BF18</f>
        <v>4.7341226720875405</v>
      </c>
      <c r="BG28">
        <f>$AT$4*$J7-BG18</f>
        <v>4.2556242317918045</v>
      </c>
      <c r="BH28">
        <f>$AT$4*$J7-BH18</f>
        <v>3.0323326475511045</v>
      </c>
      <c r="BI28">
        <f>$AT$4*$J7-BI18</f>
        <v>1.7890173486681284</v>
      </c>
      <c r="BJ28">
        <f>$AT$4*$J7-BJ18</f>
        <v>1.1821880613391791</v>
      </c>
      <c r="BK28">
        <f>$AT$4*$J7-BK18</f>
        <v>0.56144409706153198</v>
      </c>
      <c r="BN28">
        <v>4</v>
      </c>
      <c r="BO28">
        <f t="shared" si="93"/>
        <v>5.0745684364404298E-2</v>
      </c>
      <c r="BP28">
        <f>$AT$4*$J7-BP18</f>
        <v>2.8414747889660497</v>
      </c>
      <c r="BQ28">
        <f>$AT$4*$J7-BQ18</f>
        <v>2.3629763486703155</v>
      </c>
      <c r="BR28">
        <f>$AT$4*$J7-BR18</f>
        <v>1.1396847644296173</v>
      </c>
      <c r="BS28">
        <f>$AT$4*$J7-BS18</f>
        <v>-0.10363053445336234</v>
      </c>
      <c r="BT28">
        <f>$AT$4*$J7-BT18</f>
        <v>-0.71045982178231171</v>
      </c>
      <c r="BU28">
        <f>$AT$4*$J7-BU18</f>
        <v>-1.3312037860599553</v>
      </c>
    </row>
    <row r="29" spans="1:73" x14ac:dyDescent="0.35">
      <c r="O29">
        <v>2</v>
      </c>
      <c r="P29" t="s">
        <v>97</v>
      </c>
      <c r="Q29">
        <f>($B$10*3*$B$12+2*12*J16+3*12*$B$18)*J5</f>
        <v>45996.71147107437</v>
      </c>
      <c r="S29">
        <v>6</v>
      </c>
      <c r="T29">
        <f>$U$20*J9</f>
        <v>16.068920359389253</v>
      </c>
      <c r="U29">
        <f>$U$19*J9</f>
        <v>15.447529043594878</v>
      </c>
      <c r="V29">
        <f t="shared" ref="V29:V31" si="98">(V28+T29)/2</f>
        <v>16.872366377358716</v>
      </c>
      <c r="Y29">
        <v>5</v>
      </c>
      <c r="Z29">
        <f>(2*$B$7*$B$6*(J19+K19)*$Q$5+$B$24*0+$B$38*$Q$5+$B$44*$Q$5)*J8</f>
        <v>24960.735998669494</v>
      </c>
      <c r="AA29" s="14">
        <f t="shared" si="83"/>
        <v>40199.514933217222</v>
      </c>
      <c r="AB29">
        <f t="shared" si="84"/>
        <v>140946.73097199152</v>
      </c>
      <c r="AD29">
        <v>5</v>
      </c>
      <c r="AE29">
        <f>((J19+K19)*$B$6*$B$7*1*$Q$5+($E$4*$T$5*$B$6*$E$16*$E$17*$Q$5)+$G$9*0+($E$16*$B$6*(1-$S$5)*$E$37*$E$43*$Q$5)+($E$16*$B$6*(1-$S$5)*(1/$E$17)*$E$41*$E$42*$E$43*$Q$5))*J8</f>
        <v>17549.887334754589</v>
      </c>
      <c r="AF29">
        <f t="shared" si="85"/>
        <v>101423.28798066745</v>
      </c>
      <c r="AH29">
        <v>5</v>
      </c>
      <c r="AI29">
        <f t="shared" si="86"/>
        <v>17549.887334754589</v>
      </c>
      <c r="AK29">
        <v>1</v>
      </c>
      <c r="AL29">
        <f t="shared" si="97"/>
        <v>290903.59889409371</v>
      </c>
      <c r="AM29">
        <f>AM28+AE4+AE15+AE25+AE35+AE45+AE55+Q28+AE65</f>
        <v>394697.7724394059</v>
      </c>
      <c r="AN29">
        <f>AN28+AE4+AE15+AE25+AE35+AE45+AE55+Z65+Q28</f>
        <v>401267.18204181019</v>
      </c>
      <c r="AO29">
        <f>AO28+AE4+AE15+AE25+AE35+AE45+Z55+Z65+Q28</f>
        <v>417746.15650651668</v>
      </c>
      <c r="AP29">
        <f>AP28+AE4+AE15+AE25+AE35+Z45+Z55+Z65+Q28</f>
        <v>434554.06457644224</v>
      </c>
      <c r="AQ29">
        <f>AQ28+AE4+AE15+AE25+Z35+Z45+Z55+Z65+Q28</f>
        <v>442715.19855268474</v>
      </c>
      <c r="AR29">
        <f t="shared" ref="AR29:AR33" si="99">AF19+AF29+AB39+AB49+AB59+AB69+AB79+Q32</f>
        <v>1156381.983803163</v>
      </c>
      <c r="AV29">
        <f t="shared" si="87"/>
        <v>-0.56851669009396044</v>
      </c>
      <c r="AW29">
        <f t="shared" si="88"/>
        <v>-0.91560181456322454</v>
      </c>
      <c r="AX29">
        <f t="shared" si="89"/>
        <v>17.845775561778559</v>
      </c>
      <c r="AY29">
        <v>5</v>
      </c>
      <c r="AZ29">
        <f t="shared" si="90"/>
        <v>-0.56851669009395778</v>
      </c>
      <c r="BA29">
        <f t="shared" si="95"/>
        <v>3.9953771045960611</v>
      </c>
      <c r="BB29">
        <f t="shared" si="91"/>
        <v>2.2747881199401618</v>
      </c>
      <c r="BD29">
        <v>5</v>
      </c>
      <c r="BE29">
        <f t="shared" si="92"/>
        <v>-0.56851669009395778</v>
      </c>
      <c r="BF29">
        <f>$AT$4*$J8-BF19</f>
        <v>3.9953771045960611</v>
      </c>
      <c r="BG29">
        <f>$AT$4*$J8-BG19</f>
        <v>3.5345606772466454</v>
      </c>
      <c r="BH29">
        <f>$AT$4*$J8-BH19</f>
        <v>2.3501567165812549</v>
      </c>
      <c r="BI29">
        <f>$AT$4*$J8-BI19</f>
        <v>1.1475493789683391</v>
      </c>
      <c r="BJ29">
        <f>$AT$4*$J8-BJ19</f>
        <v>0.5597414071201321</v>
      </c>
      <c r="BK29">
        <f>$AT$4*$J8-BK19</f>
        <v>-4.0716271045067032E-2</v>
      </c>
      <c r="BN29">
        <v>5</v>
      </c>
      <c r="BO29">
        <f t="shared" si="93"/>
        <v>-0.56851669009395778</v>
      </c>
      <c r="BP29">
        <f>$AT$4*$J8-BP19</f>
        <v>2.2747881199401618</v>
      </c>
      <c r="BQ29">
        <f>$AT$4*$J8-BQ19</f>
        <v>1.8139716925907443</v>
      </c>
      <c r="BR29">
        <f>$AT$4*$J8-BR19</f>
        <v>0.62956773192535564</v>
      </c>
      <c r="BS29">
        <f>$AT$4*$J8-BS19</f>
        <v>-0.57303960568755841</v>
      </c>
      <c r="BT29">
        <f>$AT$4*$J8-BT19</f>
        <v>-1.1608475775357654</v>
      </c>
      <c r="BU29">
        <f>$AT$4*$J8-BU19</f>
        <v>-1.7613052557009645</v>
      </c>
    </row>
    <row r="30" spans="1:73" x14ac:dyDescent="0.35">
      <c r="D30" t="s">
        <v>115</v>
      </c>
      <c r="E30" s="9">
        <f>AT3</f>
        <v>100</v>
      </c>
      <c r="O30">
        <v>3</v>
      </c>
      <c r="P30" t="s">
        <v>97</v>
      </c>
      <c r="Q30">
        <f>($B$10*3*$B$12+2*12*J17+3*12*$B$18)*J6</f>
        <v>41829.582086371141</v>
      </c>
      <c r="S30">
        <v>7</v>
      </c>
      <c r="T30">
        <f>$U$20*J10</f>
        <v>14.60810941762659</v>
      </c>
      <c r="U30">
        <f>$U$19*J10</f>
        <v>14.043208221449888</v>
      </c>
      <c r="V30">
        <f t="shared" ref="V30:V31" si="100">T30</f>
        <v>14.60810941762659</v>
      </c>
      <c r="Y30">
        <v>6</v>
      </c>
      <c r="Z30">
        <f>(2*$B$7*$B$6*(J20+K20)*$Q$5+$B$24*0+$B$38*$Q$5+$B$44*$Q$5)*J9</f>
        <v>23536.332743149564</v>
      </c>
      <c r="AA30" s="14">
        <f t="shared" si="83"/>
        <v>41696.049170786799</v>
      </c>
      <c r="AB30">
        <f t="shared" si="84"/>
        <v>164483.06371514109</v>
      </c>
      <c r="AD30">
        <v>6</v>
      </c>
      <c r="AE30">
        <f>((J20+K20)*$B$6*$B$7*1*$Q$5+($E$4*$T$5*$B$6*$E$16*$E$17*$Q$5)+$G$9*0+($E$16*$B$6*(1-$S$5)*$E$37*$E$43*$Q$5)+($E$16*$B$6*(1-$S$5)*(1/$E$17)*$E$41*$E$42*$E$43*$Q$5))*J9</f>
        <v>16376.820312865548</v>
      </c>
      <c r="AH30">
        <v>6</v>
      </c>
      <c r="AI30">
        <f t="shared" si="86"/>
        <v>16376.820312865548</v>
      </c>
      <c r="AK30">
        <v>2</v>
      </c>
      <c r="AL30">
        <f t="shared" si="97"/>
        <v>564298.91687107855</v>
      </c>
      <c r="AM30">
        <f>AM29+AE5+AE16+AE26+AE36+AE46+AE56+Q29+AE66</f>
        <v>643979.68859450577</v>
      </c>
      <c r="AN30">
        <f>AN29+AE5+AE16+AE26+AE36+AE46+AE56+Z66+Q29</f>
        <v>656896.70131943014</v>
      </c>
      <c r="AO30">
        <f>AO29+AE5+AE16+AE26+AE36+AE46+Z56+Z66+Q29</f>
        <v>689408.16379053856</v>
      </c>
      <c r="AP30">
        <f>AP29+AE5+AE16+AE26+AE36+Z46+Z56+Z66+Q29</f>
        <v>722547.59041706519</v>
      </c>
      <c r="AQ30">
        <f t="shared" ref="AQ30:AQ36" si="101">AQ29+AE5+AE16+AE26+Z36+Z46+Z56+Z66+Q29</f>
        <v>738653.51470381464</v>
      </c>
      <c r="AR30">
        <f t="shared" si="99"/>
        <v>1077133.6401821496</v>
      </c>
      <c r="AV30">
        <f t="shared" si="87"/>
        <v>-1.0987948493421766</v>
      </c>
      <c r="AW30">
        <f t="shared" si="88"/>
        <v>-1.9465821020954763</v>
      </c>
      <c r="AX30">
        <f t="shared" si="89"/>
        <v>16.223432328889601</v>
      </c>
      <c r="AY30">
        <v>6</v>
      </c>
      <c r="AZ30">
        <f t="shared" ref="AZ30:AZ31" si="102">$AT$5*J9-AZ20</f>
        <v>-1.0987948493421698</v>
      </c>
      <c r="BA30">
        <f t="shared" ref="BA30:BA31" si="103">$AT$4*J9-BA20</f>
        <v>3.3401892069213517</v>
      </c>
      <c r="BB30">
        <f t="shared" ref="BB30:BB31" si="104">$AT$4*J9-BB20</f>
        <v>1.7760174026887157</v>
      </c>
      <c r="BE30">
        <f t="shared" ref="BE30:BE31" si="105">AZ30</f>
        <v>-1.0987948493421698</v>
      </c>
      <c r="BF30">
        <f>$AT$4*$J9-BF20</f>
        <v>3.3401892069213517</v>
      </c>
      <c r="BG30">
        <f>$AT$4*$J9-BG20</f>
        <v>2.8968203547976472</v>
      </c>
      <c r="BH30">
        <f>$AT$4*$J9-BH20</f>
        <v>1.751614864150957</v>
      </c>
      <c r="BI30">
        <f>$AT$4*$J9-BI20</f>
        <v>0.58986084900651647</v>
      </c>
      <c r="BJ30">
        <f>$AT$4*$J9-BJ20</f>
        <v>2.1267207343306893E-2</v>
      </c>
      <c r="BK30">
        <f>$AT$4*$J9-BK20</f>
        <v>-0.55882616733535428</v>
      </c>
      <c r="BO30">
        <f t="shared" ref="BO30:BO31" si="106">AZ30</f>
        <v>-1.0987948493421698</v>
      </c>
      <c r="BP30">
        <f>$AT$4*$J9-BP20</f>
        <v>1.7760174026887157</v>
      </c>
      <c r="BQ30">
        <f>$AT$4*$J9-BQ20</f>
        <v>1.3326485505650094</v>
      </c>
      <c r="BR30">
        <f>$AT$4*$J9-BR20</f>
        <v>0.18744305991832277</v>
      </c>
      <c r="BS30">
        <f>$AT$4*$J9-BS20</f>
        <v>-0.97431095522611955</v>
      </c>
      <c r="BT30">
        <f>$AT$4*$J9-BT20</f>
        <v>-1.5429045968893291</v>
      </c>
      <c r="BU30">
        <f>$AT$4*$J9-BU20</f>
        <v>-2.1229979715679903</v>
      </c>
    </row>
    <row r="31" spans="1:73" x14ac:dyDescent="0.35">
      <c r="E31" s="9">
        <f>(E30*2*17)/E17</f>
        <v>323.8095238095238</v>
      </c>
      <c r="O31">
        <v>4</v>
      </c>
      <c r="P31" t="s">
        <v>97</v>
      </c>
      <c r="Q31">
        <f>($B$10*3*$B$12+2*12*J18+3*12*$B$18)*J7</f>
        <v>38040.523908716823</v>
      </c>
      <c r="S31">
        <v>8</v>
      </c>
      <c r="T31">
        <f>$U$20*J11</f>
        <v>13.280099470569628</v>
      </c>
      <c r="U31">
        <f>$U$19*J11</f>
        <v>12.766552928590807</v>
      </c>
      <c r="V31">
        <f t="shared" ref="V31" si="107">(V30+T31)/2</f>
        <v>13.944104444098109</v>
      </c>
      <c r="Y31">
        <v>7</v>
      </c>
      <c r="Z31">
        <f>(2*$B$7*$B$6*(J21+K21)*$Q$5+$B$24*0+$B$38*$Q$5+$B$44*$Q$5)*J10</f>
        <v>22196.497115655824</v>
      </c>
      <c r="AB31">
        <f t="shared" si="84"/>
        <v>186679.56083079692</v>
      </c>
      <c r="AD31">
        <v>7</v>
      </c>
      <c r="AE31">
        <f>((J21+K21)*$B$6*$B$7*1*$Q$5+($E$4*$T$5*$B$6*$E$16*$E$17*$Q$5)+$G$9*0+($E$16*$B$6*(1-$S$5)*$E$37*$E$43*$Q$5)+($E$16*$B$6*(1-$S$5)*(1/$E$17)*$E$41*$E$42*$E$43*$Q$5))*J10</f>
        <v>15287.933959001333</v>
      </c>
      <c r="AH31">
        <v>7</v>
      </c>
      <c r="AI31">
        <f t="shared" si="86"/>
        <v>15287.933959001333</v>
      </c>
      <c r="AK31">
        <v>3</v>
      </c>
      <c r="AL31">
        <f t="shared" si="97"/>
        <v>821302.26976125268</v>
      </c>
      <c r="AM31">
        <f>AM30+AE6+AE17+AE27+AE37+AE47+AE57+Q30+AE67</f>
        <v>874845.07957644854</v>
      </c>
      <c r="AN31">
        <f>AN30+AE6+AE17+AE27+AE37+AE47+AE57+Z67+Q30</f>
        <v>893888.0866378072</v>
      </c>
      <c r="AO31">
        <f>AO30+AE6+AE17+AE27+AE37+AE47+Z57+Z67+Q30</f>
        <v>941970.21027675143</v>
      </c>
      <c r="AP31">
        <f>AP30+AE6+AE17+AE27+AE37+Z47+Z57+Z67+Q30</f>
        <v>990952.14402584033</v>
      </c>
      <c r="AQ31">
        <f t="shared" si="101"/>
        <v>1014778.2294190329</v>
      </c>
      <c r="AR31">
        <f t="shared" si="99"/>
        <v>1213589.0258451262</v>
      </c>
      <c r="AV31">
        <f>AW31*J10</f>
        <v>0.24853468999762476</v>
      </c>
      <c r="AW31">
        <f>$AT$5-AW21</f>
        <v>0.48432380034157063</v>
      </c>
      <c r="AX31">
        <f t="shared" si="89"/>
        <v>14.748574844445088</v>
      </c>
      <c r="AY31">
        <v>7</v>
      </c>
      <c r="AZ31">
        <f>$AT$5*J10-AZ21</f>
        <v>-1.5499175151276248</v>
      </c>
      <c r="BA31">
        <f t="shared" si="103"/>
        <v>2.7600902947955941</v>
      </c>
      <c r="BB31">
        <f t="shared" si="104"/>
        <v>1.3381159273113781</v>
      </c>
      <c r="BE31">
        <f t="shared" si="105"/>
        <v>-1.5499175151276248</v>
      </c>
      <c r="BF31">
        <f>$AT$4*$J10-BF21</f>
        <v>2.7600902947955941</v>
      </c>
      <c r="BG31">
        <f>$AT$4*$J10-BG21</f>
        <v>2.3338828369907034</v>
      </c>
      <c r="BH31">
        <f>$AT$4*$J10-BH21</f>
        <v>1.2279537610896973</v>
      </c>
      <c r="BI31">
        <f>$AT$4*$J10-BI21</f>
        <v>0.10698057200891675</v>
      </c>
      <c r="BJ31">
        <f>$AT$4*$J10-BJ21</f>
        <v>-0.44232554954521852</v>
      </c>
      <c r="BK31">
        <f>$AT$4*$J10-BK21</f>
        <v>-1.0020859738406749</v>
      </c>
      <c r="BO31">
        <f t="shared" si="106"/>
        <v>-1.5499175151276248</v>
      </c>
      <c r="BP31">
        <f>$AT$4*$J10-BP21</f>
        <v>1.3381159273113816</v>
      </c>
      <c r="BQ31">
        <f>$AT$4*$J10-BQ21</f>
        <v>0.91190846950649096</v>
      </c>
      <c r="BR31">
        <f>$AT$4*$J10-BR21</f>
        <v>-0.1940206063945169</v>
      </c>
      <c r="BS31">
        <f>$AT$4*$J10-BS21</f>
        <v>-1.3149937954752957</v>
      </c>
      <c r="BT31">
        <f>$AT$4*$J10-BT21</f>
        <v>-1.864299917029431</v>
      </c>
      <c r="BU31">
        <f>$AT$4*$J10-BU21</f>
        <v>-2.4240603413248891</v>
      </c>
    </row>
    <row r="32" spans="1:73" x14ac:dyDescent="0.35">
      <c r="A32" s="1" t="s">
        <v>53</v>
      </c>
      <c r="D32" s="1" t="s">
        <v>54</v>
      </c>
      <c r="O32">
        <v>5</v>
      </c>
      <c r="P32" t="s">
        <v>97</v>
      </c>
      <c r="Q32">
        <f>($B$10*3*$B$12+2*12*J19+3*12*$B$18)*J8</f>
        <v>34595.206834513228</v>
      </c>
      <c r="Y32" t="s">
        <v>83</v>
      </c>
      <c r="Z32">
        <f>(2*$B$7*$B$6*(J22+K22)*$Q$5+$B$24*0+$B$38*$Q$5+$B$44*$Q$5)*J11</f>
        <v>20935.931377078366</v>
      </c>
      <c r="AB32">
        <f t="shared" si="84"/>
        <v>207615.4922078753</v>
      </c>
      <c r="AD32" t="s">
        <v>83</v>
      </c>
      <c r="AE32">
        <f>((J22+K22)*$B$6*$B$7*1*$Q$5+($E$4*$T$5*$B$6*$E$16*$E$17*$Q$5)+$G$9*0+($E$16*$B$6*(1-$S$5)*$E$37*$E$43*$Q$5)+($E$16*$B$6*(1-$S$5)*(1/$E$17)*$E$41*$E$42*$E$43*$Q$5))*J11</f>
        <v>14276.770598696841</v>
      </c>
      <c r="AH32" t="s">
        <v>83</v>
      </c>
      <c r="AK32">
        <v>4</v>
      </c>
      <c r="AL32">
        <f t="shared" si="97"/>
        <v>1062953.7847066452</v>
      </c>
      <c r="AM32">
        <f>AM31+AE7+AE18+AE28+AE38+AE48+AE58+Q31+AE68</f>
        <v>1088742.3904583021</v>
      </c>
      <c r="AN32">
        <f>AN31+AE7+AE18+AE28+AE38+AE48+AE58+Z68+Q31</f>
        <v>1113691.0252697908</v>
      </c>
      <c r="AO32">
        <f>AO31+AE7+AE18+AE28+AE38+AE48+Z58+Z68+Q31</f>
        <v>1176871.0136414338</v>
      </c>
      <c r="AP32">
        <f>AP31+AE7+AE18+AE28+AE38+Z48+Z58+Z68+Q31</f>
        <v>1241197.9448093364</v>
      </c>
      <c r="AQ32">
        <f t="shared" si="101"/>
        <v>1272513.5172667429</v>
      </c>
      <c r="AR32">
        <f t="shared" si="99"/>
        <v>1342727.4972476994</v>
      </c>
    </row>
    <row r="33" spans="1:73" x14ac:dyDescent="0.35">
      <c r="A33" t="s">
        <v>55</v>
      </c>
      <c r="B33" s="8">
        <f>ROUND(E31,0)</f>
        <v>324</v>
      </c>
      <c r="D33" t="s">
        <v>55</v>
      </c>
      <c r="E33" s="8">
        <f>ROUND(E31,0)</f>
        <v>324</v>
      </c>
      <c r="O33">
        <v>6</v>
      </c>
      <c r="P33" t="s">
        <v>97</v>
      </c>
      <c r="Q33">
        <f>($B$10*3*$B$12+2*12*J20+3*12*$B$18)*J9</f>
        <v>31462.419569256763</v>
      </c>
      <c r="Y33" t="s">
        <v>11</v>
      </c>
      <c r="Z33" t="s">
        <v>88</v>
      </c>
      <c r="AB33" t="s">
        <v>93</v>
      </c>
      <c r="AD33" t="s">
        <v>11</v>
      </c>
      <c r="AE33" t="s">
        <v>91</v>
      </c>
      <c r="AH33" t="s">
        <v>11</v>
      </c>
      <c r="AI33" t="s">
        <v>92</v>
      </c>
      <c r="AK33">
        <v>5</v>
      </c>
      <c r="AL33">
        <f t="shared" si="97"/>
        <v>1290222.9796792557</v>
      </c>
      <c r="AM33">
        <f>AM32+AE8+AE19+AE29+AE39+AE49+AE59+Q32+AE69</f>
        <v>1287000.4034158848</v>
      </c>
      <c r="AN33">
        <f>AN32+AE8+AE19+AE29+AE39+AE49+AE59+Z69+Q32</f>
        <v>1317636.43457372</v>
      </c>
      <c r="AO33">
        <f>AO32+AE8+AE19+AE29+AE39+AE49+Z59+Z69+Q32</f>
        <v>1395434.3366278952</v>
      </c>
      <c r="AP33">
        <f>AP32+AE8+AE19+AE29+AE39+Z49+Z59+Z69+Q32</f>
        <v>1474603.8475566164</v>
      </c>
      <c r="AQ33">
        <f t="shared" si="101"/>
        <v>1513174.1460025734</v>
      </c>
      <c r="AR33" t="e">
        <f t="shared" si="99"/>
        <v>#VALUE!</v>
      </c>
    </row>
    <row r="34" spans="1:73" x14ac:dyDescent="0.35">
      <c r="A34" t="s">
        <v>56</v>
      </c>
      <c r="B34">
        <f>B33*B6</f>
        <v>117612</v>
      </c>
      <c r="D34" t="s">
        <v>56</v>
      </c>
      <c r="E34">
        <f>E33*B6</f>
        <v>117612</v>
      </c>
      <c r="O34">
        <v>7</v>
      </c>
      <c r="P34" t="s">
        <v>97</v>
      </c>
      <c r="Q34">
        <f>($B$10*3*$B$12+2*12*J21+3*12*$B$18)*J10</f>
        <v>28613.786210662602</v>
      </c>
      <c r="V34" t="s">
        <v>142</v>
      </c>
      <c r="W34" t="s">
        <v>143</v>
      </c>
      <c r="X34" t="s">
        <v>144</v>
      </c>
      <c r="Y34">
        <v>0</v>
      </c>
      <c r="Z34">
        <v>0</v>
      </c>
      <c r="AA34" s="14">
        <v>0</v>
      </c>
      <c r="AB34">
        <f>Z34</f>
        <v>0</v>
      </c>
      <c r="AD34">
        <v>0</v>
      </c>
      <c r="AE34">
        <v>0</v>
      </c>
      <c r="AF34">
        <f>AE34</f>
        <v>0</v>
      </c>
      <c r="AH34">
        <v>0</v>
      </c>
      <c r="AI34">
        <f>AF34</f>
        <v>0</v>
      </c>
      <c r="AK34">
        <v>6</v>
      </c>
      <c r="AL34">
        <f t="shared" ref="AL34:AL36" si="108">AB9+AB20+AB30+AB40+AB50+AB60+AB70</f>
        <v>1504013.9075129924</v>
      </c>
      <c r="AM34">
        <f>AM33+AE9+AE20+AE30+AE40+AE50+AE60+Q33+AE70</f>
        <v>1470838.4765717953</v>
      </c>
      <c r="AN34">
        <f t="shared" ref="AN34:AN36" si="109">AN33+AE9+AE20+AE30+AE40+AE50+AE60+Z70+Q33</f>
        <v>1506946.5661025413</v>
      </c>
      <c r="AO34">
        <f t="shared" ref="AO34:AO36" si="110">AO33+AE9+AE20+AE30+AE40+AE50+Z60+Z70+Q33</f>
        <v>1598878.5943222779</v>
      </c>
      <c r="AP34">
        <f t="shared" ref="AP34:AP36" si="111">AP33+AE9+AE20+AE30+AE40+Z50+Z60+Z70+Q33</f>
        <v>1692386.4733059118</v>
      </c>
      <c r="AQ34">
        <f t="shared" si="101"/>
        <v>1737974.3544772761</v>
      </c>
      <c r="AY34" s="1" t="s">
        <v>143</v>
      </c>
      <c r="BD34" s="1" t="str">
        <f>AY34</f>
        <v>CYOM</v>
      </c>
      <c r="BE34" s="1"/>
    </row>
    <row r="35" spans="1:73" x14ac:dyDescent="0.35">
      <c r="A35" t="s">
        <v>57</v>
      </c>
      <c r="B35" s="11">
        <f>VLOOKUP(E30,$B$83:$C$92,2,FALSE)</f>
        <v>0.92</v>
      </c>
      <c r="D35" t="s">
        <v>57</v>
      </c>
      <c r="E35" s="3">
        <v>1E-3</v>
      </c>
      <c r="O35">
        <v>8</v>
      </c>
      <c r="P35" t="s">
        <v>97</v>
      </c>
      <c r="Q35">
        <f>($B$10*3*$B$12+2*12*J22+3*12*$B$18)*J11</f>
        <v>26023.508591094876</v>
      </c>
      <c r="S35">
        <v>1</v>
      </c>
      <c r="T35">
        <f>AE4+AE15+AE25+AE35+AE45+AE55+AE65+Q18+Q17</f>
        <v>468606.86334849684</v>
      </c>
      <c r="U35">
        <f>T35/(363*17*2)</f>
        <v>37.968470535447807</v>
      </c>
      <c r="V35">
        <f>T24-U35</f>
        <v>-12.089313607447814</v>
      </c>
      <c r="W35">
        <f>V35</f>
        <v>-12.089313607447814</v>
      </c>
      <c r="X35">
        <f>W35/S35</f>
        <v>-12.089313607447814</v>
      </c>
      <c r="Y35">
        <v>1</v>
      </c>
      <c r="Z35">
        <f>(2*$B$7*$B$6*(J15+K15)*$Q$6+($F$63*0.01*$E$26*$E$27*52)+$B$38*$Q$6+$B$44*$Q$6)*J4</f>
        <v>32117.686561190625</v>
      </c>
      <c r="AA35" s="14">
        <f>(2*$B$7*$B$6*(J15+K15)*$Q$6+($F$63*0.01*$E$26*$E$27*52)+$B$38*$Q$6+$B$44*$Q$6)</f>
        <v>35329.455217309689</v>
      </c>
      <c r="AB35">
        <f>AB34+Z35</f>
        <v>32117.686561190625</v>
      </c>
      <c r="AD35">
        <v>1</v>
      </c>
      <c r="AE35">
        <f>(((J15+K15)*$B$6*$B$7*1*$Q$6)+($E$4*$T$6*$B$6*$E$16*$E$17*$Q$6)+($U$6*(1-$F$9)*$E$9*$E$26*$E$27*52)+($E$16*$B$6*(1-$S$6)*$E$37*$E$43*$Q$6)+($E$16*$B$6*(1-$S$6)*(1/$E$17)*$E$41*$E$42*$E$43*$Q$6))*J4</f>
        <v>23956.552584948098</v>
      </c>
      <c r="AF35">
        <f>AF34+AE35</f>
        <v>23956.552584948098</v>
      </c>
      <c r="AH35">
        <v>1</v>
      </c>
      <c r="AI35">
        <f>AE35</f>
        <v>23956.552584948098</v>
      </c>
      <c r="AK35">
        <v>7</v>
      </c>
      <c r="AL35">
        <f t="shared" si="108"/>
        <v>1705169.9002148388</v>
      </c>
      <c r="AM35">
        <f>AM34+AE10+AE21+AE31+AE41+AE51+AE61+Q34+AE71</f>
        <v>1641375.8861059134</v>
      </c>
      <c r="AN35">
        <f t="shared" si="109"/>
        <v>1682744.2280808873</v>
      </c>
      <c r="AO35">
        <f t="shared" si="110"/>
        <v>1788325.6329553945</v>
      </c>
      <c r="AP35">
        <f t="shared" si="111"/>
        <v>1895668.5630386632</v>
      </c>
      <c r="AQ35">
        <f t="shared" si="101"/>
        <v>1948035.9803622488</v>
      </c>
      <c r="AY35" t="s">
        <v>11</v>
      </c>
      <c r="AZ35" t="s">
        <v>10</v>
      </c>
      <c r="BA35" t="s">
        <v>91</v>
      </c>
      <c r="BB35" t="s">
        <v>92</v>
      </c>
      <c r="BD35" t="s">
        <v>11</v>
      </c>
      <c r="BE35" t="s">
        <v>10</v>
      </c>
      <c r="BF35" t="s">
        <v>91</v>
      </c>
      <c r="BG35" t="s">
        <v>86</v>
      </c>
      <c r="BH35" t="s">
        <v>99</v>
      </c>
      <c r="BI35" t="s">
        <v>100</v>
      </c>
      <c r="BJ35" t="s">
        <v>101</v>
      </c>
      <c r="BK35" t="s">
        <v>102</v>
      </c>
      <c r="BN35" t="s">
        <v>11</v>
      </c>
      <c r="BO35" t="s">
        <v>10</v>
      </c>
      <c r="BP35" t="s">
        <v>92</v>
      </c>
      <c r="BQ35" t="s">
        <v>86</v>
      </c>
      <c r="BR35" t="s">
        <v>99</v>
      </c>
      <c r="BS35" t="s">
        <v>100</v>
      </c>
      <c r="BT35" t="s">
        <v>101</v>
      </c>
      <c r="BU35" t="s">
        <v>102</v>
      </c>
    </row>
    <row r="36" spans="1:73" x14ac:dyDescent="0.35">
      <c r="A36" t="s">
        <v>58</v>
      </c>
      <c r="B36">
        <f>B34*E17*(1-B35)</f>
        <v>98794.079999999944</v>
      </c>
      <c r="D36" t="s">
        <v>58</v>
      </c>
      <c r="E36">
        <f>E17*E34*(1-E35)</f>
        <v>1233691.074</v>
      </c>
      <c r="P36" t="s">
        <v>105</v>
      </c>
      <c r="Q36" t="s">
        <v>106</v>
      </c>
      <c r="R36" t="s">
        <v>107</v>
      </c>
      <c r="S36">
        <v>2</v>
      </c>
      <c r="T36">
        <f>AE5+AE16+AE26+AE36+AE46+AE56+AE66+Q19</f>
        <v>221017.45334518247</v>
      </c>
      <c r="U36">
        <f t="shared" ref="U36:U42" si="112">T36/(363*17*2)</f>
        <v>17.907750230528478</v>
      </c>
      <c r="V36">
        <f t="shared" ref="V36:V42" si="113">T25-U36</f>
        <v>5.618756067653333</v>
      </c>
      <c r="W36">
        <f>W35+V36</f>
        <v>-6.4705575397944806</v>
      </c>
      <c r="X36">
        <f t="shared" ref="X36:X42" si="114">W36/S36</f>
        <v>-3.2352787698972403</v>
      </c>
      <c r="Y36">
        <v>2</v>
      </c>
      <c r="Z36">
        <f>(2*$B$7*$B$6*(J16+K16)*$Q$6+($F$63*0.01*$E$26*$E$27*52)+$B$38*$Q$6+$B$44*$Q$6)*J5</f>
        <v>30249.05208347366</v>
      </c>
      <c r="AA36" s="14">
        <f t="shared" ref="AA36:AA41" si="115">(2*$B$7*$B$6*(J16+K16)*$Q$6+($F$63*0.01*$E$26*$E$27*52)+$B$38*$Q$6+$B$44*$Q$6)</f>
        <v>36601.353021003131</v>
      </c>
      <c r="AB36">
        <f t="shared" ref="AB36:AB42" si="116">AB35+Z36</f>
        <v>62366.738644664285</v>
      </c>
      <c r="AD36">
        <v>2</v>
      </c>
      <c r="AE36">
        <f>((J16+K16)*$B$6*$B$7*1*$Q$6+($E$4*$T$6*$B$6*$E$16*$E$17*$Q$6)+($U$6*(1-$F$9)*$E$9*$E$26*$E$27*52)+($E$16*$B$6*(1-$S$6)*$E$37*$E$43*$Q$6)+($E$16*$B$6*(1-$S$6)*(1/$E$17)*$E$41*$E$42*$E$43*$Q$6))*J5</f>
        <v>22304.261772966634</v>
      </c>
      <c r="AF36">
        <f t="shared" ref="AF36:AF39" si="117">AF35+AE36</f>
        <v>46260.814357914729</v>
      </c>
      <c r="AH36">
        <v>2</v>
      </c>
      <c r="AI36">
        <f t="shared" ref="AI36:AI41" si="118">AE36</f>
        <v>22304.261772966634</v>
      </c>
      <c r="AK36">
        <v>8</v>
      </c>
      <c r="AL36">
        <f t="shared" si="108"/>
        <v>1895237.9750215767</v>
      </c>
      <c r="AM36">
        <f>AM35+AE11+AE22+AE32+AE42+AE52+AE62+Q35+AE72</f>
        <v>1799640.3513376515</v>
      </c>
      <c r="AN36">
        <f t="shared" si="109"/>
        <v>1846061.2044304723</v>
      </c>
      <c r="AO36">
        <f t="shared" si="110"/>
        <v>1964808.7531524491</v>
      </c>
      <c r="AP36">
        <f t="shared" si="111"/>
        <v>2085486.6220330647</v>
      </c>
      <c r="AQ36">
        <f t="shared" si="101"/>
        <v>2145155.9316065116</v>
      </c>
      <c r="AY36">
        <v>1</v>
      </c>
      <c r="AZ36">
        <f>AZ25</f>
        <v>2.557784565378892</v>
      </c>
      <c r="BA36">
        <f>BA25</f>
        <v>-11.11911053544781</v>
      </c>
      <c r="BB36">
        <f t="shared" ref="BA36:BB36" si="119">BB25</f>
        <v>-5.1306896223793501</v>
      </c>
      <c r="BD36">
        <v>1</v>
      </c>
      <c r="BE36">
        <f>BE25</f>
        <v>2.557784565378892</v>
      </c>
      <c r="BF36">
        <f t="shared" ref="BF36:BG36" si="120">BF25</f>
        <v>-11.11911053544781</v>
      </c>
      <c r="BG36">
        <f t="shared" si="120"/>
        <v>-11.651391332920198</v>
      </c>
      <c r="BH36">
        <f t="shared" ref="BH36:BK36" si="121">BH25</f>
        <v>-12.986586152617697</v>
      </c>
      <c r="BI36">
        <f t="shared" si="121"/>
        <v>-14.348432536504063</v>
      </c>
      <c r="BJ36">
        <f t="shared" si="121"/>
        <v>-15.00968144075317</v>
      </c>
      <c r="BK36">
        <f t="shared" si="121"/>
        <v>-15.689450780020998</v>
      </c>
      <c r="BN36">
        <v>1</v>
      </c>
      <c r="BO36">
        <f>BO25</f>
        <v>2.557784565378892</v>
      </c>
      <c r="BP36">
        <f t="shared" ref="BP36:BU36" si="122">BP25</f>
        <v>-5.1306896223793501</v>
      </c>
      <c r="BQ36">
        <f t="shared" si="122"/>
        <v>-5.6629704198517459</v>
      </c>
      <c r="BR36">
        <f t="shared" si="122"/>
        <v>-6.9981652395492375</v>
      </c>
      <c r="BS36">
        <f t="shared" si="122"/>
        <v>-8.3600116234356108</v>
      </c>
      <c r="BT36">
        <f t="shared" si="122"/>
        <v>-9.0212605276847171</v>
      </c>
      <c r="BU36">
        <f t="shared" si="122"/>
        <v>-9.7010298669525383</v>
      </c>
    </row>
    <row r="37" spans="1:73" x14ac:dyDescent="0.35">
      <c r="A37" t="s">
        <v>59</v>
      </c>
      <c r="B37">
        <f>E37</f>
        <v>14.2</v>
      </c>
      <c r="D37" t="s">
        <v>59</v>
      </c>
      <c r="E37">
        <f>E42/10.5</f>
        <v>14.2</v>
      </c>
      <c r="P37" t="s">
        <v>109</v>
      </c>
      <c r="Q37">
        <f>($B$10*3*$B$12+2*12*J15)*J4</f>
        <v>19488.763636363634</v>
      </c>
      <c r="R37">
        <f>Q18</f>
        <v>19488.763636363634</v>
      </c>
      <c r="S37">
        <v>3</v>
      </c>
      <c r="T37">
        <f t="shared" ref="T37:T41" si="123">AE6+AE17+AE27+AE37+AE47+AE57+AE67+Q20</f>
        <v>205170.42479110885</v>
      </c>
      <c r="U37">
        <f t="shared" si="112"/>
        <v>16.623758288049654</v>
      </c>
      <c r="V37">
        <f t="shared" si="113"/>
        <v>4.7639747102974432</v>
      </c>
      <c r="W37">
        <f t="shared" ref="W37:W42" si="124">W36+V37</f>
        <v>-1.7065828294970373</v>
      </c>
      <c r="X37">
        <f t="shared" si="114"/>
        <v>-0.56886094316567914</v>
      </c>
      <c r="Y37">
        <v>3</v>
      </c>
      <c r="Z37">
        <f>(2*$B$7*$B$6*(J17+K17)*$Q$6+($F$63*0.01*$E$26*$E$27*52)+$B$38*$Q$6+$B$44*$Q$6)*J6</f>
        <v>28494.387178758625</v>
      </c>
      <c r="AA37" s="14">
        <f t="shared" si="115"/>
        <v>37926.029334927742</v>
      </c>
      <c r="AB37">
        <f t="shared" si="116"/>
        <v>90861.125823422917</v>
      </c>
      <c r="AD37">
        <v>3</v>
      </c>
      <c r="AE37">
        <f>((J17+K17)*$B$6*$B$7*1*$Q$6+($E$4*$T$6*$B$6*$E$16*$E$17*$Q$6)+($U$6*(1-$F$9)*$E$9*$E$26*$E$27*52)+($E$16*$B$6*(1-$S$6)*$E$37*$E$43*$Q$6)+($E$16*$B$6*(1-$S$6)*(1/$E$17)*$E$41*$E$42*$E$43*$Q$6))*J6</f>
        <v>20774.226072315494</v>
      </c>
      <c r="AF37">
        <f t="shared" si="117"/>
        <v>67035.040430230219</v>
      </c>
      <c r="AH37">
        <v>3</v>
      </c>
      <c r="AI37">
        <f t="shared" si="118"/>
        <v>20774.226072315494</v>
      </c>
      <c r="AY37">
        <v>2</v>
      </c>
      <c r="AZ37">
        <f>AZ26+AZ36</f>
        <v>4.1588898986324274</v>
      </c>
      <c r="BA37">
        <f>BA26+BA36</f>
        <v>-4.6183516750672027</v>
      </c>
      <c r="BB37">
        <f>BB36+BB26</f>
        <v>-0.92003470057574432</v>
      </c>
      <c r="BD37">
        <v>2</v>
      </c>
      <c r="BE37">
        <f>BE26+BE36</f>
        <v>4.1588898986324274</v>
      </c>
      <c r="BF37">
        <f>BF26+BF36</f>
        <v>-4.6183516750672027</v>
      </c>
      <c r="BG37">
        <f>BG36+BG26</f>
        <v>-5.6649415895806072</v>
      </c>
      <c r="BH37">
        <f t="shared" ref="BH37:BK40" si="125">BH36+BH26</f>
        <v>-8.2991550453502079</v>
      </c>
      <c r="BI37">
        <f t="shared" si="125"/>
        <v>-10.984248760025835</v>
      </c>
      <c r="BJ37">
        <f t="shared" si="125"/>
        <v>-12.289217507939419</v>
      </c>
      <c r="BK37">
        <f t="shared" si="125"/>
        <v>-13.62954344997965</v>
      </c>
      <c r="BN37">
        <v>2</v>
      </c>
      <c r="BO37">
        <f>BO26+BO36</f>
        <v>4.1588898986324274</v>
      </c>
      <c r="BP37">
        <f>BP26+BP36</f>
        <v>-0.92003470057574432</v>
      </c>
      <c r="BQ37">
        <f>BQ36+BQ26</f>
        <v>-1.966624615089156</v>
      </c>
      <c r="BR37">
        <f t="shared" ref="BR37:BR40" si="126">BR36+BR26</f>
        <v>-4.600838070858746</v>
      </c>
      <c r="BS37">
        <f t="shared" ref="BS37:BS40" si="127">BS36+BS26</f>
        <v>-7.2859317855343804</v>
      </c>
      <c r="BT37">
        <f t="shared" ref="BT37:BT40" si="128">BT36+BT26</f>
        <v>-8.590900533447968</v>
      </c>
      <c r="BU37">
        <f t="shared" ref="BU37:BU40" si="129">BU36+BU26</f>
        <v>-9.9312264754881916</v>
      </c>
    </row>
    <row r="38" spans="1:73" x14ac:dyDescent="0.35">
      <c r="A38" t="s">
        <v>60</v>
      </c>
      <c r="B38">
        <f>B36*B37*B43</f>
        <v>30863.270591999979</v>
      </c>
      <c r="D38" t="s">
        <v>60</v>
      </c>
      <c r="E38">
        <f>E37*E36*E43</f>
        <v>385405.09151759994</v>
      </c>
      <c r="P38" t="s">
        <v>108</v>
      </c>
      <c r="Q38">
        <f>(J15+K15)*$B$6*$B$7</f>
        <v>130463.5794</v>
      </c>
      <c r="R38">
        <f>(J15+K15)*$B$6*$B$7*1*$Q$3 + (J15+K15)*$B$6*$B$7*1*$Q$4 + (J15+K15)*$B$6*$B$7*1*$Q$5 + ((J15+K15)*$B$6*$B$7*1*$Q$6) + (J15+K15)*$B$6*$B$7*1*$Q$7 + (J15+K15)*$B$6*$B$7*1*$Q$8 + (J15+K15)*$B$6*$B$7*1*$Q$9</f>
        <v>130450.53304206001</v>
      </c>
      <c r="S38">
        <v>4</v>
      </c>
      <c r="T38">
        <f t="shared" si="123"/>
        <v>190538.25070836823</v>
      </c>
      <c r="U38">
        <f t="shared" si="112"/>
        <v>15.438198890647239</v>
      </c>
      <c r="V38">
        <f t="shared" si="113"/>
        <v>4.0051947442137568</v>
      </c>
      <c r="W38">
        <f t="shared" si="124"/>
        <v>2.2986119147167194</v>
      </c>
      <c r="X38">
        <f t="shared" si="114"/>
        <v>0.57465297867917986</v>
      </c>
      <c r="Y38">
        <v>4</v>
      </c>
      <c r="Z38">
        <f>(2*$B$7*$B$6*(J18+K18)*$Q$6+($F$63*0.01*$E$26*$E$27*52)+$B$38*$Q$6+$B$44*$Q$6)*J7</f>
        <v>26846.305915584522</v>
      </c>
      <c r="AA38" s="14">
        <f t="shared" si="115"/>
        <v>39305.676491007311</v>
      </c>
      <c r="AB38">
        <f t="shared" si="116"/>
        <v>117707.43173900744</v>
      </c>
      <c r="AD38">
        <v>4</v>
      </c>
      <c r="AE38">
        <f>((J18+K18)*$B$6*$B$7*1*$Q$6+($E$4*$T$6*$B$6*$E$16*$E$17*$Q$6)+($U$6*(1-$F$9)*$E$9*$E$26*$E$27*52)+($E$16*$B$6*(1-$S$6)*$E$37*$E$43*$Q$6)+($E$16*$B$6*(1-$S$6)*(1/$E$17)*$E$41*$E$42*$E$43*$Q$6))*J7</f>
        <v>19356.818851370608</v>
      </c>
      <c r="AF38">
        <f t="shared" si="117"/>
        <v>86391.859281600831</v>
      </c>
      <c r="AH38">
        <v>4</v>
      </c>
      <c r="AI38">
        <f t="shared" si="118"/>
        <v>19356.818851370608</v>
      </c>
      <c r="AY38">
        <v>3</v>
      </c>
      <c r="AZ38">
        <f t="shared" ref="AZ38:AZ40" si="130">AZ27+AZ37</f>
        <v>4.9288013481402722</v>
      </c>
      <c r="BA38">
        <f t="shared" ref="BA38:BA40" si="131">BA27+BA37</f>
        <v>0.94744375589139906</v>
      </c>
      <c r="BB38">
        <f t="shared" ref="BB38:BB40" si="132">BB37+BB27</f>
        <v>2.563848058949219</v>
      </c>
      <c r="BD38">
        <v>3</v>
      </c>
      <c r="BE38">
        <f t="shared" ref="BE38:BE40" si="133">BE27+BE37</f>
        <v>4.9288013481402722</v>
      </c>
      <c r="BF38">
        <f t="shared" ref="BF38:BF40" si="134">BF27+BF37</f>
        <v>0.94744375589139906</v>
      </c>
      <c r="BG38">
        <f t="shared" ref="BG38:BG40" si="135">BG37+BG27</f>
        <v>-0.59549961320264444</v>
      </c>
      <c r="BH38">
        <f t="shared" si="125"/>
        <v>-4.4913125802212939</v>
      </c>
      <c r="BI38">
        <f t="shared" si="125"/>
        <v>-8.4600318922524771</v>
      </c>
      <c r="BJ38">
        <f t="shared" si="125"/>
        <v>-10.390520094585369</v>
      </c>
      <c r="BK38">
        <f t="shared" si="125"/>
        <v>-12.371671635688475</v>
      </c>
      <c r="BN38">
        <v>3</v>
      </c>
      <c r="BO38">
        <f t="shared" ref="BO38:BO40" si="136">BO27+BO37</f>
        <v>4.9288013481402722</v>
      </c>
      <c r="BP38">
        <f t="shared" ref="BP38:BP40" si="137">BP27+BP37</f>
        <v>2.563848058949219</v>
      </c>
      <c r="BQ38">
        <f t="shared" ref="BQ38:BQ40" si="138">BQ37+BQ27</f>
        <v>1.0209046898551684</v>
      </c>
      <c r="BR38">
        <f t="shared" si="126"/>
        <v>-2.8749082771634704</v>
      </c>
      <c r="BS38">
        <f t="shared" si="127"/>
        <v>-6.8436275891946572</v>
      </c>
      <c r="BT38">
        <f t="shared" si="128"/>
        <v>-8.7741157915275565</v>
      </c>
      <c r="BU38">
        <f t="shared" si="129"/>
        <v>-10.755267332630652</v>
      </c>
    </row>
    <row r="39" spans="1:73" x14ac:dyDescent="0.35">
      <c r="P39" t="s">
        <v>110</v>
      </c>
      <c r="Q39">
        <f>$F$4</f>
        <v>88914.671999999991</v>
      </c>
      <c r="R39">
        <f>($E$4*$T$3*$B$6*$E$16*$E$17*$Q$3) + ($E$4*$T$4*$B$6*$E$16*$E$17*$Q$4) + ($E$4*$T$5*$B$6*$E$16*$E$17*$Q$5) + ($E$4*$T$6*$B$6*$E$16*$E$17*$Q$6) + ($E$4*$T$7*$B$6*$E$16*$E$17*$Q$7) + ($E$4*$T$8*$B$6*$E$16*$E$17*$Q$8) + ($E$4*$T$9*$B$6*$E$16*$E$17*$Q$9)</f>
        <v>85121.886398997012</v>
      </c>
      <c r="S39">
        <v>5</v>
      </c>
      <c r="T39">
        <f t="shared" si="123"/>
        <v>177022.50370895959</v>
      </c>
      <c r="U39">
        <f t="shared" si="112"/>
        <v>14.343097043344644</v>
      </c>
      <c r="V39">
        <f t="shared" si="113"/>
        <v>3.3327153519835324</v>
      </c>
      <c r="W39">
        <f t="shared" si="124"/>
        <v>5.6313272667002519</v>
      </c>
      <c r="X39">
        <f t="shared" si="114"/>
        <v>1.1262654533400505</v>
      </c>
      <c r="Y39">
        <v>5</v>
      </c>
      <c r="Z39">
        <f>(2*$B$7*$B$6*(J19+K19)*$Q$6+($F$63*0.01*$E$26*$E$27*52)+$B$38*$Q$6+$B$44*$Q$6)*J8</f>
        <v>25297.935419970821</v>
      </c>
      <c r="AA39" s="14">
        <f t="shared" si="115"/>
        <v>40742.577973217223</v>
      </c>
      <c r="AB39">
        <f t="shared" si="116"/>
        <v>143005.36715897828</v>
      </c>
      <c r="AD39">
        <v>5</v>
      </c>
      <c r="AE39">
        <f>((J19+K19)*$B$6*$B$7*1*$Q$6+($E$4*$T$6*$B$6*$E$16*$E$17*$Q$6)+($U$6*(1-$F$9)*$E$9*$E$26*$E$27*52)+($E$16*$B$6*(1-$S$6)*$E$37*$E$43*$Q$6)+($E$16*$B$6*(1-$S$6)*(1/$E$17)*$E$41*$E$42*$E$43*$Q$6))*J8</f>
        <v>18043.209431420273</v>
      </c>
      <c r="AF39">
        <f t="shared" si="117"/>
        <v>104435.0687130211</v>
      </c>
      <c r="AH39">
        <v>5</v>
      </c>
      <c r="AI39">
        <f t="shared" si="118"/>
        <v>18043.209431420273</v>
      </c>
      <c r="AY39">
        <v>4</v>
      </c>
      <c r="AZ39">
        <f t="shared" si="130"/>
        <v>4.9795470325046765</v>
      </c>
      <c r="BA39">
        <f t="shared" si="131"/>
        <v>5.6815664279789395</v>
      </c>
      <c r="BB39">
        <f t="shared" si="132"/>
        <v>5.4053228479152686</v>
      </c>
      <c r="BD39">
        <v>4</v>
      </c>
      <c r="BE39">
        <f t="shared" si="133"/>
        <v>4.9795470325046765</v>
      </c>
      <c r="BF39">
        <f t="shared" si="134"/>
        <v>5.6815664279789395</v>
      </c>
      <c r="BG39">
        <f t="shared" si="135"/>
        <v>3.6601246185891601</v>
      </c>
      <c r="BH39">
        <f t="shared" si="125"/>
        <v>-1.4589799326701893</v>
      </c>
      <c r="BI39">
        <f t="shared" si="125"/>
        <v>-6.6710145435843486</v>
      </c>
      <c r="BJ39">
        <f t="shared" si="125"/>
        <v>-9.2083320332461902</v>
      </c>
      <c r="BK39">
        <f t="shared" si="125"/>
        <v>-11.810227538626943</v>
      </c>
      <c r="BN39">
        <v>4</v>
      </c>
      <c r="BO39">
        <f t="shared" si="136"/>
        <v>4.9795470325046765</v>
      </c>
      <c r="BP39">
        <f t="shared" si="137"/>
        <v>5.4053228479152686</v>
      </c>
      <c r="BQ39">
        <f t="shared" si="138"/>
        <v>3.3838810385254838</v>
      </c>
      <c r="BR39">
        <f t="shared" si="126"/>
        <v>-1.7352235127338531</v>
      </c>
      <c r="BS39">
        <f t="shared" si="127"/>
        <v>-6.9472581236480195</v>
      </c>
      <c r="BT39">
        <f t="shared" si="128"/>
        <v>-9.4845756133098682</v>
      </c>
      <c r="BU39">
        <f t="shared" si="129"/>
        <v>-12.086471118690607</v>
      </c>
    </row>
    <row r="40" spans="1:73" x14ac:dyDescent="0.35">
      <c r="A40" t="s">
        <v>61</v>
      </c>
      <c r="B40">
        <f>B36/E17</f>
        <v>9408.9599999999955</v>
      </c>
      <c r="D40" t="s">
        <v>61</v>
      </c>
      <c r="E40">
        <f>E36/E17</f>
        <v>117494.38800000001</v>
      </c>
      <c r="P40" t="s">
        <v>111</v>
      </c>
      <c r="Q40">
        <f>$G$9</f>
        <v>21775.463423999998</v>
      </c>
      <c r="S40">
        <v>6</v>
      </c>
      <c r="T40">
        <f t="shared" si="123"/>
        <v>164533.0647480714</v>
      </c>
      <c r="U40">
        <f t="shared" si="112"/>
        <v>13.331150927570199</v>
      </c>
      <c r="V40">
        <f t="shared" si="113"/>
        <v>2.7377694318190535</v>
      </c>
      <c r="W40">
        <f t="shared" si="124"/>
        <v>8.3690966985193054</v>
      </c>
      <c r="X40">
        <f t="shared" si="114"/>
        <v>1.3948494497532176</v>
      </c>
      <c r="Y40">
        <v>6</v>
      </c>
      <c r="Z40">
        <f>(2*$B$7*$B$6*(J20+K20)*$Q$6+($F$63*0.01*$E$26*$E$27*52)+$B$38*$Q$6+$B$44*$Q$6)*J9</f>
        <v>23842.877671605314</v>
      </c>
      <c r="AA40" s="14">
        <f t="shared" si="115"/>
        <v>42239.1122107868</v>
      </c>
      <c r="AB40">
        <f t="shared" si="116"/>
        <v>166848.2448305836</v>
      </c>
      <c r="AD40">
        <v>6</v>
      </c>
      <c r="AE40">
        <f>((J20+K20)*$B$6*$B$7*1*$Q$6+($E$4*$T$6*$B$6*$E$16*$E$17*$Q$6)+($U$6*(1-$F$9)*$E$9*$E$26*$E$27*52)+($E$16*$B$6*(1-$S$6)*$E$37*$E$43*$Q$6)+($E$16*$B$6*(1-$S$6)*(1/$E$17)*$E$41*$E$42*$E$43*$Q$6))*J9</f>
        <v>16825.294946197988</v>
      </c>
      <c r="AH40">
        <v>6</v>
      </c>
      <c r="AI40">
        <f t="shared" si="118"/>
        <v>16825.294946197988</v>
      </c>
      <c r="AY40">
        <v>5</v>
      </c>
      <c r="AZ40">
        <f t="shared" si="130"/>
        <v>4.4110303424107187</v>
      </c>
      <c r="BA40">
        <f t="shared" si="131"/>
        <v>9.6769435325750006</v>
      </c>
      <c r="BB40">
        <f t="shared" si="132"/>
        <v>7.6801109678554305</v>
      </c>
      <c r="BD40">
        <v>5</v>
      </c>
      <c r="BE40">
        <f t="shared" si="133"/>
        <v>4.4110303424107187</v>
      </c>
      <c r="BF40">
        <f t="shared" si="134"/>
        <v>9.6769435325750006</v>
      </c>
      <c r="BG40">
        <f t="shared" si="135"/>
        <v>7.1946852958358054</v>
      </c>
      <c r="BH40">
        <f t="shared" si="125"/>
        <v>0.89117678391106558</v>
      </c>
      <c r="BI40">
        <f t="shared" si="125"/>
        <v>-5.5234651646160096</v>
      </c>
      <c r="BJ40">
        <f t="shared" si="125"/>
        <v>-8.6485906261260581</v>
      </c>
      <c r="BK40">
        <f t="shared" si="125"/>
        <v>-11.85094380967201</v>
      </c>
      <c r="BN40">
        <v>5</v>
      </c>
      <c r="BO40">
        <f t="shared" si="136"/>
        <v>4.4110303424107187</v>
      </c>
      <c r="BP40">
        <f t="shared" si="137"/>
        <v>7.6801109678554305</v>
      </c>
      <c r="BQ40">
        <f t="shared" si="138"/>
        <v>5.1978527311162281</v>
      </c>
      <c r="BR40">
        <f t="shared" si="126"/>
        <v>-1.1056557808084975</v>
      </c>
      <c r="BS40">
        <f t="shared" si="127"/>
        <v>-7.5202977293355779</v>
      </c>
      <c r="BT40">
        <f t="shared" si="128"/>
        <v>-10.645423190845634</v>
      </c>
      <c r="BU40">
        <f t="shared" si="129"/>
        <v>-13.847776374391572</v>
      </c>
    </row>
    <row r="41" spans="1:73" x14ac:dyDescent="0.35">
      <c r="A41" t="s">
        <v>62</v>
      </c>
      <c r="B41">
        <v>0.13</v>
      </c>
      <c r="D41" t="s">
        <v>62</v>
      </c>
      <c r="E41">
        <v>0.13</v>
      </c>
      <c r="S41">
        <v>7</v>
      </c>
      <c r="T41">
        <f t="shared" si="123"/>
        <v>152987.40189062795</v>
      </c>
      <c r="U41">
        <f t="shared" si="112"/>
        <v>12.395673463833086</v>
      </c>
      <c r="V41">
        <f t="shared" si="113"/>
        <v>2.2124359537935039</v>
      </c>
      <c r="W41">
        <f t="shared" si="124"/>
        <v>10.581532652312809</v>
      </c>
      <c r="X41">
        <f t="shared" si="114"/>
        <v>1.5116475217589727</v>
      </c>
      <c r="Y41">
        <v>7</v>
      </c>
      <c r="Z41">
        <f>(2*$B$7*$B$6*(J21+K21)*$Q$6+($F$63*0.01*$E$26*$E$27*52)+$B$38*$Q$6+$B$44*$Q$6)*J10</f>
        <v>22475.174323342872</v>
      </c>
      <c r="AA41" s="14">
        <f t="shared" si="115"/>
        <v>43797.756529379207</v>
      </c>
      <c r="AB41">
        <f t="shared" si="116"/>
        <v>189323.41915392649</v>
      </c>
      <c r="AD41">
        <v>7</v>
      </c>
      <c r="AE41">
        <f>((J21+K21)*$B$6*$B$7*1*$Q$6+($E$4*$T$6*$B$6*$E$16*$E$17*$Q$6)+($U$6*(1-$F$9)*$E$9*$E$26*$E$27*52)+($E$16*$B$6*(1-$S$6)*$E$37*$E$43*$Q$6)+($E$16*$B$6*(1-$S$6)*(1/$E$17)*$E$41*$E$42*$E$43*$Q$6))*J10</f>
        <v>15695.638171121735</v>
      </c>
      <c r="AH41">
        <v>7</v>
      </c>
      <c r="AI41">
        <f t="shared" si="118"/>
        <v>15695.638171121735</v>
      </c>
      <c r="AY41">
        <v>6</v>
      </c>
      <c r="AZ41">
        <f t="shared" ref="AZ41:AZ42" si="139">AZ30+AZ40</f>
        <v>3.3122354930685489</v>
      </c>
      <c r="BA41">
        <f t="shared" ref="BA41:BA42" si="140">BA30+BA40</f>
        <v>13.017132739496352</v>
      </c>
      <c r="BB41">
        <f t="shared" ref="BB41:BB42" si="141">BB40+BB30</f>
        <v>9.4561283705441461</v>
      </c>
      <c r="BE41">
        <f t="shared" ref="BE41:BE42" si="142">BE30+BE40</f>
        <v>3.3122354930685489</v>
      </c>
      <c r="BF41">
        <f t="shared" ref="BF41:BF42" si="143">BF30+BF40</f>
        <v>13.017132739496352</v>
      </c>
      <c r="BG41">
        <f t="shared" ref="BG41:BG42" si="144">BG40+BG30</f>
        <v>10.091505650633453</v>
      </c>
      <c r="BH41">
        <f t="shared" ref="BH41:BH42" si="145">BH40+BH30</f>
        <v>2.6427916480620226</v>
      </c>
      <c r="BI41">
        <f t="shared" ref="BI41:BI42" si="146">BI40+BI30</f>
        <v>-4.9336043156094931</v>
      </c>
      <c r="BJ41">
        <f t="shared" ref="BJ41:BJ42" si="147">BJ40+BJ30</f>
        <v>-8.6273234187827512</v>
      </c>
      <c r="BK41">
        <f t="shared" ref="BK41:BK42" si="148">BK40+BK30</f>
        <v>-12.409769977007365</v>
      </c>
      <c r="BO41">
        <f t="shared" ref="BO41:BO42" si="149">BO30+BO40</f>
        <v>3.3122354930685489</v>
      </c>
      <c r="BP41">
        <f t="shared" ref="BP41:BP42" si="150">BP30+BP40</f>
        <v>9.4561283705441461</v>
      </c>
      <c r="BQ41">
        <f t="shared" ref="BQ41:BQ42" si="151">BQ40+BQ30</f>
        <v>6.5305012816812376</v>
      </c>
      <c r="BR41">
        <f t="shared" ref="BR41:BR42" si="152">BR40+BR30</f>
        <v>-0.91821272089017469</v>
      </c>
      <c r="BS41">
        <f t="shared" ref="BS41:BS42" si="153">BS40+BS30</f>
        <v>-8.4946086845616975</v>
      </c>
      <c r="BT41">
        <f t="shared" ref="BT41:BT42" si="154">BT40+BT30</f>
        <v>-12.188327787734963</v>
      </c>
      <c r="BU41">
        <f t="shared" ref="BU41:BU42" si="155">BU40+BU30</f>
        <v>-15.970774345959562</v>
      </c>
    </row>
    <row r="42" spans="1:73" x14ac:dyDescent="0.35">
      <c r="A42" t="s">
        <v>63</v>
      </c>
      <c r="B42">
        <f>E42</f>
        <v>149.1</v>
      </c>
      <c r="D42" t="s">
        <v>63</v>
      </c>
      <c r="E42">
        <v>149.1</v>
      </c>
      <c r="S42">
        <v>8</v>
      </c>
      <c r="T42">
        <f>AE11+AE22+AE32+AE42+AE52+AE62+AE72+Q25</f>
        <v>142309.9128285652</v>
      </c>
      <c r="U42">
        <f t="shared" si="112"/>
        <v>11.530539039747627</v>
      </c>
      <c r="V42">
        <f t="shared" si="113"/>
        <v>1.749560430822001</v>
      </c>
      <c r="W42">
        <f t="shared" si="124"/>
        <v>12.33109308313481</v>
      </c>
      <c r="X42">
        <f t="shared" si="114"/>
        <v>1.5413866353918513</v>
      </c>
      <c r="Y42" t="s">
        <v>90</v>
      </c>
      <c r="Z42">
        <f>(2*$B$7*$B$6*(J22+K22)*$Q$6+($F$63*$E$9*$E$26*$E$27*52)+$B$38*$Q$6+$B$44*$Q$6)*J11</f>
        <v>21949.303041394902</v>
      </c>
      <c r="AB42">
        <f t="shared" si="116"/>
        <v>211272.7221953214</v>
      </c>
      <c r="AD42" t="s">
        <v>90</v>
      </c>
      <c r="AE42">
        <f>((J22+K22)*$B$6*$B$7*1*$Q$6+($E$4*$T$6*$B$6*$E$16*$E$17*$Q$6)+($U$6*(1-$F$9)*$E$9*$E$26*$E$27*52)+($E$16*$B$6*(1-$S$6)*$E$37*$E$43*$Q$6)+($E$16*$B$6*(1-$S$6)*(1/$E$17)*$E$41*$E$42*$E$43*$Q$6))*J11</f>
        <v>14647.410791533568</v>
      </c>
      <c r="AH42" t="s">
        <v>90</v>
      </c>
      <c r="AK42" t="s">
        <v>11</v>
      </c>
      <c r="AL42" t="s">
        <v>10</v>
      </c>
      <c r="AM42" t="s">
        <v>91</v>
      </c>
      <c r="AN42" t="str">
        <f>AM27</f>
        <v>C3D1 (Subscription)</v>
      </c>
      <c r="AP42" t="s">
        <v>11</v>
      </c>
      <c r="AQ42" t="s">
        <v>10</v>
      </c>
      <c r="AR42" t="s">
        <v>91</v>
      </c>
      <c r="AS42" t="s">
        <v>92</v>
      </c>
      <c r="AY42">
        <v>7</v>
      </c>
      <c r="AZ42">
        <f t="shared" si="139"/>
        <v>1.7623179779409242</v>
      </c>
      <c r="BA42">
        <f t="shared" si="140"/>
        <v>15.777223034291946</v>
      </c>
      <c r="BB42">
        <f t="shared" si="141"/>
        <v>10.794244297855524</v>
      </c>
      <c r="BE42">
        <f t="shared" si="142"/>
        <v>1.7623179779409242</v>
      </c>
      <c r="BF42">
        <f t="shared" si="143"/>
        <v>15.777223034291946</v>
      </c>
      <c r="BG42">
        <f t="shared" si="144"/>
        <v>12.425388487624156</v>
      </c>
      <c r="BH42">
        <f t="shared" si="145"/>
        <v>3.8707454091517199</v>
      </c>
      <c r="BI42">
        <f t="shared" si="146"/>
        <v>-4.8266237436005763</v>
      </c>
      <c r="BJ42">
        <f t="shared" si="147"/>
        <v>-9.0696489683279697</v>
      </c>
      <c r="BK42">
        <f t="shared" si="148"/>
        <v>-13.411855950848039</v>
      </c>
      <c r="BO42">
        <f t="shared" si="149"/>
        <v>1.7623179779409242</v>
      </c>
      <c r="BP42">
        <f t="shared" si="150"/>
        <v>10.794244297855528</v>
      </c>
      <c r="BQ42">
        <f t="shared" si="151"/>
        <v>7.4424097511877285</v>
      </c>
      <c r="BR42">
        <f t="shared" si="152"/>
        <v>-1.1122333272846916</v>
      </c>
      <c r="BS42">
        <f t="shared" si="153"/>
        <v>-9.8096024800369932</v>
      </c>
      <c r="BT42">
        <f t="shared" si="154"/>
        <v>-14.052627704764394</v>
      </c>
      <c r="BU42">
        <f t="shared" si="155"/>
        <v>-18.394834687284451</v>
      </c>
    </row>
    <row r="43" spans="1:73" x14ac:dyDescent="0.35">
      <c r="A43" t="s">
        <v>64</v>
      </c>
      <c r="B43">
        <f>E43</f>
        <v>2.1999999999999999E-2</v>
      </c>
      <c r="D43" t="s">
        <v>64</v>
      </c>
      <c r="E43" s="11">
        <v>2.1999999999999999E-2</v>
      </c>
      <c r="Y43" t="s">
        <v>11</v>
      </c>
      <c r="Z43" t="s">
        <v>88</v>
      </c>
      <c r="AB43" t="s">
        <v>93</v>
      </c>
      <c r="AD43" t="s">
        <v>11</v>
      </c>
      <c r="AE43" t="s">
        <v>91</v>
      </c>
      <c r="AH43" t="s">
        <v>11</v>
      </c>
      <c r="AI43" t="s">
        <v>92</v>
      </c>
      <c r="AK43">
        <v>0</v>
      </c>
      <c r="AL43">
        <f>AL14</f>
        <v>0</v>
      </c>
      <c r="AM43">
        <v>0</v>
      </c>
      <c r="AN43">
        <v>0</v>
      </c>
      <c r="AP43">
        <v>0</v>
      </c>
      <c r="AQ43">
        <v>0</v>
      </c>
      <c r="AR43">
        <v>0</v>
      </c>
      <c r="AS43">
        <v>0</v>
      </c>
    </row>
    <row r="44" spans="1:73" x14ac:dyDescent="0.35">
      <c r="A44" t="s">
        <v>65</v>
      </c>
      <c r="B44">
        <f>B40*B41*B42*B43</f>
        <v>4012.225176959998</v>
      </c>
      <c r="D44" t="s">
        <v>65</v>
      </c>
      <c r="E44">
        <f>E40*E41*E42*E43</f>
        <v>50102.661897287995</v>
      </c>
      <c r="Y44">
        <v>0</v>
      </c>
      <c r="Z44">
        <v>0</v>
      </c>
      <c r="AA44" s="14">
        <v>0</v>
      </c>
      <c r="AB44">
        <f>Z44</f>
        <v>0</v>
      </c>
      <c r="AD44">
        <v>0</v>
      </c>
      <c r="AE44">
        <v>0</v>
      </c>
      <c r="AF44">
        <f>AE44</f>
        <v>0</v>
      </c>
      <c r="AH44">
        <v>0</v>
      </c>
      <c r="AI44">
        <f>AF44</f>
        <v>0</v>
      </c>
      <c r="AK44">
        <v>1</v>
      </c>
      <c r="AL44">
        <f>AL15/($B$6*$B$7*2*$AK44)</f>
        <v>23.570215434621108</v>
      </c>
      <c r="AM44">
        <f>AM15/($B$6*$B$7*2*$AK44)</f>
        <v>37.968470535447807</v>
      </c>
      <c r="AN44">
        <f>AM29/($B$6*$B$7*2*$AK44)</f>
        <v>31.980049622379347</v>
      </c>
      <c r="AP44">
        <v>1</v>
      </c>
      <c r="AQ44">
        <f>U24-AL44</f>
        <v>1.3081845653788875</v>
      </c>
      <c r="AR44">
        <f>V24-AM44</f>
        <v>-12.089313607447814</v>
      </c>
      <c r="AS44">
        <f>V24-AN44</f>
        <v>-6.100892694379354</v>
      </c>
    </row>
    <row r="45" spans="1:73" x14ac:dyDescent="0.35">
      <c r="A45" t="s">
        <v>66</v>
      </c>
      <c r="B45">
        <f>B44/B36</f>
        <v>4.0612000000000002E-2</v>
      </c>
      <c r="D45" t="s">
        <v>66</v>
      </c>
      <c r="E45">
        <f>E44/E36</f>
        <v>4.0611999999999995E-2</v>
      </c>
      <c r="Y45">
        <v>1</v>
      </c>
      <c r="Z45">
        <f>(2*$B$7*$B$6*(J15+K15)*$Q$7+($F$64*0.01*$E$26*$E$27*52)+$B$38*$Q$7+$B$44*$Q$7)*J4</f>
        <v>71233.516636432978</v>
      </c>
      <c r="AA45" s="14">
        <f>(2*$B$7*$B$6*(J15+K15)*$Q$7+($F$64*0.01*$E$26*$E$27*52)+$B$38*$Q$7+$B$44*$Q$7)</f>
        <v>78356.868300076283</v>
      </c>
      <c r="AB45">
        <f>AB44+Z45</f>
        <v>71233.516636432978</v>
      </c>
      <c r="AD45">
        <v>1</v>
      </c>
      <c r="AE45">
        <f>((J15+K15)*$B$6*$B$7*1*$Q$7+($E$4*$T$7*$B$6*$E$16*$E$17*$Q$7)+($U$7*(1-$F$9)*$E$9*$E$26*$E$27*52)+($E$16*$B$6*(1-$S$7)*$E$37*$E$43*$Q$7)+($E$16*$B$6*(1-$S$7)*(1/$E$17)*$E$41*$E$42*$E$43*$Q$7))*J4</f>
        <v>54425.608566507442</v>
      </c>
      <c r="AF45">
        <f>AF44+AE45</f>
        <v>54425.608566507442</v>
      </c>
      <c r="AH45">
        <v>1</v>
      </c>
      <c r="AI45">
        <f>AE45</f>
        <v>54425.608566507442</v>
      </c>
      <c r="AK45">
        <v>2</v>
      </c>
      <c r="AL45">
        <f>AL16/($B$6*$B$7*2*$AK45)</f>
        <v>22.86091868704742</v>
      </c>
      <c r="AM45">
        <f>AM16/($B$6*$B$7*2*$AK45)</f>
        <v>27.938110382988143</v>
      </c>
      <c r="AN45">
        <f>AM30/($B$6*$B$7*2*$AK45)</f>
        <v>26.088951895742415</v>
      </c>
      <c r="AP45">
        <v>2</v>
      </c>
      <c r="AQ45">
        <f t="shared" ref="AQ45:AQ51" si="156">U25-AL45</f>
        <v>-0.24419141432015223</v>
      </c>
      <c r="AR45">
        <f t="shared" ref="AR45:AR51" si="157">V25-AM45</f>
        <v>-3.2352787698972421</v>
      </c>
      <c r="AS45">
        <f t="shared" ref="AS45:AS51" si="158">V25-AN45</f>
        <v>-1.3861202826515147</v>
      </c>
    </row>
    <row r="46" spans="1:73" x14ac:dyDescent="0.35">
      <c r="Y46">
        <v>2</v>
      </c>
      <c r="Z46">
        <f>(2*$B$7*$B$6*(J16+K16)*$Q$7+($F$64*0.01*$E$26*$E$27*52)+$B$38*$Q$7+$B$44*$Q$7)*J5</f>
        <v>66860.946655549255</v>
      </c>
      <c r="AA46" s="14">
        <f t="shared" ref="AA46:AA51" si="159">(2*$B$7*$B$6*(J16+K16)*$Q$7+($F$64*0.01*$E$26*$E$27*52)+$B$38*$Q$7+$B$44*$Q$7)</f>
        <v>80901.745453214608</v>
      </c>
      <c r="AB46">
        <f t="shared" ref="AB46:AB52" si="160">AB45+Z46</f>
        <v>138094.46329198225</v>
      </c>
      <c r="AD46">
        <v>2</v>
      </c>
      <c r="AE46">
        <f>((J16+K16)*$B$6*$B$7*1*$Q$7+($E$4*$T$7*$B$6*$E$16*$E$17*$Q$7)+($U$7*(1-$F$9)*$E$9*$E$26*$E$27*52)+($E$16*$B$6*(1-$S$7)*$E$37*$E$43*$Q$7)+($E$16*$B$6*(1-$S$7)*(1/$E$17)*$E$41*$E$42*$E$43*$Q$7))*J5</f>
        <v>50529.428098948214</v>
      </c>
      <c r="AF46">
        <f t="shared" ref="AF46:AF49" si="161">AF45+AE46</f>
        <v>104955.03666545566</v>
      </c>
      <c r="AH46">
        <v>2</v>
      </c>
      <c r="AI46">
        <f t="shared" ref="AI46:AI51" si="162">AE46</f>
        <v>50529.428098948214</v>
      </c>
      <c r="AK46">
        <v>3</v>
      </c>
      <c r="AL46">
        <f>AL17/($B$6*$B$7*2*$AK46)</f>
        <v>22.181771451446352</v>
      </c>
      <c r="AM46">
        <f>AM17/($B$6*$B$7*2*$AK46)</f>
        <v>24.166659684675313</v>
      </c>
      <c r="AN46">
        <f>AM31/($B$6*$B$7*2*$AK46)</f>
        <v>23.627858250322706</v>
      </c>
      <c r="AP46">
        <v>3</v>
      </c>
      <c r="AQ46">
        <f t="shared" si="156"/>
        <v>-1.6211102944215661</v>
      </c>
      <c r="AR46">
        <f t="shared" si="157"/>
        <v>-2.7789266863282158</v>
      </c>
      <c r="AS46">
        <f t="shared" si="158"/>
        <v>-2.2401252519756092</v>
      </c>
      <c r="AY46" s="1" t="s">
        <v>144</v>
      </c>
      <c r="BD46" s="1" t="str">
        <f>AY46</f>
        <v>ACYOM</v>
      </c>
    </row>
    <row r="47" spans="1:73" x14ac:dyDescent="0.35">
      <c r="A47" t="s">
        <v>67</v>
      </c>
      <c r="B47">
        <f>B38+B44</f>
        <v>34875.495768959976</v>
      </c>
      <c r="D47" t="s">
        <v>68</v>
      </c>
      <c r="E47">
        <f>E44+E38</f>
        <v>435507.75341488793</v>
      </c>
      <c r="Y47">
        <v>3</v>
      </c>
      <c r="Z47">
        <f>(2*$B$7*$B$6*(J17+K17)*$Q$7+($F$64*0.01*$E$26*$E$27*52)+$B$38*$Q$7+$B$44*$Q$7)*J6</f>
        <v>62774.022919985582</v>
      </c>
      <c r="AA47" s="14">
        <f t="shared" si="159"/>
        <v>83552.224506500832</v>
      </c>
      <c r="AB47">
        <f t="shared" si="160"/>
        <v>200868.48621196783</v>
      </c>
      <c r="AD47">
        <v>3</v>
      </c>
      <c r="AE47">
        <f>((J17+K17)*$B$6*$B$7*1*$Q$7+($E$4*$T$7*$B$6*$E$16*$E$17*$Q$7)+($U$7*(1-$F$9)*$E$9*$E$26*$E$27*52)+($E$16*$B$6*(1-$S$7)*$E$37*$E$43*$Q$7)+($E$16*$B$6*(1-$S$7)*(1/$E$17)*$E$41*$E$42*$E$43*$Q$7))*J6</f>
        <v>46931.515797423323</v>
      </c>
      <c r="AF47">
        <f t="shared" si="161"/>
        <v>151886.55246287899</v>
      </c>
      <c r="AH47">
        <v>3</v>
      </c>
      <c r="AI47">
        <f t="shared" si="162"/>
        <v>46931.515797423323</v>
      </c>
      <c r="AK47">
        <v>4</v>
      </c>
      <c r="AL47">
        <f>AL18/($B$6*$B$7*2*$AK47)</f>
        <v>21.531230446982764</v>
      </c>
      <c r="AM47">
        <f>AM18/($B$6*$B$7*2*$AK47)</f>
        <v>21.984544486168296</v>
      </c>
      <c r="AN47">
        <f>AM32/($B$6*$B$7*2*$AK47)</f>
        <v>22.053605381184212</v>
      </c>
      <c r="AP47">
        <v>4</v>
      </c>
      <c r="AQ47">
        <f t="shared" si="156"/>
        <v>-2.8397203042329586</v>
      </c>
      <c r="AR47">
        <f t="shared" si="157"/>
        <v>-1.5689811695642497</v>
      </c>
      <c r="AS47">
        <f t="shared" si="158"/>
        <v>-1.6380420645801657</v>
      </c>
      <c r="AY47" t="s">
        <v>11</v>
      </c>
      <c r="AZ47" t="s">
        <v>10</v>
      </c>
      <c r="BA47" t="s">
        <v>91</v>
      </c>
      <c r="BB47" t="s">
        <v>92</v>
      </c>
      <c r="BD47" t="s">
        <v>11</v>
      </c>
      <c r="BE47" t="s">
        <v>10</v>
      </c>
      <c r="BF47" t="s">
        <v>91</v>
      </c>
      <c r="BG47" t="s">
        <v>86</v>
      </c>
      <c r="BH47" t="s">
        <v>99</v>
      </c>
      <c r="BI47" t="s">
        <v>100</v>
      </c>
      <c r="BJ47" t="s">
        <v>101</v>
      </c>
      <c r="BK47" t="s">
        <v>102</v>
      </c>
      <c r="BN47" t="s">
        <v>11</v>
      </c>
      <c r="BO47" t="s">
        <v>10</v>
      </c>
      <c r="BP47" t="s">
        <v>92</v>
      </c>
      <c r="BQ47" t="s">
        <v>86</v>
      </c>
      <c r="BR47" t="s">
        <v>99</v>
      </c>
      <c r="BS47" t="s">
        <v>100</v>
      </c>
      <c r="BT47" t="s">
        <v>101</v>
      </c>
      <c r="BU47" t="s">
        <v>102</v>
      </c>
    </row>
    <row r="48" spans="1:73" x14ac:dyDescent="0.35">
      <c r="Y48">
        <v>4</v>
      </c>
      <c r="Z48">
        <f>(2*$B$7*$B$6*(J18+K18)*$Q$7+($F$64*0.01*$E$26*$E$27*52)+$B$38*$Q$7+$B$44*$Q$7)*J7</f>
        <v>58952.72999659201</v>
      </c>
      <c r="AA48" s="14">
        <f t="shared" si="159"/>
        <v>86312.691988010381</v>
      </c>
      <c r="AB48">
        <f t="shared" si="160"/>
        <v>259821.21620855984</v>
      </c>
      <c r="AD48">
        <v>4</v>
      </c>
      <c r="AE48">
        <f>((J18+K18)*$B$6*$B$7*1*$Q$7+($E$4*$T$7*$B$6*$E$16*$E$17*$Q$7)+($U$7*(1-$F$9)*$E$9*$E$26*$E$27*52)+($E$16*$B$6*(1-$S$7)*$E$37*$E$43*$Q$7)+($E$16*$B$6*(1-$S$7)*(1/$E$17)*$E$41*$E$42*$E$43*$Q$7))*J7</f>
        <v>43607.732577778304</v>
      </c>
      <c r="AF48">
        <f t="shared" si="161"/>
        <v>195494.2850406573</v>
      </c>
      <c r="AH48">
        <v>4</v>
      </c>
      <c r="AI48">
        <f t="shared" si="162"/>
        <v>43607.732577778304</v>
      </c>
      <c r="AK48">
        <v>5</v>
      </c>
      <c r="AL48">
        <f>AL19/($B$6*$B$7*2*$AK48)</f>
        <v>20.907842807960716</v>
      </c>
      <c r="AM48">
        <f>AM19/($B$6*$B$7*2*$AK48)</f>
        <v>20.456254997603565</v>
      </c>
      <c r="AN48">
        <f>AM33/($B$6*$B$7*2*$AK48)</f>
        <v>20.855621510547476</v>
      </c>
      <c r="AP48">
        <v>5</v>
      </c>
      <c r="AQ48">
        <f t="shared" si="156"/>
        <v>-3.9155608600063481</v>
      </c>
      <c r="AR48">
        <f t="shared" si="157"/>
        <v>-2.7804426022753894</v>
      </c>
      <c r="AS48">
        <f t="shared" si="158"/>
        <v>-3.1798091152192995</v>
      </c>
      <c r="AY48">
        <v>1</v>
      </c>
      <c r="AZ48">
        <f>AZ36/$AY36</f>
        <v>2.557784565378892</v>
      </c>
      <c r="BA48">
        <f t="shared" ref="BA48:BB48" si="163">BA36/$AY36</f>
        <v>-11.11911053544781</v>
      </c>
      <c r="BB48">
        <f t="shared" si="163"/>
        <v>-5.1306896223793501</v>
      </c>
      <c r="BD48">
        <v>1</v>
      </c>
      <c r="BE48">
        <f>BE36/$AY36</f>
        <v>2.557784565378892</v>
      </c>
      <c r="BF48">
        <f t="shared" ref="BF48:BG48" si="164">BF36/$AY36</f>
        <v>-11.11911053544781</v>
      </c>
      <c r="BG48">
        <f t="shared" si="164"/>
        <v>-11.651391332920198</v>
      </c>
      <c r="BH48">
        <f t="shared" ref="BH48:BK48" si="165">BH36/$AY36</f>
        <v>-12.986586152617697</v>
      </c>
      <c r="BI48">
        <f t="shared" si="165"/>
        <v>-14.348432536504063</v>
      </c>
      <c r="BJ48">
        <f t="shared" si="165"/>
        <v>-15.00968144075317</v>
      </c>
      <c r="BK48">
        <f t="shared" si="165"/>
        <v>-15.689450780020998</v>
      </c>
      <c r="BN48">
        <v>1</v>
      </c>
      <c r="BO48">
        <f>BO36/$AY36</f>
        <v>2.557784565378892</v>
      </c>
      <c r="BP48">
        <f t="shared" ref="BP48:BU48" si="166">BP36/$AY36</f>
        <v>-5.1306896223793501</v>
      </c>
      <c r="BQ48">
        <f t="shared" si="166"/>
        <v>-5.6629704198517459</v>
      </c>
      <c r="BR48">
        <f t="shared" si="166"/>
        <v>-6.9981652395492375</v>
      </c>
      <c r="BS48">
        <f t="shared" si="166"/>
        <v>-8.3600116234356108</v>
      </c>
      <c r="BT48">
        <f t="shared" si="166"/>
        <v>-9.0212605276847171</v>
      </c>
      <c r="BU48">
        <f t="shared" si="166"/>
        <v>-9.7010298669525383</v>
      </c>
    </row>
    <row r="49" spans="1:73" x14ac:dyDescent="0.35">
      <c r="Y49">
        <v>5</v>
      </c>
      <c r="Z49">
        <f>(2*$B$7*$B$6*(J19+K19)*$Q$7+($F$64*0.01*$E$26*$E$27*52)+$B$38*$Q$7+$B$44*$Q$7)*J8</f>
        <v>55378.555120695957</v>
      </c>
      <c r="AA49" s="14">
        <f t="shared" si="159"/>
        <v>89187.71680743208</v>
      </c>
      <c r="AB49">
        <f t="shared" si="160"/>
        <v>315199.77132925577</v>
      </c>
      <c r="AD49">
        <v>5</v>
      </c>
      <c r="AE49">
        <f>((J19+K19)*$B$6*$B$7*1*$Q$7+($E$4*$T$7*$B$6*$E$16*$E$17*$Q$7)+($U$7*(1-$F$9)*$E$9*$E$26*$E$27*52)+($E$16*$B$6*(1-$S$7)*$E$37*$E$43*$Q$7)+($E$16*$B$6*(1-$S$7)*(1/$E$17)*$E$41*$E$42*$E$43*$Q$7))*J8</f>
        <v>40535.975359877339</v>
      </c>
      <c r="AF49">
        <f t="shared" si="161"/>
        <v>236030.26040053464</v>
      </c>
      <c r="AH49">
        <v>5</v>
      </c>
      <c r="AI49">
        <f t="shared" si="162"/>
        <v>40535.975359877339</v>
      </c>
      <c r="AK49">
        <v>6</v>
      </c>
      <c r="AL49">
        <f>AL20/($B$6*$B$7*2*$AK49)</f>
        <v>20.310240203005893</v>
      </c>
      <c r="AM49">
        <f>AM20/($B$6*$B$7*2*$AK49)</f>
        <v>19.268737652598002</v>
      </c>
      <c r="AN49">
        <f>AM34/($B$6*$B$7*2*$AK49)</f>
        <v>19.8622383807567</v>
      </c>
      <c r="AP49">
        <v>6</v>
      </c>
      <c r="AQ49">
        <f t="shared" si="156"/>
        <v>-4.8627111594110151</v>
      </c>
      <c r="AR49">
        <f t="shared" si="157"/>
        <v>-2.3963712752392858</v>
      </c>
      <c r="AS49">
        <f t="shared" si="158"/>
        <v>-2.9898720033979842</v>
      </c>
      <c r="AY49">
        <v>2</v>
      </c>
      <c r="AZ49">
        <f t="shared" ref="AZ49:BB49" si="167">AZ37/$AY37</f>
        <v>2.0794449493162137</v>
      </c>
      <c r="BA49">
        <f t="shared" si="167"/>
        <v>-2.3091758375336013</v>
      </c>
      <c r="BB49">
        <f t="shared" si="167"/>
        <v>-0.46001735028787216</v>
      </c>
      <c r="BD49">
        <v>2</v>
      </c>
      <c r="BE49">
        <f t="shared" ref="BE49:BG49" si="168">BE37/$AY37</f>
        <v>2.0794449493162137</v>
      </c>
      <c r="BF49">
        <f t="shared" si="168"/>
        <v>-2.3091758375336013</v>
      </c>
      <c r="BG49">
        <f t="shared" si="168"/>
        <v>-2.8324707947903036</v>
      </c>
      <c r="BH49">
        <f t="shared" ref="BH49:BK49" si="169">BH37/$AY37</f>
        <v>-4.1495775226751039</v>
      </c>
      <c r="BI49">
        <f t="shared" si="169"/>
        <v>-5.4921243800129176</v>
      </c>
      <c r="BJ49">
        <f t="shared" si="169"/>
        <v>-6.1446087539697096</v>
      </c>
      <c r="BK49">
        <f t="shared" si="169"/>
        <v>-6.814771724989825</v>
      </c>
      <c r="BN49">
        <v>2</v>
      </c>
      <c r="BO49">
        <f t="shared" ref="BO49:BU49" si="170">BO37/$AY37</f>
        <v>2.0794449493162137</v>
      </c>
      <c r="BP49">
        <f t="shared" si="170"/>
        <v>-0.46001735028787216</v>
      </c>
      <c r="BQ49">
        <f t="shared" si="170"/>
        <v>-0.98331230754457799</v>
      </c>
      <c r="BR49">
        <f t="shared" si="170"/>
        <v>-2.300419035429373</v>
      </c>
      <c r="BS49">
        <f t="shared" si="170"/>
        <v>-3.6429658927671902</v>
      </c>
      <c r="BT49">
        <f t="shared" si="170"/>
        <v>-4.295450266723984</v>
      </c>
      <c r="BU49">
        <f t="shared" si="170"/>
        <v>-4.9656132377440958</v>
      </c>
    </row>
    <row r="50" spans="1:73" x14ac:dyDescent="0.35">
      <c r="Y50">
        <v>6</v>
      </c>
      <c r="Z50">
        <f>(2*$B$7*$B$6*(J20+K20)*$Q$7+($F$64*0.01*$E$26*$E$27*52)+$B$38*$Q$7+$B$44*$Q$7)*J9</f>
        <v>52034.368472606016</v>
      </c>
      <c r="AA50" s="14">
        <f t="shared" si="159"/>
        <v>92182.057845698422</v>
      </c>
      <c r="AB50">
        <f t="shared" si="160"/>
        <v>367234.13980186178</v>
      </c>
      <c r="AD50">
        <v>6</v>
      </c>
      <c r="AE50">
        <f>((J20+K20)*$B$6*$B$7*1*$Q$7+($E$4*$T$7*$B$6*$E$16*$E$17*$Q$7)+($U$7*(1-$F$9)*$E$9*$E$26*$E$27*52)+($E$16*$B$6*(1-$S$7)*$E$37*$E$43*$Q$7)+($E$16*$B$6*(1-$S$7)*(1/$E$17)*$E$41*$E$42*$E$43*$Q$7))*J9</f>
        <v>37696.000417693336</v>
      </c>
      <c r="AH50">
        <v>6</v>
      </c>
      <c r="AI50">
        <f t="shared" si="162"/>
        <v>37696.000417693336</v>
      </c>
      <c r="AK50">
        <v>7</v>
      </c>
      <c r="AL50">
        <f>AL21/($B$6*$B$7*2*$AK50)</f>
        <v>19.737133368229724</v>
      </c>
      <c r="AM50">
        <f>AM21/($B$6*$B$7*2*$AK50)</f>
        <v>18.286871339917301</v>
      </c>
      <c r="AN50">
        <f>AM35/($B$6*$B$7*2*$AK50)</f>
        <v>18.998725445122503</v>
      </c>
      <c r="AP50">
        <v>7</v>
      </c>
      <c r="AQ50">
        <f t="shared" si="156"/>
        <v>-5.6939251467798364</v>
      </c>
      <c r="AR50">
        <f t="shared" si="157"/>
        <v>-3.6787619222907111</v>
      </c>
      <c r="AS50">
        <f t="shared" si="158"/>
        <v>-4.3906160274959127</v>
      </c>
      <c r="AY50">
        <v>3</v>
      </c>
      <c r="AZ50">
        <f>AZ38/$AY38</f>
        <v>1.6429337827134241</v>
      </c>
      <c r="BA50">
        <f t="shared" ref="AZ50:BB50" si="171">BA38/$AY38</f>
        <v>0.31581458529713302</v>
      </c>
      <c r="BB50">
        <f t="shared" si="171"/>
        <v>0.85461601964973966</v>
      </c>
      <c r="BD50">
        <v>3</v>
      </c>
      <c r="BE50">
        <f t="shared" ref="BE50:BG50" si="172">BE38/$AY38</f>
        <v>1.6429337827134241</v>
      </c>
      <c r="BF50">
        <f t="shared" si="172"/>
        <v>0.31581458529713302</v>
      </c>
      <c r="BG50">
        <f t="shared" si="172"/>
        <v>-0.19849987106754816</v>
      </c>
      <c r="BH50">
        <f t="shared" ref="BH50:BK50" si="173">BH38/$AY38</f>
        <v>-1.4971041934070979</v>
      </c>
      <c r="BI50">
        <f t="shared" si="173"/>
        <v>-2.8200106307508257</v>
      </c>
      <c r="BJ50">
        <f t="shared" si="173"/>
        <v>-3.4635066981951232</v>
      </c>
      <c r="BK50">
        <f t="shared" si="173"/>
        <v>-4.1238905452294921</v>
      </c>
      <c r="BN50">
        <v>3</v>
      </c>
      <c r="BO50">
        <f t="shared" ref="BO50:BU50" si="174">BO38/$AY38</f>
        <v>1.6429337827134241</v>
      </c>
      <c r="BP50">
        <f t="shared" si="174"/>
        <v>0.85461601964973966</v>
      </c>
      <c r="BQ50">
        <f t="shared" si="174"/>
        <v>0.34030156328505612</v>
      </c>
      <c r="BR50">
        <f t="shared" si="174"/>
        <v>-0.95830275905449014</v>
      </c>
      <c r="BS50">
        <f t="shared" si="174"/>
        <v>-2.2812091963982191</v>
      </c>
      <c r="BT50">
        <f t="shared" si="174"/>
        <v>-2.9247052638425188</v>
      </c>
      <c r="BU50">
        <f t="shared" si="174"/>
        <v>-3.5850891108768841</v>
      </c>
    </row>
    <row r="51" spans="1:73" x14ac:dyDescent="0.35">
      <c r="D51" t="s">
        <v>69</v>
      </c>
      <c r="Y51">
        <v>7</v>
      </c>
      <c r="Z51">
        <f>(2*$B$7*$B$6*(J21+K21)*$Q$7+($F$64*0.01*$E$26*$E$27*52)+$B$38*$Q$7+$B$44*$Q$7)*J10</f>
        <v>48904.313438161502</v>
      </c>
      <c r="AA51" s="14">
        <f t="shared" si="159"/>
        <v>95300.671860705173</v>
      </c>
      <c r="AB51">
        <f t="shared" si="160"/>
        <v>416138.45324002329</v>
      </c>
      <c r="AD51">
        <v>7</v>
      </c>
      <c r="AE51">
        <f>((J21+K21)*$B$6*$B$7*1*$Q$7+($E$4*$T$7*$B$6*$E$16*$E$17*$Q$7)+($U$7*(1-$F$9)*$E$9*$E$26*$E$27*52)+($E$16*$B$6*(1-$S$7)*$E$37*$E$43*$Q$7)+($E$16*$B$6*(1-$S$7)*(1/$E$17)*$E$41*$E$42*$E$43*$Q$7))*J10</f>
        <v>35069.262338526503</v>
      </c>
      <c r="AH51">
        <v>7</v>
      </c>
      <c r="AI51">
        <f t="shared" si="162"/>
        <v>35069.262338526503</v>
      </c>
      <c r="AK51">
        <v>8</v>
      </c>
      <c r="AL51">
        <f>AL22/($B$6*$B$7*2*$AK51)</f>
        <v>19.195004608466789</v>
      </c>
      <c r="AM51">
        <f>AM22/($B$6*$B$7*2*$AK51)</f>
        <v>17.442329802396092</v>
      </c>
      <c r="AN51">
        <f>AM36/($B$6*$B$7*2*$AK51)</f>
        <v>18.226790140755668</v>
      </c>
      <c r="AP51">
        <v>8</v>
      </c>
      <c r="AQ51">
        <f t="shared" si="156"/>
        <v>-6.4284516798759821</v>
      </c>
      <c r="AR51">
        <f t="shared" si="157"/>
        <v>-3.498225358297983</v>
      </c>
      <c r="AS51">
        <f t="shared" si="158"/>
        <v>-4.282685696657559</v>
      </c>
      <c r="AY51">
        <v>4</v>
      </c>
      <c r="AZ51">
        <f t="shared" ref="AZ51:BB51" si="175">AZ39/$AY39</f>
        <v>1.2448867581261691</v>
      </c>
      <c r="BA51">
        <f t="shared" si="175"/>
        <v>1.4203916069947349</v>
      </c>
      <c r="BB51">
        <f t="shared" si="175"/>
        <v>1.3513307119788172</v>
      </c>
      <c r="BD51">
        <v>4</v>
      </c>
      <c r="BE51">
        <f t="shared" ref="BE51:BG51" si="176">BE39/$AY39</f>
        <v>1.2448867581261691</v>
      </c>
      <c r="BF51">
        <f t="shared" si="176"/>
        <v>1.4203916069947349</v>
      </c>
      <c r="BG51">
        <f t="shared" si="176"/>
        <v>0.91503115464729001</v>
      </c>
      <c r="BH51">
        <f t="shared" ref="BH51:BK51" si="177">BH39/$AY39</f>
        <v>-0.36474498316754733</v>
      </c>
      <c r="BI51">
        <f t="shared" si="177"/>
        <v>-1.6677536358960872</v>
      </c>
      <c r="BJ51">
        <f t="shared" si="177"/>
        <v>-2.3020830083115476</v>
      </c>
      <c r="BK51">
        <f t="shared" si="177"/>
        <v>-2.9525568846567358</v>
      </c>
      <c r="BN51">
        <v>4</v>
      </c>
      <c r="BO51">
        <f t="shared" ref="BO51:BU51" si="178">BO39/$AY39</f>
        <v>1.2448867581261691</v>
      </c>
      <c r="BP51">
        <f t="shared" si="178"/>
        <v>1.3513307119788172</v>
      </c>
      <c r="BQ51">
        <f t="shared" si="178"/>
        <v>0.84597025963137096</v>
      </c>
      <c r="BR51">
        <f t="shared" si="178"/>
        <v>-0.43380587818346328</v>
      </c>
      <c r="BS51">
        <f t="shared" si="178"/>
        <v>-1.7368145309120049</v>
      </c>
      <c r="BT51">
        <f t="shared" si="178"/>
        <v>-2.3711439033274671</v>
      </c>
      <c r="BU51">
        <f t="shared" si="178"/>
        <v>-3.0216177796726518</v>
      </c>
    </row>
    <row r="52" spans="1:73" x14ac:dyDescent="0.35">
      <c r="D52">
        <v>1</v>
      </c>
      <c r="E52">
        <v>0.01</v>
      </c>
      <c r="F52">
        <v>0.52</v>
      </c>
      <c r="G52">
        <f>$E$24*(1-F52)*E52*$E$28*52</f>
        <v>11877.525503999997</v>
      </c>
      <c r="Y52" t="s">
        <v>85</v>
      </c>
      <c r="Z52">
        <f>(2*$B$7*$B$6*(J22+K22)*$Q$7+($F$64*0.01*$E$26*$E$27*52)+$B$38*$Q$7+$B$44*$Q$7)*J11</f>
        <v>45973.705993685609</v>
      </c>
      <c r="AB52">
        <f t="shared" si="160"/>
        <v>462112.15923370887</v>
      </c>
      <c r="AD52" t="s">
        <v>85</v>
      </c>
      <c r="AE52">
        <f>((J22+K22)*$B$6*$B$7*1*$Q$7+($E$4*$T$7*$B$6*$E$16*$E$17*$Q$7)+($U$7*(1-$F$9)*$E$9*$E$26*$E$27*52)+($E$16*$B$6*(1-$S$7)*$E$37*$E$43*$Q$7)+($E$16*$B$6*(1-$S$7)*(1/$E$17)*$E$41*$E$42*$E$43*$Q$7))*J11</f>
        <v>32638.767196338948</v>
      </c>
      <c r="AH52" t="s">
        <v>85</v>
      </c>
      <c r="AY52">
        <v>5</v>
      </c>
      <c r="AZ52">
        <f>AZ40/$AY40</f>
        <v>0.88220606848214378</v>
      </c>
      <c r="BA52">
        <f>BA40/$AY40</f>
        <v>1.9353887065150002</v>
      </c>
      <c r="BB52">
        <f>BB40/$AY40</f>
        <v>1.536022193571086</v>
      </c>
      <c r="BD52">
        <v>5</v>
      </c>
      <c r="BE52">
        <f t="shared" ref="BE52:BG52" si="179">BE40/$AY40</f>
        <v>0.88220606848214378</v>
      </c>
      <c r="BF52">
        <f t="shared" si="179"/>
        <v>1.9353887065150002</v>
      </c>
      <c r="BG52">
        <f t="shared" si="179"/>
        <v>1.4389370591671611</v>
      </c>
      <c r="BH52">
        <f t="shared" ref="BH52:BK52" si="180">BH40/$AY40</f>
        <v>0.17823535678221311</v>
      </c>
      <c r="BI52">
        <f t="shared" si="180"/>
        <v>-1.1046930329232019</v>
      </c>
      <c r="BJ52">
        <f t="shared" si="180"/>
        <v>-1.7297181252252116</v>
      </c>
      <c r="BK52">
        <f t="shared" si="180"/>
        <v>-2.370188761934402</v>
      </c>
      <c r="BN52">
        <v>5</v>
      </c>
      <c r="BO52">
        <f t="shared" ref="BO52:BU52" si="181">BO40/$AY40</f>
        <v>0.88220606848214378</v>
      </c>
      <c r="BP52">
        <f t="shared" si="181"/>
        <v>1.536022193571086</v>
      </c>
      <c r="BQ52">
        <f t="shared" si="181"/>
        <v>1.0395705462232456</v>
      </c>
      <c r="BR52">
        <f t="shared" si="181"/>
        <v>-0.22113115616169948</v>
      </c>
      <c r="BS52">
        <f t="shared" si="181"/>
        <v>-1.5040595458671155</v>
      </c>
      <c r="BT52">
        <f t="shared" si="181"/>
        <v>-2.1290846381691266</v>
      </c>
      <c r="BU52">
        <f t="shared" si="181"/>
        <v>-2.7695552748783143</v>
      </c>
    </row>
    <row r="53" spans="1:73" x14ac:dyDescent="0.35">
      <c r="D53">
        <v>2</v>
      </c>
      <c r="E53">
        <v>0.01</v>
      </c>
      <c r="F53">
        <v>0.65</v>
      </c>
      <c r="G53">
        <f>$E$24*(1-F53)*E53*$E$28*52</f>
        <v>8660.6956800000007</v>
      </c>
      <c r="Y53" t="s">
        <v>11</v>
      </c>
      <c r="Z53" t="s">
        <v>88</v>
      </c>
      <c r="AB53" t="s">
        <v>93</v>
      </c>
      <c r="AD53" t="s">
        <v>11</v>
      </c>
      <c r="AE53" t="s">
        <v>91</v>
      </c>
      <c r="AH53" t="s">
        <v>11</v>
      </c>
      <c r="AI53" t="s">
        <v>92</v>
      </c>
      <c r="AY53">
        <v>6</v>
      </c>
      <c r="AZ53">
        <f t="shared" ref="AZ53:BB53" si="182">AZ41/$AY41</f>
        <v>0.55203924884475819</v>
      </c>
      <c r="BA53">
        <f t="shared" si="182"/>
        <v>2.1695221232493922</v>
      </c>
      <c r="BB53">
        <f t="shared" si="182"/>
        <v>1.5760213950906909</v>
      </c>
      <c r="BD53">
        <v>6</v>
      </c>
      <c r="BE53">
        <f t="shared" ref="BE53:BK53" si="183">BE41/$AY41</f>
        <v>0.55203924884475819</v>
      </c>
      <c r="BF53">
        <f t="shared" si="183"/>
        <v>2.1695221232493922</v>
      </c>
      <c r="BG53">
        <f t="shared" si="183"/>
        <v>1.6819176084389087</v>
      </c>
      <c r="BH53">
        <f t="shared" si="183"/>
        <v>0.44046527467700375</v>
      </c>
      <c r="BI53">
        <f t="shared" si="183"/>
        <v>-0.82226738593491555</v>
      </c>
      <c r="BJ53">
        <f t="shared" si="183"/>
        <v>-1.4378872364637918</v>
      </c>
      <c r="BK53">
        <f t="shared" si="183"/>
        <v>-2.0682949961678943</v>
      </c>
      <c r="BN53">
        <v>6</v>
      </c>
      <c r="BO53">
        <f t="shared" ref="BO53:BU53" si="184">BO41/$AY41</f>
        <v>0.55203924884475819</v>
      </c>
      <c r="BP53">
        <f t="shared" si="184"/>
        <v>1.5760213950906909</v>
      </c>
      <c r="BQ53">
        <f t="shared" si="184"/>
        <v>1.0884168802802063</v>
      </c>
      <c r="BR53">
        <f t="shared" si="184"/>
        <v>-0.15303545348169578</v>
      </c>
      <c r="BS53">
        <f t="shared" si="184"/>
        <v>-1.4157681140936162</v>
      </c>
      <c r="BT53">
        <f t="shared" si="184"/>
        <v>-2.0313879646224939</v>
      </c>
      <c r="BU53">
        <f t="shared" si="184"/>
        <v>-2.6617957243265935</v>
      </c>
    </row>
    <row r="54" spans="1:73" x14ac:dyDescent="0.35">
      <c r="D54">
        <v>3</v>
      </c>
      <c r="E54">
        <v>0.01</v>
      </c>
      <c r="F54">
        <v>0.78</v>
      </c>
      <c r="G54">
        <f>$E$24*(1-F54)*E54*$E$28*52</f>
        <v>5443.8658559999994</v>
      </c>
      <c r="Y54">
        <v>0</v>
      </c>
      <c r="Z54">
        <v>0</v>
      </c>
      <c r="AA54" s="14">
        <v>0</v>
      </c>
      <c r="AB54">
        <f>Z54</f>
        <v>0</v>
      </c>
      <c r="AD54">
        <v>0</v>
      </c>
      <c r="AE54">
        <v>0</v>
      </c>
      <c r="AF54">
        <f>AE54</f>
        <v>0</v>
      </c>
      <c r="AH54">
        <v>0</v>
      </c>
      <c r="AI54">
        <f>AF54</f>
        <v>0</v>
      </c>
      <c r="AY54">
        <v>7</v>
      </c>
      <c r="AZ54">
        <f t="shared" ref="AZ54:BB54" si="185">AZ42/$AY42</f>
        <v>0.25175971113441775</v>
      </c>
      <c r="BA54">
        <f t="shared" si="185"/>
        <v>2.2538890048988494</v>
      </c>
      <c r="BB54">
        <f t="shared" si="185"/>
        <v>1.5420348996936464</v>
      </c>
      <c r="BD54">
        <v>7</v>
      </c>
      <c r="BE54">
        <f t="shared" ref="BE54:BK54" si="186">BE42/$AY42</f>
        <v>0.25175971113441775</v>
      </c>
      <c r="BF54">
        <f t="shared" si="186"/>
        <v>2.2538890048988494</v>
      </c>
      <c r="BG54">
        <f t="shared" si="186"/>
        <v>1.7750554982320224</v>
      </c>
      <c r="BH54">
        <f t="shared" si="186"/>
        <v>0.55296362987881709</v>
      </c>
      <c r="BI54">
        <f t="shared" si="186"/>
        <v>-0.68951767765722516</v>
      </c>
      <c r="BJ54">
        <f t="shared" si="186"/>
        <v>-1.2956641383325671</v>
      </c>
      <c r="BK54">
        <f t="shared" si="186"/>
        <v>-1.9159794215497199</v>
      </c>
      <c r="BN54">
        <v>7</v>
      </c>
      <c r="BO54">
        <f t="shared" ref="BO54:BU54" si="187">BO42/$AY42</f>
        <v>0.25175971113441775</v>
      </c>
      <c r="BP54">
        <f t="shared" si="187"/>
        <v>1.5420348996936468</v>
      </c>
      <c r="BQ54">
        <f t="shared" si="187"/>
        <v>1.0632013930268183</v>
      </c>
      <c r="BR54">
        <f t="shared" si="187"/>
        <v>-0.15889047532638451</v>
      </c>
      <c r="BS54">
        <f t="shared" si="187"/>
        <v>-1.4013717828624277</v>
      </c>
      <c r="BT54">
        <f t="shared" si="187"/>
        <v>-2.0075182435377705</v>
      </c>
      <c r="BU54">
        <f t="shared" si="187"/>
        <v>-2.6278335267549218</v>
      </c>
    </row>
    <row r="55" spans="1:73" x14ac:dyDescent="0.35">
      <c r="D55">
        <v>4</v>
      </c>
      <c r="E55">
        <v>0.01</v>
      </c>
      <c r="F55">
        <v>0.92</v>
      </c>
      <c r="G55">
        <f>$E$24*(1-F55)*E55*$E$28*52</f>
        <v>1979.5875839999994</v>
      </c>
      <c r="Y55">
        <v>1</v>
      </c>
      <c r="Z55">
        <f>(2*$B$7*$B$6*(J15+K15)*$Q$8+($F$65*0.01*$E$26*$E$27*52)+$B$38*$Q$8+$B$44*$Q$8)*J4</f>
        <v>72746.849000069356</v>
      </c>
      <c r="AA55" s="14">
        <f>(2*$B$7*$B$6*(J15+K15)*$Q$8+($F$65*0.01*$E$26*$E$27*52)+$B$38*$Q$8+$B$44*$Q$8)</f>
        <v>80021.533900076291</v>
      </c>
      <c r="AB55">
        <f>AB54+Z55</f>
        <v>72746.849000069356</v>
      </c>
      <c r="AD55">
        <v>1</v>
      </c>
      <c r="AE55">
        <f>((J15+K15)*$B$6*$B$7*1*$Q$8+($E$4*$T$8*$B$6*$E$16*$E$17*$Q$8)+($U$8*(1-$F$9)*$E$9*$E$26*$E$27*52)+($E$16*$B$6*(1-$S$8)*$E$37*$E$43*$Q$8)+($E$16*$B$6*(1-$S$8)*(1/$E$17)*$E$41*$E$42*$E$43*$Q$8))*J4</f>
        <v>56267.874535362876</v>
      </c>
      <c r="AF55">
        <f>AF54+AE55</f>
        <v>56267.874535362876</v>
      </c>
      <c r="AH55">
        <v>1</v>
      </c>
      <c r="AI55">
        <f>AE55</f>
        <v>56267.874535362876</v>
      </c>
    </row>
    <row r="56" spans="1:73" x14ac:dyDescent="0.35">
      <c r="Y56">
        <v>2</v>
      </c>
      <c r="Z56">
        <f>(2*$B$7*$B$6*(J16+K16)*$Q$8+($F$65*0.01*$E$26*$E$27*52)+$B$38*$Q$8+$B$44*$Q$8)*J5</f>
        <v>68236.703349764124</v>
      </c>
      <c r="AA56" s="14">
        <f t="shared" ref="AA56:AA61" si="188">(2*$B$7*$B$6*(J16+K16)*$Q$8+($F$65*0.01*$E$26*$E$27*52)+$B$38*$Q$8+$B$44*$Q$8)</f>
        <v>82566.411053214601</v>
      </c>
      <c r="AB56">
        <f t="shared" ref="AB56:AB62" si="189">AB55+Z56</f>
        <v>140983.55234983348</v>
      </c>
      <c r="AD56">
        <v>2</v>
      </c>
      <c r="AE56">
        <f>((J16+K16)*$B$6*$B$7*1*$Q$8+($E$4*$T$8*$B$6*$E$16*$E$17*$Q$8)+($U$8*(1-$F$9)*$E$9*$E$26*$E$27*52)+($E$16*$B$6*(1-$S$8)*$E$37*$E$43*$Q$8)+($E$16*$B$6*(1-$S$8)*(1/$E$17)*$E$41*$E$42*$E$43*$Q$8))*J5</f>
        <v>52204.215343362237</v>
      </c>
      <c r="AF56">
        <f t="shared" ref="AF56:AF59" si="190">AF55+AE56</f>
        <v>108472.08987872512</v>
      </c>
      <c r="AH56">
        <v>2</v>
      </c>
      <c r="AI56">
        <f t="shared" ref="AI56:AI61" si="191">AE56</f>
        <v>52204.215343362237</v>
      </c>
    </row>
    <row r="57" spans="1:73" x14ac:dyDescent="0.35">
      <c r="Y57">
        <v>3</v>
      </c>
      <c r="Z57">
        <f>(2*$B$7*$B$6*(J17+K17)*$Q$8+($F$65*0.01*$E$26*$E$27*52)+$B$38*$Q$8+$B$44*$Q$8)*J6</f>
        <v>64024.710823817288</v>
      </c>
      <c r="AA57" s="14">
        <f t="shared" si="188"/>
        <v>85216.890106500839</v>
      </c>
      <c r="AB57">
        <f t="shared" si="189"/>
        <v>205008.26317365078</v>
      </c>
      <c r="AD57">
        <v>3</v>
      </c>
      <c r="AE57">
        <f>((J17+K17)*$B$6*$B$7*1*$Q$8+($E$4*$T$8*$B$6*$E$16*$E$17*$Q$8)+($U$8*(1-$F$9)*$E$9*$E$26*$E$27*52)+($E$16*$B$6*(1-$S$8)*$E$37*$E$43*$Q$8)+($E$16*$B$6*(1-$S$8)*(1/$E$17)*$E$41*$E$42*$E$43*$Q$8))*J6</f>
        <v>48454.049655981536</v>
      </c>
      <c r="AF57">
        <f t="shared" si="190"/>
        <v>156926.13953470666</v>
      </c>
      <c r="AH57">
        <v>3</v>
      </c>
      <c r="AI57">
        <f t="shared" si="191"/>
        <v>48454.049655981536</v>
      </c>
    </row>
    <row r="58" spans="1:73" x14ac:dyDescent="0.35">
      <c r="Y58">
        <v>4</v>
      </c>
      <c r="Z58">
        <f>(2*$B$7*$B$6*(J18+K18)*$Q$8+($F$65*0.01*$E$26*$E$27*52)+$B$38*$Q$8+$B$44*$Q$8)*J7</f>
        <v>60089.719000075384</v>
      </c>
      <c r="AA58" s="14">
        <f t="shared" si="188"/>
        <v>87977.357588010389</v>
      </c>
      <c r="AB58">
        <f t="shared" si="189"/>
        <v>265097.98217372614</v>
      </c>
      <c r="AD58">
        <v>4</v>
      </c>
      <c r="AE58">
        <f>((J18+K18)*$B$6*$B$7*1*$Q$8+($E$4*$T$8*$B$6*$E$16*$E$17*$Q$8)+($U$8*(1-$F$9)*$E$9*$E$26*$E$27*52)+($E$16*$B$6*(1-$S$8)*$E$37*$E$43*$Q$8)+($E$16*$B$6*(1-$S$8)*(1/$E$17)*$E$41*$E$42*$E$43*$Q$8))*J7</f>
        <v>44991.854267376671</v>
      </c>
      <c r="AF58">
        <f t="shared" si="190"/>
        <v>201917.99380208334</v>
      </c>
      <c r="AH58">
        <v>4</v>
      </c>
      <c r="AI58">
        <f t="shared" si="191"/>
        <v>44991.854267376671</v>
      </c>
    </row>
    <row r="59" spans="1:73" x14ac:dyDescent="0.35">
      <c r="A59" t="s">
        <v>74</v>
      </c>
      <c r="B59" t="s">
        <v>75</v>
      </c>
      <c r="C59" t="s">
        <v>76</v>
      </c>
      <c r="D59" t="s">
        <v>77</v>
      </c>
      <c r="E59" t="s">
        <v>78</v>
      </c>
      <c r="F59" t="s">
        <v>79</v>
      </c>
      <c r="Y59">
        <v>5</v>
      </c>
      <c r="Z59">
        <f>(2*$B$7*$B$6*(J19+K19)*$Q$8+($F$65*0.01*$E$26*$E$27*52)+$B$38*$Q$8+$B$44*$Q$8)*J8</f>
        <v>56412.181487499023</v>
      </c>
      <c r="AA59" s="14">
        <f t="shared" si="188"/>
        <v>90852.382407432087</v>
      </c>
      <c r="AB59">
        <f t="shared" si="189"/>
        <v>321510.16366122518</v>
      </c>
      <c r="AD59">
        <v>5</v>
      </c>
      <c r="AE59">
        <f>((J19+K19)*$B$6*$B$7*1*$Q$8+($E$4*$T$8*$B$6*$E$16*$E$17*$Q$8)+($U$8*(1-$F$9)*$E$9*$E$26*$E$27*52)+($E$16*$B$6*(1-$S$8)*$E$37*$E$43*$Q$8)+($E$16*$B$6*(1-$S$8)*(1/$E$17)*$E$41*$E$42*$E$43*$Q$8))*J8</f>
        <v>41794.267804966774</v>
      </c>
      <c r="AF59">
        <f t="shared" si="190"/>
        <v>243712.26160705011</v>
      </c>
      <c r="AH59">
        <v>5</v>
      </c>
      <c r="AI59">
        <f t="shared" si="191"/>
        <v>41794.267804966774</v>
      </c>
    </row>
    <row r="60" spans="1:73" x14ac:dyDescent="0.35">
      <c r="A60" t="s">
        <v>80</v>
      </c>
      <c r="B60">
        <v>6.72</v>
      </c>
      <c r="C60">
        <v>32</v>
      </c>
      <c r="D60">
        <v>0.80905993717026647</v>
      </c>
      <c r="E60">
        <v>0.43504580680113181</v>
      </c>
      <c r="F60">
        <v>0</v>
      </c>
      <c r="Y60">
        <v>6</v>
      </c>
      <c r="Z60">
        <f>(2*$B$7*$B$6*(J20+K20)*$Q$8+($F$65*0.01*$E$26*$E$27*52)+$B$38*$Q$8+$B$44*$Q$8)*J9</f>
        <v>52974.028806063347</v>
      </c>
      <c r="AA60" s="14">
        <f t="shared" si="188"/>
        <v>93846.72344569843</v>
      </c>
      <c r="AB60">
        <f t="shared" si="189"/>
        <v>374484.19246728852</v>
      </c>
      <c r="AD60">
        <v>6</v>
      </c>
      <c r="AE60">
        <f>((J20+K20)*$B$6*$B$7*1*$Q$8+($E$4*$T$8*$B$6*$E$16*$E$17*$Q$8)+($U$8*(1-$F$9)*$E$9*$E$26*$E$27*52)+($E$16*$B$6*(1-$S$8)*$E$37*$E$43*$Q$8)+($E$16*$B$6*(1-$S$8)*(1/$E$17)*$E$41*$E$42*$E$43*$Q$8))*J9</f>
        <v>38839.90264050191</v>
      </c>
      <c r="AH60">
        <v>6</v>
      </c>
      <c r="AI60">
        <f t="shared" si="191"/>
        <v>38839.90264050191</v>
      </c>
    </row>
    <row r="61" spans="1:73" x14ac:dyDescent="0.35">
      <c r="A61" t="s">
        <v>81</v>
      </c>
      <c r="B61">
        <v>14.29</v>
      </c>
      <c r="C61">
        <v>61</v>
      </c>
      <c r="D61">
        <v>0.84707342008710718</v>
      </c>
      <c r="E61">
        <v>0.49981122579801412</v>
      </c>
      <c r="F61">
        <v>0</v>
      </c>
      <c r="Y61">
        <v>7</v>
      </c>
      <c r="Z61">
        <f>(2*$B$7*$B$6*(J21+K21)*$Q$8+($F$65*0.01*$E$26*$E$27*52)+$B$38*$Q$8+$B$44*$Q$8)*J10</f>
        <v>49758.550104940899</v>
      </c>
      <c r="AA61" s="14">
        <f t="shared" si="188"/>
        <v>96965.337460705181</v>
      </c>
      <c r="AB61">
        <f t="shared" si="189"/>
        <v>424242.74257222941</v>
      </c>
      <c r="AD61">
        <v>7</v>
      </c>
      <c r="AE61">
        <f>((J21+K21)*$B$6*$B$7*1*$Q$8+($E$4*$T$8*$B$6*$E$16*$E$17*$Q$8)+($U$8*(1-$F$9)*$E$9*$E$26*$E$27*52)+($E$16*$B$6*(1-$S$8)*$E$37*$E$43*$Q$8)+($E$16*$B$6*(1-$S$8)*(1/$E$17)*$E$41*$E$42*$E$43*$Q$8))*J10</f>
        <v>36109.17345017066</v>
      </c>
      <c r="AH61">
        <v>7</v>
      </c>
      <c r="AI61">
        <f t="shared" si="191"/>
        <v>36109.17345017066</v>
      </c>
      <c r="AY61" s="1" t="s">
        <v>144</v>
      </c>
    </row>
    <row r="62" spans="1:73" x14ac:dyDescent="0.35">
      <c r="A62" t="s">
        <v>82</v>
      </c>
      <c r="B62">
        <v>11.76</v>
      </c>
      <c r="C62">
        <v>99</v>
      </c>
      <c r="D62">
        <v>0.88959083740533984</v>
      </c>
      <c r="E62">
        <v>0.54615106570249183</v>
      </c>
      <c r="F62">
        <v>0</v>
      </c>
      <c r="Y62" t="s">
        <v>86</v>
      </c>
      <c r="Z62">
        <f>(2*$B$7*$B$6*(J22+K22)*$Q$8+($F$65*0.01*$E$26*$E$27*52)+$B$38*$Q$8+$B$44*$Q$8)*J11</f>
        <v>46750.28478166688</v>
      </c>
      <c r="AB62">
        <f t="shared" si="189"/>
        <v>470993.02735389629</v>
      </c>
      <c r="AD62" t="s">
        <v>86</v>
      </c>
      <c r="AE62">
        <f>((J22+K22)*$B$6*$B$7*1*$Q$8+($E$4*$T$8*$B$6*$E$16*$E$17*$Q$8)+($U$8*(1-$F$9)*$E$9*$E$26*$E$27*52)+($E$16*$B$6*(1-$S$8)*$E$37*$E$43*$Q$8)+($E$16*$B$6*(1-$S$8)*(1/$E$17)*$E$41*$E$42*$E$43*$Q$8))*J11</f>
        <v>33584.140934197269</v>
      </c>
      <c r="AH62" t="s">
        <v>86</v>
      </c>
      <c r="AY62" t="s">
        <v>11</v>
      </c>
      <c r="AZ62" t="s">
        <v>10</v>
      </c>
      <c r="BA62" t="s">
        <v>91</v>
      </c>
    </row>
    <row r="63" spans="1:73" x14ac:dyDescent="0.35">
      <c r="A63" t="s">
        <v>83</v>
      </c>
      <c r="B63">
        <v>11.76</v>
      </c>
      <c r="C63">
        <v>135</v>
      </c>
      <c r="D63">
        <v>0.93368328095736564</v>
      </c>
      <c r="E63">
        <v>0.58196371351575704</v>
      </c>
      <c r="F63">
        <v>398</v>
      </c>
      <c r="Y63" t="s">
        <v>11</v>
      </c>
      <c r="Z63" t="s">
        <v>88</v>
      </c>
      <c r="AB63" t="s">
        <v>93</v>
      </c>
      <c r="AD63" t="s">
        <v>11</v>
      </c>
      <c r="AE63" t="s">
        <v>91</v>
      </c>
      <c r="AH63" t="s">
        <v>11</v>
      </c>
      <c r="AI63" t="s">
        <v>92</v>
      </c>
      <c r="AY63">
        <v>1</v>
      </c>
      <c r="AZ63">
        <f>AZ48</f>
        <v>2.557784565378892</v>
      </c>
      <c r="BA63">
        <f>BA48</f>
        <v>-11.11911053544781</v>
      </c>
    </row>
    <row r="64" spans="1:73" x14ac:dyDescent="0.35">
      <c r="A64" t="s">
        <v>84</v>
      </c>
      <c r="B64">
        <v>23.53</v>
      </c>
      <c r="C64">
        <v>183</v>
      </c>
      <c r="D64">
        <v>0.95142952042730522</v>
      </c>
      <c r="E64">
        <v>0.61597787946296778</v>
      </c>
      <c r="F64">
        <v>6416</v>
      </c>
      <c r="Y64">
        <v>0</v>
      </c>
      <c r="Z64">
        <v>0</v>
      </c>
      <c r="AA64" s="14">
        <v>0</v>
      </c>
      <c r="AB64">
        <f>Z64</f>
        <v>0</v>
      </c>
      <c r="AD64">
        <v>0</v>
      </c>
      <c r="AE64">
        <v>0</v>
      </c>
      <c r="AF64">
        <f>AE64</f>
        <v>0</v>
      </c>
      <c r="AH64">
        <v>0</v>
      </c>
      <c r="AI64">
        <f>AF64</f>
        <v>0</v>
      </c>
      <c r="AY64">
        <v>2</v>
      </c>
      <c r="AZ64">
        <f t="shared" ref="AZ64:BA64" si="192">AZ49</f>
        <v>2.0794449493162137</v>
      </c>
      <c r="BA64">
        <f t="shared" si="192"/>
        <v>-2.3091758375336013</v>
      </c>
    </row>
    <row r="65" spans="1:53" x14ac:dyDescent="0.35">
      <c r="A65" t="s">
        <v>85</v>
      </c>
      <c r="B65">
        <v>23.53</v>
      </c>
      <c r="C65">
        <v>215</v>
      </c>
      <c r="D65">
        <v>0.95954014935978416</v>
      </c>
      <c r="E65">
        <v>0.62236054227080306</v>
      </c>
      <c r="F65">
        <v>7636</v>
      </c>
      <c r="Y65">
        <v>1</v>
      </c>
      <c r="Z65">
        <f>(2*$B$7*$B$6*(J15+K15)*$Q$9+($F$66*0.01*$E$26*$E$27*52)+$B$38*$Q$9+$B$44*$Q$9)*J4</f>
        <v>26683.246785266034</v>
      </c>
      <c r="AA65" s="14">
        <f>(2*$B$7*$B$6*(J15+K15)*$Q$9+($F$66*0.01*$E$26*$E$27*52)+$B$38*$Q$9+$B$44*$Q$9)</f>
        <v>29351.571463792639</v>
      </c>
      <c r="AB65">
        <f>AB64+Z65</f>
        <v>26683.246785266034</v>
      </c>
      <c r="AD65">
        <v>1</v>
      </c>
      <c r="AE65">
        <f>((J15+K15)*$B$6*$B$7*1*$Q$9+($E$4*$T$9*$B$6*$E$16*$E$17*$Q$9)+($U$9*(1-$F$9)*$E$9*$E$26*$E$27*52)+($E$16*$B$6*(1-$S$9)*$E$37*$E$43*$Q$9)+($E$16*$B$6*(1-$S$9)*(1/$E$17)*$E$41*$E$42*$E$43*$Q$9))*J4</f>
        <v>20113.837182861782</v>
      </c>
      <c r="AF65">
        <f>AF64+AE65</f>
        <v>20113.837182861782</v>
      </c>
      <c r="AH65">
        <v>1</v>
      </c>
      <c r="AI65">
        <f>AE65</f>
        <v>20113.837182861782</v>
      </c>
      <c r="AY65">
        <v>3</v>
      </c>
      <c r="AZ65">
        <f t="shared" ref="AZ65:BA65" si="193">AZ50</f>
        <v>1.6429337827134241</v>
      </c>
      <c r="BA65">
        <f t="shared" si="193"/>
        <v>0.31581458529713302</v>
      </c>
    </row>
    <row r="66" spans="1:53" x14ac:dyDescent="0.35">
      <c r="A66" t="s">
        <v>86</v>
      </c>
      <c r="B66">
        <v>8.4</v>
      </c>
      <c r="C66">
        <v>261</v>
      </c>
      <c r="D66">
        <v>0.97465317713587019</v>
      </c>
      <c r="E66">
        <v>0.63343497956670491</v>
      </c>
      <c r="F66">
        <v>3301</v>
      </c>
      <c r="Y66">
        <v>2</v>
      </c>
      <c r="Z66">
        <f>(2*$B$7*$B$6*(J16+K16)*$Q$9+($F$66*0.01*$E$26*$E$27*52)+$B$38*$Q$9+$B$44*$Q$9)*J5</f>
        <v>25008.322227274573</v>
      </c>
      <c r="AA66" s="14">
        <f t="shared" ref="AA66:AA71" si="194">(2*$B$7*$B$6*(J16+K16)*$Q$9+($F$66*0.01*$E$26*$E$27*52)+$B$38*$Q$9+$B$44*$Q$9)</f>
        <v>30260.069895002238</v>
      </c>
      <c r="AB66">
        <f t="shared" ref="AB66:AB72" si="195">AB65+Z66</f>
        <v>51691.569012540611</v>
      </c>
      <c r="AD66">
        <v>2</v>
      </c>
      <c r="AE66">
        <f>((J16+K16)*$B$6*$B$7*1*$Q$9+($E$4*$T$9*$B$6*$E$16*$E$17*$Q$9)+($U$9*(1-$F$9)*$E$9*$E$26*$E$27*52)+($E$16*$B$6*(1-$S$9)*$E$37*$E$43*$Q$9)+($E$16*$B$6*(1-$S$9)*(1/$E$17)*$E$41*$E$42*$E$43*$Q$9))*J5</f>
        <v>18660.719104754342</v>
      </c>
      <c r="AF66">
        <f t="shared" ref="AF66:AF69" si="196">AF65+AE66</f>
        <v>38774.556287616128</v>
      </c>
      <c r="AH66">
        <v>2</v>
      </c>
      <c r="AI66">
        <f t="shared" ref="AI66:AI71" si="197">AE66</f>
        <v>18660.719104754342</v>
      </c>
      <c r="AY66">
        <v>4</v>
      </c>
      <c r="AZ66">
        <f t="shared" ref="AZ66:BA66" si="198">AZ51</f>
        <v>1.2448867581261691</v>
      </c>
      <c r="BA66">
        <f t="shared" si="198"/>
        <v>1.4203916069947349</v>
      </c>
    </row>
    <row r="67" spans="1:53" x14ac:dyDescent="0.35">
      <c r="Y67">
        <v>3</v>
      </c>
      <c r="Z67">
        <f>(2*$B$7*$B$6*(J17+K17)*$Q$9+($F$66*0.01*$E$26*$E$27*52)+$B$38*$Q$9+$B$44*$Q$9)*J6</f>
        <v>23445.730474899505</v>
      </c>
      <c r="AA67" s="14">
        <f t="shared" si="194"/>
        <v>31206.267262091249</v>
      </c>
      <c r="AB67">
        <f t="shared" si="195"/>
        <v>75137.299487440119</v>
      </c>
      <c r="AD67">
        <v>3</v>
      </c>
      <c r="AE67">
        <f>((J17+K17)*$B$6*$B$7*1*$Q$9+($E$4*$T$9*$B$6*$E$16*$E$17*$Q$9)+($U$9*(1-$F$9)*$E$9*$E$26*$E$27*52)+($E$16*$B$6*(1-$S$9)*$E$37*$E$43*$Q$9)+($E$16*$B$6*(1-$S$9)*(1/$E$17)*$E$41*$E$42*$E$43*$Q$9))*J6</f>
        <v>17319.736138465254</v>
      </c>
      <c r="AF67">
        <f t="shared" si="196"/>
        <v>56094.292426081382</v>
      </c>
      <c r="AH67">
        <v>3</v>
      </c>
      <c r="AI67">
        <f t="shared" si="197"/>
        <v>17319.736138465254</v>
      </c>
      <c r="AY67">
        <v>5</v>
      </c>
      <c r="AZ67">
        <f t="shared" ref="AZ67:BA67" si="199">AZ52</f>
        <v>0.88220606848214378</v>
      </c>
      <c r="BA67">
        <f t="shared" si="199"/>
        <v>1.9353887065150002</v>
      </c>
    </row>
    <row r="68" spans="1:53" x14ac:dyDescent="0.35">
      <c r="Y68">
        <v>4</v>
      </c>
      <c r="Z68">
        <f>(2*$B$7*$B$6*(J18+K18)*$Q$9+($F$66*0.01*$E$26*$E$27*52)+$B$38*$Q$9+$B$44*$Q$9)*J7</f>
        <v>21987.384411197178</v>
      </c>
      <c r="AA68" s="14">
        <f t="shared" si="194"/>
        <v>32191.729516433796</v>
      </c>
      <c r="AB68">
        <f t="shared" si="195"/>
        <v>97124.683898637304</v>
      </c>
      <c r="AD68">
        <v>4</v>
      </c>
      <c r="AE68">
        <f>((J18+K18)*$B$6*$B$7*1*$Q$9+($E$4*$T$9*$B$6*$E$16*$E$17*$Q$9)+($U$9*(1-$F$9)*$E$9*$E$26*$E$27*52)+($E$16*$B$6*(1-$S$9)*$E$37*$E$43*$Q$9)+($E$16*$B$6*(1-$S$9)*(1/$E$17)*$E$41*$E$42*$E$43*$Q$9))*J7</f>
        <v>16081.756661067229</v>
      </c>
      <c r="AF68">
        <f t="shared" si="196"/>
        <v>72176.049087148611</v>
      </c>
      <c r="AH68">
        <v>4</v>
      </c>
      <c r="AI68">
        <f t="shared" si="197"/>
        <v>16081.756661067229</v>
      </c>
    </row>
    <row r="69" spans="1:53" x14ac:dyDescent="0.35">
      <c r="Y69">
        <v>5</v>
      </c>
      <c r="Z69">
        <f>(2*$B$7*$B$6*(J19+K19)*$Q$9+($F$66*0.01*$E$26*$E$27*52)+$B$38*$Q$9+$B$44*$Q$9)*J8</f>
        <v>20625.818975363265</v>
      </c>
      <c r="AA69" s="14">
        <f t="shared" si="194"/>
        <v>33218.087718012306</v>
      </c>
      <c r="AB69">
        <f t="shared" si="195"/>
        <v>117750.50287400057</v>
      </c>
      <c r="AD69">
        <v>5</v>
      </c>
      <c r="AE69">
        <f>((J19+K19)*$B$6*$B$7*1*$Q$9+($E$4*$T$9*$B$6*$E$16*$E$17*$Q$9)+($U$9*(1-$F$9)*$E$9*$E$26*$E$27*52)+($E$16*$B$6*(1-$S$9)*$E$37*$E$43*$Q$9)+($E$16*$B$6*(1-$S$9)*(1/$E$17)*$E$41*$E$42*$E$43*$Q$9))*J8</f>
        <v>14938.422629016761</v>
      </c>
      <c r="AF69">
        <f t="shared" si="196"/>
        <v>87114.471716165368</v>
      </c>
      <c r="AH69">
        <v>5</v>
      </c>
      <c r="AI69">
        <f t="shared" si="197"/>
        <v>14938.422629016761</v>
      </c>
    </row>
    <row r="70" spans="1:53" x14ac:dyDescent="0.35">
      <c r="Y70">
        <v>6</v>
      </c>
      <c r="Z70">
        <f>(2*$B$7*$B$6*(J20+K20)*$Q$9+($F$66*0.01*$E$26*$E$27*52)+$B$38*$Q$9+$B$44*$Q$9)*J9</f>
        <v>19354.140639158177</v>
      </c>
      <c r="AA70" s="14">
        <f t="shared" si="194"/>
        <v>34287.040744847713</v>
      </c>
      <c r="AB70">
        <f t="shared" si="195"/>
        <v>137104.64351315875</v>
      </c>
      <c r="AD70">
        <v>6</v>
      </c>
      <c r="AE70">
        <f>((J20+K20)*$B$6*$B$7*1*$Q$9+($E$4*$T$9*$B$6*$E$16*$E$17*$Q$9)+($U$9*(1-$F$9)*$E$9*$E$26*$E$27*52)+($E$16*$B$6*(1-$S$9)*$E$37*$E$43*$Q$9)+($E$16*$B$6*(1-$S$9)*(1/$E$17)*$E$41*$E$42*$E$43*$Q$9))*J9</f>
        <v>13882.082266247389</v>
      </c>
      <c r="AH70">
        <v>6</v>
      </c>
      <c r="AI70">
        <f t="shared" si="197"/>
        <v>13882.082266247389</v>
      </c>
    </row>
    <row r="71" spans="1:53" x14ac:dyDescent="0.35">
      <c r="Y71">
        <v>7</v>
      </c>
      <c r="Z71">
        <f>(2*$B$7*$B$6*(J21+K21)*$Q$9+($F$66*0.01*$E$26*$E$27*52)+$B$38*$Q$9+$B$44*$Q$9)*J10</f>
        <v>18165.981155125515</v>
      </c>
      <c r="AA71" s="14">
        <f t="shared" si="194"/>
        <v>35400.358115270865</v>
      </c>
      <c r="AB71">
        <f t="shared" si="195"/>
        <v>155270.62466828426</v>
      </c>
      <c r="AD71">
        <v>7</v>
      </c>
      <c r="AE71">
        <f>((J21+K21)*$B$6*$B$7*1*$Q$9+($E$4*$T$9*$B$6*$E$16*$E$17*$Q$9)+($U$9*(1-$F$9)*$E$9*$E$26*$E$27*52)+($E$16*$B$6*(1-$S$9)*$E$37*$E$43*$Q$9)+($E$16*$B$6*(1-$S$9)*(1/$E$17)*$E$41*$E$42*$E$43*$Q$9))*J10</f>
        <v>12905.728710897572</v>
      </c>
      <c r="AH71">
        <v>7</v>
      </c>
      <c r="AI71">
        <f t="shared" si="197"/>
        <v>12905.728710897572</v>
      </c>
    </row>
    <row r="72" spans="1:53" x14ac:dyDescent="0.35">
      <c r="A72" t="s">
        <v>170</v>
      </c>
      <c r="Z72">
        <f>(2*$B$7*$B$6*(J22+K22)*$Q$9+($F$66*0.01*$E$26*$E$27*52)+$B$38*$Q$9+$B$44*$Q$9)*J11</f>
        <v>17055.455205393573</v>
      </c>
      <c r="AB72">
        <f t="shared" si="195"/>
        <v>172326.07987367784</v>
      </c>
      <c r="AE72">
        <f>((J22+K22)*$B$6*$B$7*1*$Q$9+($E$4*$T$9*$B$6*$E$16*$E$17*$Q$9)+($U$9*(1-$F$9)*$E$9*$E$26*$E$27*52)+($E$16*$B$6*(1-$S$9)*$E$37*$E$43*$Q$9)+($E$16*$B$6*(1-$S$9)*(1/$E$17)*$E$41*$E$42*$E$43*$Q$9))*J11</f>
        <v>12002.944087546621</v>
      </c>
    </row>
    <row r="73" spans="1:53" x14ac:dyDescent="0.35">
      <c r="A73" t="str">
        <f>_xlfn.CONCAT($E$30,A60)</f>
        <v>1000-50</v>
      </c>
    </row>
    <row r="74" spans="1:53" x14ac:dyDescent="0.35">
      <c r="A74" t="str">
        <f t="shared" ref="A74:A79" si="200">_xlfn.CONCAT($E$30,A61)</f>
        <v>10051-100</v>
      </c>
    </row>
    <row r="75" spans="1:53" x14ac:dyDescent="0.35">
      <c r="A75" t="str">
        <f t="shared" si="200"/>
        <v>100100-150</v>
      </c>
    </row>
    <row r="76" spans="1:53" x14ac:dyDescent="0.35">
      <c r="A76" t="str">
        <f t="shared" si="200"/>
        <v>100151-200</v>
      </c>
    </row>
    <row r="77" spans="1:53" x14ac:dyDescent="0.35">
      <c r="A77" t="str">
        <f t="shared" si="200"/>
        <v>100200-250</v>
      </c>
    </row>
    <row r="78" spans="1:53" x14ac:dyDescent="0.35">
      <c r="A78" t="str">
        <f t="shared" si="200"/>
        <v>100251-300</v>
      </c>
    </row>
    <row r="79" spans="1:53" x14ac:dyDescent="0.35">
      <c r="A79" t="str">
        <f t="shared" si="200"/>
        <v>100300+</v>
      </c>
    </row>
    <row r="82" spans="1:4" x14ac:dyDescent="0.35">
      <c r="A82" t="s">
        <v>169</v>
      </c>
      <c r="B82" t="s">
        <v>115</v>
      </c>
      <c r="C82" t="s">
        <v>10</v>
      </c>
      <c r="D82" t="s">
        <v>171</v>
      </c>
    </row>
    <row r="83" spans="1:4" x14ac:dyDescent="0.35">
      <c r="A83">
        <v>1</v>
      </c>
      <c r="B83">
        <v>60</v>
      </c>
      <c r="C83">
        <v>1</v>
      </c>
    </row>
    <row r="84" spans="1:4" x14ac:dyDescent="0.35">
      <c r="A84">
        <v>2</v>
      </c>
      <c r="B84">
        <v>72</v>
      </c>
      <c r="C84">
        <v>1</v>
      </c>
    </row>
    <row r="85" spans="1:4" x14ac:dyDescent="0.35">
      <c r="A85">
        <v>3</v>
      </c>
      <c r="B85">
        <v>81</v>
      </c>
      <c r="C85">
        <v>0.9506</v>
      </c>
    </row>
    <row r="86" spans="1:4" x14ac:dyDescent="0.35">
      <c r="A86">
        <v>4</v>
      </c>
      <c r="B86">
        <v>85</v>
      </c>
      <c r="C86">
        <v>0.95289999999999997</v>
      </c>
    </row>
    <row r="87" spans="1:4" x14ac:dyDescent="0.35">
      <c r="A87">
        <v>5</v>
      </c>
      <c r="B87">
        <v>89</v>
      </c>
      <c r="C87">
        <v>0.94379999999999997</v>
      </c>
    </row>
    <row r="88" spans="1:4" x14ac:dyDescent="0.35">
      <c r="A88">
        <v>6</v>
      </c>
      <c r="B88">
        <v>100</v>
      </c>
      <c r="C88">
        <v>0.92</v>
      </c>
    </row>
    <row r="89" spans="1:4" x14ac:dyDescent="0.35">
      <c r="A89">
        <v>7</v>
      </c>
      <c r="B89">
        <v>106</v>
      </c>
      <c r="C89">
        <v>0.84909999999999997</v>
      </c>
    </row>
    <row r="90" spans="1:4" x14ac:dyDescent="0.35">
      <c r="A90">
        <v>8</v>
      </c>
      <c r="B90">
        <v>117</v>
      </c>
      <c r="C90">
        <v>0.85470000000000002</v>
      </c>
    </row>
    <row r="91" spans="1:4" x14ac:dyDescent="0.35">
      <c r="A91">
        <v>9</v>
      </c>
      <c r="B91">
        <v>125</v>
      </c>
      <c r="C91">
        <v>0.74399999999999999</v>
      </c>
    </row>
    <row r="92" spans="1:4" x14ac:dyDescent="0.35">
      <c r="A92">
        <v>10</v>
      </c>
      <c r="B92">
        <v>133</v>
      </c>
      <c r="C92">
        <v>0.74439999999999995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E89F-F400-4793-BEC0-649D3AE0E106}">
  <dimension ref="A1:D11"/>
  <sheetViews>
    <sheetView workbookViewId="0">
      <selection activeCell="I30" sqref="I30"/>
    </sheetView>
  </sheetViews>
  <sheetFormatPr defaultRowHeight="14.5" x14ac:dyDescent="0.35"/>
  <sheetData>
    <row r="1" spans="1:4" x14ac:dyDescent="0.35">
      <c r="A1" t="s">
        <v>169</v>
      </c>
      <c r="B1" t="s">
        <v>115</v>
      </c>
      <c r="C1" t="s">
        <v>10</v>
      </c>
      <c r="D1" t="s">
        <v>168</v>
      </c>
    </row>
    <row r="2" spans="1:4" x14ac:dyDescent="0.35">
      <c r="A2">
        <v>1</v>
      </c>
      <c r="B2">
        <v>60</v>
      </c>
      <c r="C2">
        <v>1</v>
      </c>
      <c r="D2">
        <v>0.99329999999999996</v>
      </c>
    </row>
    <row r="3" spans="1:4" x14ac:dyDescent="0.35">
      <c r="A3">
        <v>2</v>
      </c>
      <c r="B3">
        <v>72</v>
      </c>
      <c r="C3">
        <v>1</v>
      </c>
      <c r="D3">
        <v>0.99650000000000005</v>
      </c>
    </row>
    <row r="4" spans="1:4" x14ac:dyDescent="0.35">
      <c r="A4">
        <v>3</v>
      </c>
      <c r="B4">
        <v>81</v>
      </c>
      <c r="C4">
        <v>0.9506</v>
      </c>
      <c r="D4">
        <v>0.98209999999999997</v>
      </c>
    </row>
    <row r="5" spans="1:4" x14ac:dyDescent="0.35">
      <c r="A5">
        <v>4</v>
      </c>
      <c r="B5">
        <v>85</v>
      </c>
      <c r="C5">
        <v>0.95289999999999997</v>
      </c>
      <c r="D5">
        <v>0.96550000000000002</v>
      </c>
    </row>
    <row r="6" spans="1:4" x14ac:dyDescent="0.35">
      <c r="A6">
        <v>5</v>
      </c>
      <c r="B6">
        <v>89</v>
      </c>
      <c r="C6">
        <v>0.94379999999999997</v>
      </c>
      <c r="D6">
        <v>0.96879999999999999</v>
      </c>
    </row>
    <row r="7" spans="1:4" x14ac:dyDescent="0.35">
      <c r="A7">
        <v>6</v>
      </c>
      <c r="B7">
        <v>100</v>
      </c>
      <c r="C7">
        <v>0.92</v>
      </c>
      <c r="D7">
        <v>0.94540000000000002</v>
      </c>
    </row>
    <row r="8" spans="1:4" x14ac:dyDescent="0.35">
      <c r="A8">
        <v>7</v>
      </c>
      <c r="B8">
        <v>106</v>
      </c>
      <c r="C8">
        <v>0.84909999999999997</v>
      </c>
      <c r="D8">
        <v>0.85770000000000002</v>
      </c>
    </row>
    <row r="9" spans="1:4" x14ac:dyDescent="0.35">
      <c r="A9">
        <v>8</v>
      </c>
      <c r="B9">
        <v>117</v>
      </c>
      <c r="C9">
        <v>0.85470000000000002</v>
      </c>
      <c r="D9">
        <v>0.93479999999999996</v>
      </c>
    </row>
    <row r="10" spans="1:4" x14ac:dyDescent="0.35">
      <c r="A10">
        <v>9</v>
      </c>
      <c r="B10">
        <v>125</v>
      </c>
      <c r="C10">
        <v>0.74399999999999999</v>
      </c>
      <c r="D10">
        <v>0.81369999999999998</v>
      </c>
    </row>
    <row r="11" spans="1:4" x14ac:dyDescent="0.35">
      <c r="A11">
        <v>10</v>
      </c>
      <c r="B11">
        <v>133</v>
      </c>
      <c r="C11">
        <v>0.74439999999999995</v>
      </c>
      <c r="D11">
        <v>0.81810000000000005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EC9C-F468-478A-A218-583A0798D396}">
  <dimension ref="A1:Q87"/>
  <sheetViews>
    <sheetView workbookViewId="0">
      <selection activeCell="N1" sqref="N1:Q11"/>
    </sheetView>
  </sheetViews>
  <sheetFormatPr defaultRowHeight="14.5" x14ac:dyDescent="0.35"/>
  <cols>
    <col min="1" max="1" width="22.90625" bestFit="1" customWidth="1"/>
    <col min="4" max="4" width="12.54296875" bestFit="1" customWidth="1"/>
    <col min="8" max="8" width="7.453125" bestFit="1" customWidth="1"/>
    <col min="9" max="9" width="12.453125" bestFit="1" customWidth="1"/>
    <col min="10" max="10" width="14.7265625" bestFit="1" customWidth="1"/>
    <col min="11" max="11" width="17.7265625" bestFit="1" customWidth="1"/>
    <col min="14" max="14" width="8.81640625" bestFit="1" customWidth="1"/>
    <col min="15" max="15" width="12.453125" bestFit="1" customWidth="1"/>
    <col min="16" max="16" width="14.7265625" bestFit="1" customWidth="1"/>
    <col min="17" max="17" width="17.7265625" bestFit="1" customWidth="1"/>
  </cols>
  <sheetData>
    <row r="1" spans="1:17" x14ac:dyDescent="0.35">
      <c r="H1" s="1" t="s">
        <v>144</v>
      </c>
      <c r="N1" t="s">
        <v>169</v>
      </c>
      <c r="O1" t="s">
        <v>10</v>
      </c>
      <c r="P1" t="s">
        <v>91</v>
      </c>
      <c r="Q1" t="s">
        <v>92</v>
      </c>
    </row>
    <row r="2" spans="1:17" x14ac:dyDescent="0.35">
      <c r="A2" t="s">
        <v>148</v>
      </c>
      <c r="B2">
        <v>363</v>
      </c>
      <c r="D2" t="s">
        <v>149</v>
      </c>
      <c r="H2" t="s">
        <v>11</v>
      </c>
      <c r="I2" t="s">
        <v>10</v>
      </c>
      <c r="J2" t="s">
        <v>91</v>
      </c>
      <c r="K2" t="s">
        <v>92</v>
      </c>
      <c r="N2">
        <v>1</v>
      </c>
      <c r="O2">
        <f>I7</f>
        <v>-4.5547869772262466</v>
      </c>
      <c r="P2">
        <f t="shared" ref="P2:Q2" si="0">J7</f>
        <v>-2.9066409085424754</v>
      </c>
      <c r="Q2">
        <f t="shared" si="0"/>
        <v>-3.3060074214863908</v>
      </c>
    </row>
    <row r="3" spans="1:17" x14ac:dyDescent="0.35">
      <c r="A3" t="s">
        <v>150</v>
      </c>
      <c r="B3">
        <v>17</v>
      </c>
      <c r="D3" t="s">
        <v>151</v>
      </c>
      <c r="E3">
        <v>60</v>
      </c>
      <c r="H3">
        <v>1</v>
      </c>
      <c r="I3">
        <v>-3.9616021098775782</v>
      </c>
      <c r="J3">
        <v>-16.925088782655596</v>
      </c>
      <c r="K3">
        <v>-10.936667869587144</v>
      </c>
      <c r="N3">
        <v>2</v>
      </c>
      <c r="O3">
        <f>I16</f>
        <v>-1.7126066889945701</v>
      </c>
      <c r="P3">
        <f t="shared" ref="P3:Q3" si="1">J16</f>
        <v>-0.78143692278845056</v>
      </c>
      <c r="Q3">
        <f t="shared" si="1"/>
        <v>-1.1808034357323636</v>
      </c>
    </row>
    <row r="4" spans="1:17" x14ac:dyDescent="0.35">
      <c r="A4" t="s">
        <v>152</v>
      </c>
      <c r="B4">
        <v>2</v>
      </c>
      <c r="D4" t="s">
        <v>118</v>
      </c>
      <c r="E4">
        <f>E3*$B$10*0.9933*B32</f>
        <v>8.4076879994535858</v>
      </c>
      <c r="H4">
        <v>2</v>
      </c>
      <c r="I4">
        <v>-4.143605967974052</v>
      </c>
      <c r="J4">
        <v>-7.8512459825955787</v>
      </c>
      <c r="K4">
        <v>-6.0020874953498531</v>
      </c>
      <c r="N4">
        <v>3</v>
      </c>
      <c r="O4">
        <f>I24</f>
        <v>-1.5983521933809428</v>
      </c>
      <c r="P4">
        <f t="shared" ref="P4:Q4" si="2">J24</f>
        <v>0.93462889715369002</v>
      </c>
      <c r="Q4">
        <f t="shared" si="2"/>
        <v>0.53526238420977745</v>
      </c>
    </row>
    <row r="5" spans="1:17" x14ac:dyDescent="0.35">
      <c r="D5" t="s">
        <v>153</v>
      </c>
      <c r="E5">
        <f>$B$10*E3*B32</f>
        <v>8.4643994759424004</v>
      </c>
      <c r="H5">
        <v>3</v>
      </c>
      <c r="I5">
        <v>-4.3017411195176809</v>
      </c>
      <c r="J5">
        <v>-4.9783418880521166</v>
      </c>
      <c r="K5">
        <v>-4.4395404536995118</v>
      </c>
      <c r="N5">
        <v>4</v>
      </c>
      <c r="O5">
        <f>I33</f>
        <v>-0.65225780052001281</v>
      </c>
      <c r="P5">
        <f t="shared" ref="P5:Q5" si="3">J33</f>
        <v>1.0091912310059943</v>
      </c>
      <c r="Q5">
        <f t="shared" si="3"/>
        <v>0.60982471806208061</v>
      </c>
    </row>
    <row r="6" spans="1:17" x14ac:dyDescent="0.35">
      <c r="A6" t="s">
        <v>154</v>
      </c>
      <c r="B6">
        <v>149.1</v>
      </c>
      <c r="E6">
        <f>E3*B8</f>
        <v>852</v>
      </c>
      <c r="H6">
        <v>4</v>
      </c>
      <c r="I6">
        <v>-4.438147344027338</v>
      </c>
      <c r="J6">
        <v>-3.6407550957271546</v>
      </c>
      <c r="K6">
        <v>-3.7098159907430737</v>
      </c>
      <c r="N6">
        <v>5</v>
      </c>
      <c r="O6">
        <f>I42</f>
        <v>-0.20850913551919703</v>
      </c>
      <c r="P6">
        <f t="shared" ref="P6:Q6" si="4">J42</f>
        <v>1.7466874635212721</v>
      </c>
      <c r="Q6">
        <f t="shared" si="4"/>
        <v>1.3473209505773576</v>
      </c>
    </row>
    <row r="7" spans="1:17" x14ac:dyDescent="0.35">
      <c r="A7" t="s">
        <v>155</v>
      </c>
      <c r="B7">
        <v>10.5</v>
      </c>
      <c r="H7">
        <v>5</v>
      </c>
      <c r="I7">
        <v>-4.5547869772262466</v>
      </c>
      <c r="J7">
        <v>-2.9066409085424754</v>
      </c>
      <c r="K7">
        <v>-3.3060074214863908</v>
      </c>
      <c r="N7">
        <v>6</v>
      </c>
      <c r="O7">
        <f>I51</f>
        <v>0.88220606848214378</v>
      </c>
      <c r="P7">
        <f t="shared" ref="P7:Q7" si="5">J51</f>
        <v>2.9173802405273475</v>
      </c>
      <c r="Q7">
        <f t="shared" si="5"/>
        <v>2.5180137275834329</v>
      </c>
    </row>
    <row r="8" spans="1:17" x14ac:dyDescent="0.35">
      <c r="A8" t="s">
        <v>156</v>
      </c>
      <c r="B8">
        <f>B6/B7</f>
        <v>14.2</v>
      </c>
      <c r="N8">
        <v>7</v>
      </c>
      <c r="O8">
        <f>I60</f>
        <v>-1.725836507434392</v>
      </c>
      <c r="P8">
        <f t="shared" ref="P8:Q8" si="6">J60</f>
        <v>1.5057828632811663</v>
      </c>
      <c r="Q8">
        <f t="shared" si="6"/>
        <v>1.1064163503372526</v>
      </c>
    </row>
    <row r="9" spans="1:17" x14ac:dyDescent="0.35">
      <c r="A9" t="s">
        <v>157</v>
      </c>
      <c r="B9">
        <v>1.6E-2</v>
      </c>
      <c r="N9">
        <v>8</v>
      </c>
      <c r="O9">
        <f>I69</f>
        <v>0.36797944094605767</v>
      </c>
      <c r="P9">
        <f t="shared" ref="P9:Q9" si="7">J69</f>
        <v>5.1963328805143743</v>
      </c>
      <c r="Q9">
        <f t="shared" si="7"/>
        <v>4.7969663675704606</v>
      </c>
    </row>
    <row r="10" spans="1:17" x14ac:dyDescent="0.35">
      <c r="A10" t="s">
        <v>158</v>
      </c>
      <c r="B10">
        <f>B9*B8</f>
        <v>0.22719999999999999</v>
      </c>
      <c r="N10">
        <v>9</v>
      </c>
      <c r="O10">
        <f>I78</f>
        <v>-5.3074087428934726</v>
      </c>
      <c r="P10">
        <f t="shared" ref="P10:Q10" si="8">J78</f>
        <v>2.4360129548912046</v>
      </c>
      <c r="Q10">
        <f t="shared" si="8"/>
        <v>2.0366464419472918</v>
      </c>
    </row>
    <row r="11" spans="1:17" x14ac:dyDescent="0.35">
      <c r="D11" t="s">
        <v>159</v>
      </c>
      <c r="H11" t="s">
        <v>11</v>
      </c>
      <c r="I11" t="s">
        <v>10</v>
      </c>
      <c r="J11" t="s">
        <v>91</v>
      </c>
      <c r="K11" t="s">
        <v>92</v>
      </c>
      <c r="N11">
        <v>10</v>
      </c>
      <c r="O11">
        <f>I87</f>
        <v>-4.4209231061564109</v>
      </c>
      <c r="P11">
        <f t="shared" ref="P11:Q11" si="9">J87</f>
        <v>3.534999067002051</v>
      </c>
      <c r="Q11">
        <f t="shared" si="9"/>
        <v>3.1356325540581373</v>
      </c>
    </row>
    <row r="12" spans="1:17" x14ac:dyDescent="0.35">
      <c r="D12" t="s">
        <v>151</v>
      </c>
      <c r="E12">
        <v>72</v>
      </c>
      <c r="H12">
        <v>1</v>
      </c>
      <c r="I12">
        <v>-0.55360210987758052</v>
      </c>
      <c r="J12">
        <v>-14.376800338942584</v>
      </c>
      <c r="K12">
        <v>-8.3883794258741204</v>
      </c>
    </row>
    <row r="13" spans="1:17" x14ac:dyDescent="0.35">
      <c r="B13">
        <f>128*10.5*B10</f>
        <v>305.35679999999996</v>
      </c>
      <c r="D13" t="s">
        <v>118</v>
      </c>
      <c r="E13">
        <f>E12*$B$10*0.9965*B32</f>
        <v>10.121728893331923</v>
      </c>
      <c r="H13">
        <v>2</v>
      </c>
      <c r="I13">
        <v>-0.89051505888314431</v>
      </c>
      <c r="J13">
        <v>-5.4187888317786097</v>
      </c>
      <c r="K13">
        <v>-3.5696303445328788</v>
      </c>
    </row>
    <row r="14" spans="1:17" x14ac:dyDescent="0.35">
      <c r="B14">
        <f>B13/(17*2)</f>
        <v>8.9810823529411756</v>
      </c>
      <c r="D14" t="s">
        <v>153</v>
      </c>
      <c r="E14">
        <f>$B$10*E12*B32</f>
        <v>10.15727937113088</v>
      </c>
      <c r="H14">
        <v>3</v>
      </c>
      <c r="I14">
        <v>-1.194170871583798</v>
      </c>
      <c r="J14">
        <v>-2.6546959517738546</v>
      </c>
      <c r="K14">
        <v>-2.1158945174212462</v>
      </c>
    </row>
    <row r="15" spans="1:17" x14ac:dyDescent="0.35">
      <c r="B15">
        <f>128*10.5/17</f>
        <v>79.058823529411768</v>
      </c>
      <c r="E15">
        <f>E12*B8</f>
        <v>1022.4</v>
      </c>
      <c r="H15">
        <v>4</v>
      </c>
      <c r="I15">
        <v>-1.4673494477087821</v>
      </c>
      <c r="J15">
        <v>-1.4193789373364494</v>
      </c>
      <c r="K15">
        <v>-1.4884398323523658</v>
      </c>
    </row>
    <row r="16" spans="1:17" x14ac:dyDescent="0.35">
      <c r="B16">
        <f>B14*0.9213</f>
        <v>8.2742711717647044</v>
      </c>
      <c r="H16">
        <v>5</v>
      </c>
      <c r="I16">
        <v>-1.7126066889945701</v>
      </c>
      <c r="J16">
        <v>-0.78143692278845056</v>
      </c>
      <c r="K16">
        <v>-1.1808034357323636</v>
      </c>
    </row>
    <row r="17" spans="1:11" x14ac:dyDescent="0.35">
      <c r="B17">
        <v>94</v>
      </c>
    </row>
    <row r="18" spans="1:11" x14ac:dyDescent="0.35">
      <c r="B18">
        <f>B17*B10</f>
        <v>21.3568</v>
      </c>
    </row>
    <row r="19" spans="1:11" x14ac:dyDescent="0.35">
      <c r="D19" t="s">
        <v>160</v>
      </c>
      <c r="H19" t="s">
        <v>11</v>
      </c>
      <c r="I19" t="s">
        <v>10</v>
      </c>
      <c r="J19" t="s">
        <v>91</v>
      </c>
      <c r="K19" t="s">
        <v>92</v>
      </c>
    </row>
    <row r="20" spans="1:11" x14ac:dyDescent="0.35">
      <c r="D20" t="s">
        <v>151</v>
      </c>
      <c r="E20">
        <v>81</v>
      </c>
      <c r="H20">
        <v>1</v>
      </c>
      <c r="I20">
        <v>-0.41660189118508129</v>
      </c>
      <c r="J20">
        <v>-12.319101065403007</v>
      </c>
      <c r="K20">
        <v>-6.3306801523345477</v>
      </c>
    </row>
    <row r="21" spans="1:11" x14ac:dyDescent="0.35">
      <c r="D21" t="s">
        <v>118</v>
      </c>
      <c r="E21">
        <f>E20*$B$10*0.9821*B32</f>
        <v>11.22239707918609</v>
      </c>
      <c r="H21">
        <v>2</v>
      </c>
      <c r="I21">
        <v>-0.75974212285848708</v>
      </c>
      <c r="J21">
        <v>-3.4546213433999258</v>
      </c>
      <c r="K21">
        <v>-1.6054628561541957</v>
      </c>
    </row>
    <row r="22" spans="1:11" x14ac:dyDescent="0.35">
      <c r="D22" t="s">
        <v>153</v>
      </c>
      <c r="E22">
        <f>$B$10*E20*0.9506*B32</f>
        <v>10.862448491471641</v>
      </c>
      <c r="H22">
        <v>3</v>
      </c>
      <c r="I22">
        <v>-1.0692478071562046</v>
      </c>
      <c r="J22">
        <v>-0.77839165551600742</v>
      </c>
      <c r="K22">
        <v>-0.23959022116339904</v>
      </c>
    </row>
    <row r="23" spans="1:11" x14ac:dyDescent="0.35">
      <c r="E23">
        <f>E20*B8</f>
        <v>1150.2</v>
      </c>
      <c r="H23">
        <v>4</v>
      </c>
      <c r="I23">
        <v>-1.3479245763804801</v>
      </c>
      <c r="J23">
        <v>0.37434426486061234</v>
      </c>
      <c r="K23">
        <v>0.30528336984469595</v>
      </c>
    </row>
    <row r="24" spans="1:11" x14ac:dyDescent="0.35">
      <c r="H24">
        <v>5</v>
      </c>
      <c r="I24">
        <v>-1.5983521933809428</v>
      </c>
      <c r="J24">
        <v>0.93462889715369002</v>
      </c>
      <c r="K24">
        <v>0.53526238420977745</v>
      </c>
    </row>
    <row r="26" spans="1:11" x14ac:dyDescent="0.35">
      <c r="A26" t="s">
        <v>8</v>
      </c>
      <c r="B26" t="s">
        <v>9</v>
      </c>
    </row>
    <row r="27" spans="1:11" x14ac:dyDescent="0.35">
      <c r="A27">
        <v>0</v>
      </c>
      <c r="B27">
        <v>1</v>
      </c>
    </row>
    <row r="28" spans="1:11" x14ac:dyDescent="0.35">
      <c r="A28">
        <v>1</v>
      </c>
      <c r="B28">
        <v>0.90909090909090906</v>
      </c>
      <c r="D28" t="s">
        <v>161</v>
      </c>
      <c r="H28" t="s">
        <v>11</v>
      </c>
      <c r="I28" t="s">
        <v>10</v>
      </c>
      <c r="J28" t="s">
        <v>91</v>
      </c>
      <c r="K28" t="s">
        <v>92</v>
      </c>
    </row>
    <row r="29" spans="1:11" x14ac:dyDescent="0.35">
      <c r="A29">
        <v>2</v>
      </c>
      <c r="B29">
        <v>0.82644628099173545</v>
      </c>
      <c r="D29" t="s">
        <v>151</v>
      </c>
      <c r="E29">
        <v>85</v>
      </c>
      <c r="H29">
        <v>1</v>
      </c>
      <c r="I29">
        <v>0.71784046077286234</v>
      </c>
      <c r="J29">
        <v>-12.229694902528401</v>
      </c>
      <c r="K29">
        <v>-6.2412739894599412</v>
      </c>
    </row>
    <row r="30" spans="1:11" x14ac:dyDescent="0.35">
      <c r="A30">
        <v>3</v>
      </c>
      <c r="B30">
        <v>0.75131480090157754</v>
      </c>
      <c r="D30" t="s">
        <v>118</v>
      </c>
      <c r="E30">
        <f>E29*$B$10*0.9655*B32</f>
        <v>11.577535066531714</v>
      </c>
      <c r="H30">
        <v>2</v>
      </c>
      <c r="I30">
        <v>0.32313466764682097</v>
      </c>
      <c r="J30">
        <v>-3.369279097019616</v>
      </c>
      <c r="K30">
        <v>-1.5201206097738869</v>
      </c>
    </row>
    <row r="31" spans="1:11" x14ac:dyDescent="0.35">
      <c r="A31">
        <v>4</v>
      </c>
      <c r="B31">
        <v>0.68301345536507052</v>
      </c>
      <c r="D31" t="s">
        <v>153</v>
      </c>
      <c r="E31">
        <f>$B$10*E29*0.9529*B32</f>
        <v>11.42644553588614</v>
      </c>
      <c r="H31">
        <v>3</v>
      </c>
      <c r="I31">
        <v>-3.4811392560946786E-2</v>
      </c>
      <c r="J31">
        <v>-0.69686702766064634</v>
      </c>
      <c r="K31">
        <v>-0.15806559330803913</v>
      </c>
    </row>
    <row r="32" spans="1:11" x14ac:dyDescent="0.35">
      <c r="A32">
        <v>5</v>
      </c>
      <c r="B32">
        <v>0.62092132305915493</v>
      </c>
      <c r="E32">
        <f>E29*B8</f>
        <v>1207</v>
      </c>
      <c r="H32">
        <v>4</v>
      </c>
      <c r="I32">
        <v>-0.35901643298513708</v>
      </c>
      <c r="J32">
        <v>0.45228077911701181</v>
      </c>
      <c r="K32">
        <v>0.38321988410109453</v>
      </c>
    </row>
    <row r="33" spans="1:11" x14ac:dyDescent="0.35">
      <c r="A33">
        <v>6</v>
      </c>
      <c r="B33">
        <v>0.56447393005377722</v>
      </c>
      <c r="H33">
        <v>5</v>
      </c>
      <c r="I33">
        <v>-0.65225780052001281</v>
      </c>
      <c r="J33">
        <v>1.0091912310059943</v>
      </c>
      <c r="K33">
        <v>0.60982471806208061</v>
      </c>
    </row>
    <row r="34" spans="1:11" x14ac:dyDescent="0.35">
      <c r="A34">
        <v>7</v>
      </c>
      <c r="B34">
        <v>0.51315811823070645</v>
      </c>
    </row>
    <row r="35" spans="1:11" x14ac:dyDescent="0.35">
      <c r="A35">
        <v>8</v>
      </c>
      <c r="B35">
        <v>0.46650738020973315</v>
      </c>
    </row>
    <row r="37" spans="1:11" x14ac:dyDescent="0.35">
      <c r="D37" t="s">
        <v>162</v>
      </c>
      <c r="H37" t="s">
        <v>11</v>
      </c>
      <c r="I37" t="s">
        <v>10</v>
      </c>
      <c r="J37" t="s">
        <v>91</v>
      </c>
      <c r="K37" t="s">
        <v>92</v>
      </c>
    </row>
    <row r="38" spans="1:11" x14ac:dyDescent="0.35">
      <c r="D38" t="s">
        <v>151</v>
      </c>
      <c r="E38">
        <v>89</v>
      </c>
      <c r="H38">
        <v>1</v>
      </c>
      <c r="I38">
        <v>1.2499303695603459</v>
      </c>
      <c r="J38">
        <v>-11.345378319650454</v>
      </c>
      <c r="K38">
        <v>-5.3569574065820014</v>
      </c>
    </row>
    <row r="39" spans="1:11" x14ac:dyDescent="0.35">
      <c r="D39" t="s">
        <v>118</v>
      </c>
      <c r="E39">
        <f>E38*$B$10*0.9688*B32</f>
        <v>12.163793481567943</v>
      </c>
      <c r="H39">
        <v>2</v>
      </c>
      <c r="I39">
        <v>0.83103867148942001</v>
      </c>
      <c r="J39">
        <v>-2.5251587224543091</v>
      </c>
      <c r="K39">
        <v>-0.67600023520858166</v>
      </c>
    </row>
    <row r="40" spans="1:11" x14ac:dyDescent="0.35">
      <c r="D40" t="s">
        <v>153</v>
      </c>
      <c r="E40">
        <f>$B$10*E38*0.9438*B32</f>
        <v>11.84990533433508</v>
      </c>
      <c r="H40">
        <v>3</v>
      </c>
      <c r="I40">
        <v>0.45037251875766887</v>
      </c>
      <c r="J40">
        <v>0.10949327242915412</v>
      </c>
      <c r="K40">
        <v>0.6482947067817596</v>
      </c>
    </row>
    <row r="41" spans="1:11" x14ac:dyDescent="0.35">
      <c r="E41">
        <f>E38*B8</f>
        <v>1263.8</v>
      </c>
      <c r="H41">
        <v>4</v>
      </c>
      <c r="I41">
        <v>0.10481325647442663</v>
      </c>
      <c r="J41">
        <v>1.2231510385340876</v>
      </c>
      <c r="K41">
        <v>1.154090143518169</v>
      </c>
    </row>
    <row r="42" spans="1:11" x14ac:dyDescent="0.35">
      <c r="H42">
        <v>5</v>
      </c>
      <c r="I42">
        <v>-0.20850913551919703</v>
      </c>
      <c r="J42">
        <v>1.7466874635212721</v>
      </c>
      <c r="K42">
        <v>1.3473209505773576</v>
      </c>
    </row>
    <row r="46" spans="1:11" x14ac:dyDescent="0.35">
      <c r="D46" t="s">
        <v>163</v>
      </c>
      <c r="H46" t="s">
        <v>11</v>
      </c>
      <c r="I46" t="s">
        <v>10</v>
      </c>
      <c r="J46" t="s">
        <v>91</v>
      </c>
      <c r="K46" t="s">
        <v>92</v>
      </c>
    </row>
    <row r="47" spans="1:11" x14ac:dyDescent="0.35">
      <c r="D47" t="s">
        <v>151</v>
      </c>
      <c r="E47">
        <v>100</v>
      </c>
      <c r="H47">
        <v>1</v>
      </c>
      <c r="I47">
        <v>2.557784565378892</v>
      </c>
      <c r="J47">
        <v>-9.9416246589286033</v>
      </c>
      <c r="K47">
        <v>-3.9532037458601508</v>
      </c>
    </row>
    <row r="48" spans="1:11" x14ac:dyDescent="0.35">
      <c r="D48" t="s">
        <v>118</v>
      </c>
      <c r="E48">
        <f>E47*$B$10*0.9454*B32</f>
        <v>13.337072107593242</v>
      </c>
      <c r="H48">
        <v>2</v>
      </c>
      <c r="I48">
        <v>2.0794449493162137</v>
      </c>
      <c r="J48">
        <v>-1.1852120463107241</v>
      </c>
      <c r="K48">
        <v>0.66394644093500155</v>
      </c>
    </row>
    <row r="49" spans="4:11" x14ac:dyDescent="0.35">
      <c r="D49" t="s">
        <v>153</v>
      </c>
      <c r="E49">
        <f>$B$10*E47*0.92*B32</f>
        <v>12.97874586311168</v>
      </c>
      <c r="H49">
        <v>3</v>
      </c>
      <c r="I49">
        <v>1.6429337827134241</v>
      </c>
      <c r="J49">
        <v>1.389500053968914</v>
      </c>
      <c r="K49">
        <v>1.9283014883215184</v>
      </c>
    </row>
    <row r="50" spans="4:11" x14ac:dyDescent="0.35">
      <c r="E50">
        <f>E47*B8</f>
        <v>1420</v>
      </c>
      <c r="H50">
        <v>4</v>
      </c>
      <c r="I50">
        <v>1.2448867581261691</v>
      </c>
      <c r="J50">
        <v>2.4468213502189315</v>
      </c>
      <c r="K50">
        <v>2.3777604552030134</v>
      </c>
    </row>
    <row r="51" spans="4:11" x14ac:dyDescent="0.35">
      <c r="H51">
        <v>5</v>
      </c>
      <c r="I51">
        <v>0.88220606848214378</v>
      </c>
      <c r="J51">
        <v>2.9173802405273475</v>
      </c>
      <c r="K51">
        <v>2.5180137275834329</v>
      </c>
    </row>
    <row r="55" spans="4:11" x14ac:dyDescent="0.35">
      <c r="D55" t="s">
        <v>164</v>
      </c>
      <c r="H55" t="s">
        <v>11</v>
      </c>
      <c r="I55" t="s">
        <v>10</v>
      </c>
      <c r="J55" t="s">
        <v>91</v>
      </c>
      <c r="K55" t="s">
        <v>92</v>
      </c>
    </row>
    <row r="56" spans="4:11" x14ac:dyDescent="0.35">
      <c r="D56" t="s">
        <v>151</v>
      </c>
      <c r="E56">
        <v>106</v>
      </c>
      <c r="H56">
        <v>1</v>
      </c>
      <c r="I56">
        <v>-0.56946571340393248</v>
      </c>
      <c r="J56">
        <v>-11.634242077174118</v>
      </c>
      <c r="K56">
        <v>-5.6458211641056621</v>
      </c>
    </row>
    <row r="57" spans="4:11" x14ac:dyDescent="0.35">
      <c r="D57" t="s">
        <v>118</v>
      </c>
      <c r="E57">
        <f>E56*$B$10*0.8577*B32</f>
        <v>12.825850593911239</v>
      </c>
      <c r="H57">
        <v>2</v>
      </c>
      <c r="I57">
        <v>-0.9056575895219332</v>
      </c>
      <c r="J57">
        <v>-2.8008923091814406</v>
      </c>
      <c r="K57">
        <v>-0.95173382193571143</v>
      </c>
    </row>
    <row r="58" spans="4:11" x14ac:dyDescent="0.35">
      <c r="D58" t="s">
        <v>153</v>
      </c>
      <c r="E58">
        <f>$B$10*E56*0.8491*B32</f>
        <v>12.697248151206754</v>
      </c>
      <c r="H58">
        <v>3</v>
      </c>
      <c r="I58">
        <v>-1.2086360307221515</v>
      </c>
      <c r="J58">
        <v>-0.15390591142850832</v>
      </c>
      <c r="K58">
        <v>0.38489552292409829</v>
      </c>
    </row>
    <row r="59" spans="4:11" x14ac:dyDescent="0.35">
      <c r="E59">
        <f>E56*B8</f>
        <v>1505.1999999999998</v>
      </c>
      <c r="H59">
        <v>4</v>
      </c>
      <c r="I59">
        <v>-1.4811779570937915</v>
      </c>
      <c r="J59">
        <v>0.97134474652294722</v>
      </c>
      <c r="K59">
        <v>0.90228385150702994</v>
      </c>
    </row>
    <row r="60" spans="4:11" x14ac:dyDescent="0.35">
      <c r="H60">
        <v>5</v>
      </c>
      <c r="I60">
        <v>-1.725836507434392</v>
      </c>
      <c r="J60">
        <v>1.5057828632811663</v>
      </c>
      <c r="K60">
        <v>1.1064163503372526</v>
      </c>
    </row>
    <row r="64" spans="4:11" x14ac:dyDescent="0.35">
      <c r="D64" t="s">
        <v>165</v>
      </c>
      <c r="H64" t="s">
        <v>11</v>
      </c>
      <c r="I64" t="s">
        <v>10</v>
      </c>
      <c r="J64" t="s">
        <v>91</v>
      </c>
      <c r="K64" t="s">
        <v>92</v>
      </c>
    </row>
    <row r="65" spans="4:11" x14ac:dyDescent="0.35">
      <c r="D65" t="s">
        <v>151</v>
      </c>
      <c r="E65">
        <v>117</v>
      </c>
      <c r="H65">
        <v>1</v>
      </c>
      <c r="I65">
        <v>1.9411859794625421</v>
      </c>
      <c r="J65">
        <v>-7.2089793622053691</v>
      </c>
      <c r="K65">
        <v>-1.2205584491369095</v>
      </c>
    </row>
    <row r="66" spans="4:11" x14ac:dyDescent="0.35">
      <c r="D66" t="s">
        <v>118</v>
      </c>
      <c r="E66">
        <f>E65*$B$10*0.9348*B32</f>
        <v>15.429415228716364</v>
      </c>
      <c r="H66">
        <v>2</v>
      </c>
      <c r="I66">
        <v>1.4908735718506083</v>
      </c>
      <c r="J66">
        <v>1.4232221005614569</v>
      </c>
      <c r="K66">
        <v>3.2723805878071861</v>
      </c>
    </row>
    <row r="67" spans="4:11" x14ac:dyDescent="0.35">
      <c r="D67" t="s">
        <v>153</v>
      </c>
      <c r="E67">
        <f>$B$10*E65*0.8547*B32</f>
        <v>14.107318352571541</v>
      </c>
      <c r="H67">
        <v>3</v>
      </c>
      <c r="I67">
        <v>1.080690995004576</v>
      </c>
      <c r="J67">
        <v>3.8812509994658604</v>
      </c>
      <c r="K67">
        <v>4.4200524338184666</v>
      </c>
    </row>
    <row r="68" spans="4:11" x14ac:dyDescent="0.35">
      <c r="E68">
        <f>E65*B17</f>
        <v>10998</v>
      </c>
      <c r="H68">
        <v>4</v>
      </c>
      <c r="I68">
        <v>0.70738975639104851</v>
      </c>
      <c r="J68">
        <v>4.8289037736022031</v>
      </c>
      <c r="K68">
        <v>4.7598428785862863</v>
      </c>
    </row>
    <row r="69" spans="4:11" x14ac:dyDescent="0.35">
      <c r="H69">
        <v>5</v>
      </c>
      <c r="I69">
        <v>0.36797944094605767</v>
      </c>
      <c r="J69">
        <v>5.1963328805143743</v>
      </c>
      <c r="K69">
        <v>4.7969663675704606</v>
      </c>
    </row>
    <row r="73" spans="4:11" x14ac:dyDescent="0.35">
      <c r="D73" t="s">
        <v>166</v>
      </c>
      <c r="H73" t="s">
        <v>11</v>
      </c>
      <c r="I73" t="s">
        <v>10</v>
      </c>
      <c r="J73" t="s">
        <v>91</v>
      </c>
      <c r="K73" t="s">
        <v>92</v>
      </c>
    </row>
    <row r="74" spans="4:11" x14ac:dyDescent="0.35">
      <c r="D74" t="s">
        <v>151</v>
      </c>
      <c r="E74">
        <v>125</v>
      </c>
      <c r="H74">
        <v>1</v>
      </c>
      <c r="I74">
        <v>-4.864055408851705</v>
      </c>
      <c r="J74">
        <v>-10.518822282964155</v>
      </c>
      <c r="K74">
        <v>-4.5304013698956958</v>
      </c>
    </row>
    <row r="75" spans="4:11" x14ac:dyDescent="0.35">
      <c r="D75" t="s">
        <v>118</v>
      </c>
      <c r="E75">
        <f>E74*$B$10*0.8137*B32</f>
        <v>14.348920528279855</v>
      </c>
      <c r="H75">
        <v>2</v>
      </c>
      <c r="I75">
        <v>-5.0050386624493548</v>
      </c>
      <c r="J75">
        <v>-1.7361734147082899</v>
      </c>
      <c r="K75">
        <v>0.11298507253743928</v>
      </c>
    </row>
    <row r="76" spans="4:11" x14ac:dyDescent="0.35">
      <c r="D76" t="s">
        <v>153</v>
      </c>
      <c r="E76">
        <f>$B$10*E74*0.744*B32</f>
        <v>13.11981918771072</v>
      </c>
      <c r="H76">
        <v>3</v>
      </c>
      <c r="I76">
        <v>-5.1246393067365119</v>
      </c>
      <c r="J76">
        <v>0.86318486511005688</v>
      </c>
      <c r="K76">
        <v>1.4019862994626646</v>
      </c>
    </row>
    <row r="77" spans="4:11" x14ac:dyDescent="0.35">
      <c r="E77">
        <f>E74*B8</f>
        <v>1775</v>
      </c>
      <c r="H77">
        <v>4</v>
      </c>
      <c r="I77">
        <v>-5.2248276146018897</v>
      </c>
      <c r="J77">
        <v>1.9436706790790073</v>
      </c>
      <c r="K77">
        <v>1.8746097840630913</v>
      </c>
    </row>
    <row r="78" spans="4:11" x14ac:dyDescent="0.35">
      <c r="H78">
        <v>5</v>
      </c>
      <c r="I78">
        <v>-5.3074087428934726</v>
      </c>
      <c r="J78">
        <v>2.4360129548912046</v>
      </c>
      <c r="K78">
        <v>2.0366464419472918</v>
      </c>
    </row>
    <row r="82" spans="4:11" x14ac:dyDescent="0.35">
      <c r="D82" t="s">
        <v>167</v>
      </c>
      <c r="H82" t="s">
        <v>11</v>
      </c>
      <c r="I82" t="s">
        <v>10</v>
      </c>
      <c r="J82" t="s">
        <v>91</v>
      </c>
      <c r="K82" t="s">
        <v>92</v>
      </c>
    </row>
    <row r="83" spans="4:11" x14ac:dyDescent="0.35">
      <c r="D83" t="s">
        <v>151</v>
      </c>
      <c r="E83">
        <v>133</v>
      </c>
      <c r="H83">
        <v>1</v>
      </c>
      <c r="I83">
        <v>-3.8010886918882356</v>
      </c>
      <c r="J83">
        <v>-9.2010506111311798</v>
      </c>
      <c r="K83">
        <v>-3.2126296980627203</v>
      </c>
    </row>
    <row r="84" spans="4:11" x14ac:dyDescent="0.35">
      <c r="D84" t="s">
        <v>118</v>
      </c>
      <c r="E84">
        <f>E83*$B$10*0.8181*B32</f>
        <v>15.349807551645126</v>
      </c>
      <c r="H84">
        <v>2</v>
      </c>
      <c r="I84">
        <v>-3.9903886144387712</v>
      </c>
      <c r="J84">
        <v>-0.47830045523136278</v>
      </c>
      <c r="K84">
        <v>1.3708580320143646</v>
      </c>
    </row>
    <row r="85" spans="4:11" x14ac:dyDescent="0.35">
      <c r="D85" t="s">
        <v>153</v>
      </c>
      <c r="E85">
        <f>$B$10*E83*0.7444*B32</f>
        <v>13.966992716592872</v>
      </c>
      <c r="H85">
        <v>3</v>
      </c>
      <c r="I85">
        <v>-4.1553776447119732</v>
      </c>
      <c r="J85">
        <v>2.0647893372222144</v>
      </c>
      <c r="K85">
        <v>2.603590771574821</v>
      </c>
    </row>
    <row r="86" spans="4:11" x14ac:dyDescent="0.35">
      <c r="E86">
        <f>E83*B8</f>
        <v>1888.6</v>
      </c>
      <c r="H86">
        <v>4</v>
      </c>
      <c r="I86">
        <v>-4.2982257112533837</v>
      </c>
      <c r="J86">
        <v>3.0923893734773564</v>
      </c>
      <c r="K86">
        <v>3.0233284784614387</v>
      </c>
    </row>
    <row r="87" spans="4:11" x14ac:dyDescent="0.35">
      <c r="H87">
        <v>5</v>
      </c>
      <c r="I87">
        <v>-4.4209231061564109</v>
      </c>
      <c r="J87">
        <v>3.534999067002051</v>
      </c>
      <c r="K87">
        <v>3.1356325540581373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5181-8599-4DB8-9913-3C32124D4FF8}">
  <dimension ref="A1:I281"/>
  <sheetViews>
    <sheetView workbookViewId="0">
      <selection activeCell="J12" sqref="J12"/>
    </sheetView>
  </sheetViews>
  <sheetFormatPr defaultRowHeight="14.5" x14ac:dyDescent="0.35"/>
  <cols>
    <col min="3" max="3" width="14.08984375" bestFit="1" customWidth="1"/>
    <col min="4" max="4" width="15.81640625" bestFit="1" customWidth="1"/>
    <col min="5" max="5" width="9" bestFit="1" customWidth="1"/>
    <col min="6" max="6" width="9" customWidth="1"/>
    <col min="7" max="7" width="17.81640625" bestFit="1" customWidth="1"/>
    <col min="8" max="8" width="24.54296875" bestFit="1" customWidth="1"/>
    <col min="9" max="9" width="20.1796875" bestFit="1" customWidth="1"/>
  </cols>
  <sheetData>
    <row r="1" spans="1:9" x14ac:dyDescent="0.35">
      <c r="A1" t="s">
        <v>115</v>
      </c>
      <c r="B1" t="s">
        <v>146</v>
      </c>
      <c r="C1" t="s">
        <v>182</v>
      </c>
      <c r="D1" t="s">
        <v>179</v>
      </c>
      <c r="E1" t="s">
        <v>145</v>
      </c>
      <c r="F1" t="s">
        <v>147</v>
      </c>
      <c r="G1" t="s">
        <v>77</v>
      </c>
      <c r="H1" t="s">
        <v>78</v>
      </c>
      <c r="I1" t="s">
        <v>181</v>
      </c>
    </row>
    <row r="2" spans="1:9" x14ac:dyDescent="0.35">
      <c r="A2">
        <v>60</v>
      </c>
      <c r="B2" t="s">
        <v>80</v>
      </c>
      <c r="C2" t="str">
        <f>_xlfn.CONCAT(A2,B2,F2)</f>
        <v>600-500.78</v>
      </c>
      <c r="D2" s="6">
        <v>6.7199999999999996E-2</v>
      </c>
      <c r="E2">
        <v>32</v>
      </c>
      <c r="F2">
        <v>0.78</v>
      </c>
      <c r="G2">
        <v>0.96716666666666706</v>
      </c>
      <c r="H2">
        <v>0.38895662456577113</v>
      </c>
    </row>
    <row r="3" spans="1:9" x14ac:dyDescent="0.35">
      <c r="A3">
        <v>60</v>
      </c>
      <c r="B3" t="s">
        <v>81</v>
      </c>
      <c r="C3" t="str">
        <f>_xlfn.CONCAT(A3,B3,F3)</f>
        <v>6051-1000.78</v>
      </c>
      <c r="D3" s="6">
        <v>0.1429</v>
      </c>
      <c r="E3">
        <v>61</v>
      </c>
      <c r="F3">
        <v>0.78</v>
      </c>
      <c r="G3">
        <v>0.98850000000000027</v>
      </c>
      <c r="H3">
        <v>0.45472560458375177</v>
      </c>
    </row>
    <row r="4" spans="1:9" x14ac:dyDescent="0.35">
      <c r="A4">
        <v>60</v>
      </c>
      <c r="B4" t="s">
        <v>89</v>
      </c>
      <c r="C4" t="str">
        <f>_xlfn.CONCAT(A4,B4,F4)</f>
        <v>60101-1500.78</v>
      </c>
      <c r="D4" s="6">
        <v>0.1176</v>
      </c>
      <c r="E4">
        <v>99</v>
      </c>
      <c r="F4">
        <v>0.78</v>
      </c>
      <c r="G4">
        <v>0.99233333333333351</v>
      </c>
      <c r="H4">
        <v>0.51965434636881747</v>
      </c>
    </row>
    <row r="5" spans="1:9" x14ac:dyDescent="0.35">
      <c r="A5">
        <v>60</v>
      </c>
      <c r="B5" t="s">
        <v>83</v>
      </c>
      <c r="C5" t="str">
        <f>_xlfn.CONCAT(A5,B5,F5)</f>
        <v>60151-2000.78</v>
      </c>
      <c r="D5" s="6">
        <v>0.1176</v>
      </c>
      <c r="E5">
        <v>135</v>
      </c>
      <c r="F5">
        <v>0.78</v>
      </c>
      <c r="G5">
        <v>0.9953333333333334</v>
      </c>
      <c r="H5">
        <v>0.53759796717632202</v>
      </c>
    </row>
    <row r="6" spans="1:9" x14ac:dyDescent="0.35">
      <c r="A6">
        <v>60</v>
      </c>
      <c r="B6" t="s">
        <v>90</v>
      </c>
      <c r="C6" t="str">
        <f>_xlfn.CONCAT(A6,B6,F6)</f>
        <v>60201-2500.78</v>
      </c>
      <c r="D6" s="6">
        <v>0.23530000000000001</v>
      </c>
      <c r="E6">
        <v>183</v>
      </c>
      <c r="F6">
        <v>0.78</v>
      </c>
      <c r="G6">
        <v>0.9986666666666667</v>
      </c>
      <c r="H6">
        <v>0.59775047080979349</v>
      </c>
    </row>
    <row r="7" spans="1:9" x14ac:dyDescent="0.35">
      <c r="A7">
        <v>60</v>
      </c>
      <c r="B7" t="s">
        <v>85</v>
      </c>
      <c r="C7" t="str">
        <f>_xlfn.CONCAT(A7,B7,F7)</f>
        <v>60251-3000.78</v>
      </c>
      <c r="D7" s="6">
        <v>0.23530000000000001</v>
      </c>
      <c r="E7">
        <v>215</v>
      </c>
      <c r="F7">
        <v>0.78</v>
      </c>
      <c r="G7">
        <v>0.99650000000000005</v>
      </c>
      <c r="H7">
        <v>0.59735948999208699</v>
      </c>
    </row>
    <row r="8" spans="1:9" x14ac:dyDescent="0.35">
      <c r="A8">
        <v>60</v>
      </c>
      <c r="B8" t="s">
        <v>86</v>
      </c>
      <c r="C8" t="str">
        <f>_xlfn.CONCAT(A8,B8,F8)</f>
        <v>60300+0.78</v>
      </c>
      <c r="D8" s="6">
        <v>8.4000000000000005E-2</v>
      </c>
      <c r="E8">
        <v>261</v>
      </c>
      <c r="F8">
        <v>0.78</v>
      </c>
      <c r="G8">
        <v>0.99849999999999994</v>
      </c>
      <c r="H8">
        <v>0.62459599649327879</v>
      </c>
    </row>
    <row r="9" spans="1:9" x14ac:dyDescent="0.35">
      <c r="A9">
        <v>72</v>
      </c>
      <c r="B9" t="s">
        <v>80</v>
      </c>
      <c r="C9" t="str">
        <f>_xlfn.CONCAT(A9,B9,F9)</f>
        <v>720-500.78</v>
      </c>
      <c r="D9" s="6">
        <v>6.7199999999999996E-2</v>
      </c>
      <c r="E9">
        <v>32</v>
      </c>
      <c r="F9">
        <v>0.78</v>
      </c>
      <c r="G9">
        <v>0.97388888888888947</v>
      </c>
      <c r="H9">
        <v>0.3967839206662172</v>
      </c>
    </row>
    <row r="10" spans="1:9" x14ac:dyDescent="0.35">
      <c r="A10">
        <v>72</v>
      </c>
      <c r="B10" t="s">
        <v>81</v>
      </c>
      <c r="C10" t="str">
        <f>_xlfn.CONCAT(A10,B10,F10)</f>
        <v>7251-1000.78</v>
      </c>
      <c r="D10" s="6">
        <v>0.1429</v>
      </c>
      <c r="E10">
        <v>61</v>
      </c>
      <c r="F10">
        <v>0.78</v>
      </c>
      <c r="G10">
        <v>0.98208333333333342</v>
      </c>
      <c r="H10">
        <v>0.48431013492788433</v>
      </c>
    </row>
    <row r="11" spans="1:9" x14ac:dyDescent="0.35">
      <c r="A11">
        <v>72</v>
      </c>
      <c r="B11" t="s">
        <v>89</v>
      </c>
      <c r="C11" t="str">
        <f>_xlfn.CONCAT(A11,B11,F11)</f>
        <v>72101-1500.78</v>
      </c>
      <c r="D11" s="6">
        <v>0.1176</v>
      </c>
      <c r="E11">
        <v>99</v>
      </c>
      <c r="F11">
        <v>0.78</v>
      </c>
      <c r="G11">
        <v>0.98986111111111097</v>
      </c>
      <c r="H11">
        <v>0.52829462843842212</v>
      </c>
    </row>
    <row r="12" spans="1:9" x14ac:dyDescent="0.35">
      <c r="A12">
        <v>72</v>
      </c>
      <c r="B12" t="s">
        <v>83</v>
      </c>
      <c r="C12" t="str">
        <f>_xlfn.CONCAT(A12,B12,F12)</f>
        <v>72151-2000.78</v>
      </c>
      <c r="D12" s="6">
        <v>0.1176</v>
      </c>
      <c r="E12">
        <v>135</v>
      </c>
      <c r="F12">
        <v>0.78</v>
      </c>
      <c r="G12">
        <v>0.99708333333333332</v>
      </c>
      <c r="H12">
        <v>0.58637659758434379</v>
      </c>
    </row>
    <row r="13" spans="1:9" x14ac:dyDescent="0.35">
      <c r="A13">
        <v>72</v>
      </c>
      <c r="B13" t="s">
        <v>90</v>
      </c>
      <c r="C13" t="str">
        <f>_xlfn.CONCAT(A13,B13,F13)</f>
        <v>72201-2500.78</v>
      </c>
      <c r="D13" s="6">
        <v>0.23530000000000001</v>
      </c>
      <c r="E13">
        <v>183</v>
      </c>
      <c r="F13">
        <v>0.78</v>
      </c>
      <c r="G13">
        <v>0.99763888888888885</v>
      </c>
      <c r="H13">
        <v>0.61313354391052199</v>
      </c>
    </row>
    <row r="14" spans="1:9" x14ac:dyDescent="0.35">
      <c r="A14">
        <v>72</v>
      </c>
      <c r="B14" t="s">
        <v>85</v>
      </c>
      <c r="C14" t="str">
        <f>_xlfn.CONCAT(A14,B14,F14)</f>
        <v>72251-3000.78</v>
      </c>
      <c r="D14" s="6">
        <v>0.23530000000000001</v>
      </c>
      <c r="E14">
        <v>215</v>
      </c>
      <c r="F14">
        <v>0.78</v>
      </c>
      <c r="G14">
        <v>0.99680555555555561</v>
      </c>
      <c r="H14">
        <v>0.61022817145192076</v>
      </c>
    </row>
    <row r="15" spans="1:9" x14ac:dyDescent="0.35">
      <c r="A15">
        <v>72</v>
      </c>
      <c r="B15" t="s">
        <v>86</v>
      </c>
      <c r="C15" t="str">
        <f>_xlfn.CONCAT(A15,B15,F15)</f>
        <v>72300+0.78</v>
      </c>
      <c r="D15" s="6">
        <v>8.4000000000000005E-2</v>
      </c>
      <c r="E15">
        <v>261</v>
      </c>
      <c r="F15">
        <v>0.78</v>
      </c>
      <c r="G15">
        <v>0.99944444444444447</v>
      </c>
      <c r="H15">
        <v>0.67689542483660092</v>
      </c>
    </row>
    <row r="16" spans="1:9" x14ac:dyDescent="0.35">
      <c r="A16">
        <v>81</v>
      </c>
      <c r="B16" t="s">
        <v>80</v>
      </c>
      <c r="C16" t="str">
        <f>_xlfn.CONCAT(A16,B16,F16)</f>
        <v>810-500.78</v>
      </c>
      <c r="D16" s="6">
        <v>6.7199999999999996E-2</v>
      </c>
      <c r="E16">
        <v>32</v>
      </c>
      <c r="F16">
        <v>0.78</v>
      </c>
      <c r="G16">
        <v>0.85938271604938321</v>
      </c>
      <c r="H16">
        <v>0.37151110744994026</v>
      </c>
    </row>
    <row r="17" spans="1:8" x14ac:dyDescent="0.35">
      <c r="A17">
        <v>81</v>
      </c>
      <c r="B17" t="s">
        <v>81</v>
      </c>
      <c r="C17" t="str">
        <f>_xlfn.CONCAT(A17,B17,F17)</f>
        <v>8151-1000.78</v>
      </c>
      <c r="D17" s="6">
        <v>0.1429</v>
      </c>
      <c r="E17">
        <v>61</v>
      </c>
      <c r="F17">
        <v>0.78</v>
      </c>
      <c r="G17">
        <v>0.91703703703703709</v>
      </c>
      <c r="H17">
        <v>0.43378781732283128</v>
      </c>
    </row>
    <row r="18" spans="1:8" x14ac:dyDescent="0.35">
      <c r="A18">
        <v>81</v>
      </c>
      <c r="B18" t="s">
        <v>89</v>
      </c>
      <c r="C18" t="str">
        <f>_xlfn.CONCAT(A18,B18,F18)</f>
        <v>81101-1500.78</v>
      </c>
      <c r="D18" s="6">
        <v>0.1176</v>
      </c>
      <c r="E18">
        <v>99</v>
      </c>
      <c r="F18">
        <v>0.78</v>
      </c>
      <c r="G18">
        <v>0.969753086419753</v>
      </c>
      <c r="H18">
        <v>0.46785218663227085</v>
      </c>
    </row>
    <row r="19" spans="1:8" x14ac:dyDescent="0.35">
      <c r="A19">
        <v>81</v>
      </c>
      <c r="B19" t="s">
        <v>83</v>
      </c>
      <c r="C19" t="str">
        <f>_xlfn.CONCAT(A19,B19,F19)</f>
        <v>81151-2000.78</v>
      </c>
      <c r="D19" s="6">
        <v>0.1176</v>
      </c>
      <c r="E19">
        <v>135</v>
      </c>
      <c r="F19">
        <v>0.78</v>
      </c>
      <c r="G19">
        <v>0.98518518518518505</v>
      </c>
      <c r="H19">
        <v>0.52233391726918288</v>
      </c>
    </row>
    <row r="20" spans="1:8" x14ac:dyDescent="0.35">
      <c r="A20">
        <v>81</v>
      </c>
      <c r="B20" t="s">
        <v>90</v>
      </c>
      <c r="C20" t="str">
        <f>_xlfn.CONCAT(A20,B20,F20)</f>
        <v>81201-2500.78</v>
      </c>
      <c r="D20" s="6">
        <v>0.23530000000000001</v>
      </c>
      <c r="E20">
        <v>183</v>
      </c>
      <c r="F20">
        <v>0.78</v>
      </c>
      <c r="G20">
        <v>0.99024691358024652</v>
      </c>
      <c r="H20">
        <v>0.54899990090390927</v>
      </c>
    </row>
    <row r="21" spans="1:8" x14ac:dyDescent="0.35">
      <c r="A21">
        <v>81</v>
      </c>
      <c r="B21" t="s">
        <v>85</v>
      </c>
      <c r="C21" t="str">
        <f>_xlfn.CONCAT(A21,B21,F21)</f>
        <v>81251-3000.78</v>
      </c>
      <c r="D21" s="6">
        <v>0.23530000000000001</v>
      </c>
      <c r="E21">
        <v>215</v>
      </c>
      <c r="F21">
        <v>0.78</v>
      </c>
      <c r="G21">
        <v>0.99135802469135814</v>
      </c>
      <c r="H21">
        <v>0.58335142488550784</v>
      </c>
    </row>
    <row r="22" spans="1:8" x14ac:dyDescent="0.35">
      <c r="A22">
        <v>81</v>
      </c>
      <c r="B22" t="s">
        <v>86</v>
      </c>
      <c r="C22" t="str">
        <f>_xlfn.CONCAT(A22,B22,F22)</f>
        <v>81300+0.78</v>
      </c>
      <c r="D22" s="6">
        <v>8.4000000000000005E-2</v>
      </c>
      <c r="E22">
        <v>261</v>
      </c>
      <c r="F22">
        <v>0.78</v>
      </c>
      <c r="G22">
        <v>0.99370370370370376</v>
      </c>
      <c r="H22">
        <v>0.58864537497945768</v>
      </c>
    </row>
    <row r="23" spans="1:8" x14ac:dyDescent="0.35">
      <c r="A23">
        <v>85</v>
      </c>
      <c r="B23" t="s">
        <v>80</v>
      </c>
      <c r="C23" t="str">
        <f>_xlfn.CONCAT(A23,B23,F23)</f>
        <v>850-500.78</v>
      </c>
      <c r="D23" s="6">
        <v>6.7199999999999996E-2</v>
      </c>
      <c r="E23">
        <v>32</v>
      </c>
      <c r="F23">
        <v>0.78</v>
      </c>
      <c r="G23">
        <v>0.84988235294117631</v>
      </c>
      <c r="H23">
        <v>0.4589375350068513</v>
      </c>
    </row>
    <row r="24" spans="1:8" x14ac:dyDescent="0.35">
      <c r="A24">
        <v>85</v>
      </c>
      <c r="B24" t="s">
        <v>81</v>
      </c>
      <c r="C24" t="str">
        <f>_xlfn.CONCAT(A24,B24,F24)</f>
        <v>8551-1000.78</v>
      </c>
      <c r="D24" s="6">
        <v>0.1429</v>
      </c>
      <c r="E24">
        <v>61</v>
      </c>
      <c r="F24">
        <v>0.78</v>
      </c>
      <c r="G24">
        <v>0.89835294117646936</v>
      </c>
      <c r="H24">
        <v>0.48174287167399171</v>
      </c>
    </row>
    <row r="25" spans="1:8" x14ac:dyDescent="0.35">
      <c r="A25">
        <v>85</v>
      </c>
      <c r="B25" t="s">
        <v>89</v>
      </c>
      <c r="C25" t="str">
        <f>_xlfn.CONCAT(A25,B25,F25)</f>
        <v>85101-1500.78</v>
      </c>
      <c r="D25" s="6">
        <v>0.1176</v>
      </c>
      <c r="E25">
        <v>99</v>
      </c>
      <c r="F25">
        <v>0.78</v>
      </c>
      <c r="G25">
        <v>0.92917647058823449</v>
      </c>
      <c r="H25">
        <v>0.50814165408378176</v>
      </c>
    </row>
    <row r="26" spans="1:8" x14ac:dyDescent="0.35">
      <c r="A26">
        <v>85</v>
      </c>
      <c r="B26" t="s">
        <v>83</v>
      </c>
      <c r="C26" t="str">
        <f>_xlfn.CONCAT(A26,B26,F26)</f>
        <v>85151-2000.78</v>
      </c>
      <c r="D26" s="6">
        <v>0.1176</v>
      </c>
      <c r="E26">
        <v>135</v>
      </c>
      <c r="F26">
        <v>0.78</v>
      </c>
      <c r="G26">
        <v>0.97423529411764642</v>
      </c>
      <c r="H26">
        <v>0.55605234711726825</v>
      </c>
    </row>
    <row r="27" spans="1:8" x14ac:dyDescent="0.35">
      <c r="A27">
        <v>85</v>
      </c>
      <c r="B27" t="s">
        <v>90</v>
      </c>
      <c r="C27" t="str">
        <f>_xlfn.CONCAT(A27,B27,F27)</f>
        <v>85201-2500.78</v>
      </c>
      <c r="D27" s="6">
        <v>0.23530000000000001</v>
      </c>
      <c r="E27">
        <v>183</v>
      </c>
      <c r="F27">
        <v>0.78</v>
      </c>
      <c r="G27">
        <v>0.98258823529411743</v>
      </c>
      <c r="H27">
        <v>0.59482668588710008</v>
      </c>
    </row>
    <row r="28" spans="1:8" x14ac:dyDescent="0.35">
      <c r="A28">
        <v>85</v>
      </c>
      <c r="B28" t="s">
        <v>85</v>
      </c>
      <c r="C28" t="str">
        <f>_xlfn.CONCAT(A28,B28,F28)</f>
        <v>85251-3000.78</v>
      </c>
      <c r="D28" s="6">
        <v>0.23530000000000001</v>
      </c>
      <c r="E28">
        <v>215</v>
      </c>
      <c r="F28">
        <v>0.78</v>
      </c>
      <c r="G28">
        <v>0.98823529411764666</v>
      </c>
      <c r="H28">
        <v>0.60523407529893047</v>
      </c>
    </row>
    <row r="29" spans="1:8" x14ac:dyDescent="0.35">
      <c r="A29">
        <v>85</v>
      </c>
      <c r="B29" t="s">
        <v>86</v>
      </c>
      <c r="C29" t="str">
        <f>_xlfn.CONCAT(A29,B29,F29)</f>
        <v>85300+0.78</v>
      </c>
      <c r="D29" s="6">
        <v>8.4000000000000005E-2</v>
      </c>
      <c r="E29">
        <v>261</v>
      </c>
      <c r="F29">
        <v>0.78</v>
      </c>
      <c r="G29">
        <v>0.99423529411764688</v>
      </c>
      <c r="H29">
        <v>0.6108744034033452</v>
      </c>
    </row>
    <row r="30" spans="1:8" x14ac:dyDescent="0.35">
      <c r="A30">
        <v>89</v>
      </c>
      <c r="B30" t="s">
        <v>80</v>
      </c>
      <c r="C30" t="str">
        <f>_xlfn.CONCAT(A30,B30,F30)</f>
        <v>890-500.78</v>
      </c>
      <c r="D30" s="6">
        <v>6.7199999999999996E-2</v>
      </c>
      <c r="E30">
        <v>32</v>
      </c>
      <c r="F30">
        <v>0.78</v>
      </c>
      <c r="G30">
        <v>0.84876404494381963</v>
      </c>
      <c r="H30">
        <v>0.44263827008203571</v>
      </c>
    </row>
    <row r="31" spans="1:8" x14ac:dyDescent="0.35">
      <c r="A31">
        <v>89</v>
      </c>
      <c r="B31" t="s">
        <v>81</v>
      </c>
      <c r="C31" t="str">
        <f>_xlfn.CONCAT(A31,B31,F31)</f>
        <v>8951-1000.78</v>
      </c>
      <c r="D31" s="6">
        <v>0.1429</v>
      </c>
      <c r="E31">
        <v>61</v>
      </c>
      <c r="F31">
        <v>0.78</v>
      </c>
      <c r="G31">
        <v>0.90213483146067475</v>
      </c>
      <c r="H31">
        <v>0.49738335167164843</v>
      </c>
    </row>
    <row r="32" spans="1:8" x14ac:dyDescent="0.35">
      <c r="A32">
        <v>89</v>
      </c>
      <c r="B32" t="s">
        <v>89</v>
      </c>
      <c r="C32" t="str">
        <f>_xlfn.CONCAT(A32,B32,F32)</f>
        <v>89101-1500.78</v>
      </c>
      <c r="D32" s="6">
        <v>0.1176</v>
      </c>
      <c r="E32">
        <v>99</v>
      </c>
      <c r="F32">
        <v>0.78</v>
      </c>
      <c r="G32">
        <v>0.92595505617977636</v>
      </c>
      <c r="H32">
        <v>0.52093398679168212</v>
      </c>
    </row>
    <row r="33" spans="1:8" x14ac:dyDescent="0.35">
      <c r="A33">
        <v>89</v>
      </c>
      <c r="B33" t="s">
        <v>83</v>
      </c>
      <c r="C33" t="str">
        <f>_xlfn.CONCAT(A33,B33,F33)</f>
        <v>89151-2000.78</v>
      </c>
      <c r="D33" s="6">
        <v>0.1176</v>
      </c>
      <c r="E33">
        <v>135</v>
      </c>
      <c r="F33">
        <v>0.78</v>
      </c>
      <c r="G33">
        <v>0.9769662921348321</v>
      </c>
      <c r="H33">
        <v>0.56541925591995534</v>
      </c>
    </row>
    <row r="34" spans="1:8" x14ac:dyDescent="0.35">
      <c r="A34">
        <v>89</v>
      </c>
      <c r="B34" t="s">
        <v>90</v>
      </c>
      <c r="C34" t="str">
        <f>_xlfn.CONCAT(A34,B34,F34)</f>
        <v>89201-2500.78</v>
      </c>
      <c r="D34" s="6">
        <v>0.23530000000000001</v>
      </c>
      <c r="E34">
        <v>183</v>
      </c>
      <c r="F34">
        <v>0.78</v>
      </c>
      <c r="G34">
        <v>0.98584269662921375</v>
      </c>
      <c r="H34">
        <v>0.59872865004576981</v>
      </c>
    </row>
    <row r="35" spans="1:8" x14ac:dyDescent="0.35">
      <c r="A35">
        <v>89</v>
      </c>
      <c r="B35" t="s">
        <v>85</v>
      </c>
      <c r="C35" t="str">
        <f>_xlfn.CONCAT(A35,B35,F35)</f>
        <v>89251-3000.78</v>
      </c>
      <c r="D35" s="6">
        <v>0.23530000000000001</v>
      </c>
      <c r="E35">
        <v>215</v>
      </c>
      <c r="F35">
        <v>0.78</v>
      </c>
      <c r="G35">
        <v>0.98741573033707908</v>
      </c>
      <c r="H35">
        <v>0.60313774977185486</v>
      </c>
    </row>
    <row r="36" spans="1:8" x14ac:dyDescent="0.35">
      <c r="A36">
        <v>89</v>
      </c>
      <c r="B36" t="s">
        <v>86</v>
      </c>
      <c r="C36" t="str">
        <f>_xlfn.CONCAT(A36,B36,F36)</f>
        <v>89300+0.78</v>
      </c>
      <c r="D36" s="6">
        <v>8.4000000000000005E-2</v>
      </c>
      <c r="E36">
        <v>261</v>
      </c>
      <c r="F36">
        <v>0.78</v>
      </c>
      <c r="G36">
        <v>0.99460674157303386</v>
      </c>
      <c r="H36">
        <v>0.62100717086905255</v>
      </c>
    </row>
    <row r="37" spans="1:8" x14ac:dyDescent="0.35">
      <c r="A37">
        <v>100</v>
      </c>
      <c r="B37" t="s">
        <v>80</v>
      </c>
      <c r="C37" t="str">
        <f>_xlfn.CONCAT(A37,B37,F37)</f>
        <v>1000-500.78</v>
      </c>
      <c r="D37" s="6">
        <v>6.7199999999999996E-2</v>
      </c>
      <c r="E37">
        <v>32</v>
      </c>
      <c r="F37">
        <v>0.78</v>
      </c>
      <c r="G37">
        <v>0.73089999999999988</v>
      </c>
      <c r="H37">
        <v>0.43049056576593342</v>
      </c>
    </row>
    <row r="38" spans="1:8" x14ac:dyDescent="0.35">
      <c r="A38">
        <v>100</v>
      </c>
      <c r="B38" t="s">
        <v>81</v>
      </c>
      <c r="C38" t="str">
        <f>_xlfn.CONCAT(A38,B38,F38)</f>
        <v>10051-1000.78</v>
      </c>
      <c r="D38" s="6">
        <v>0.1429</v>
      </c>
      <c r="E38">
        <v>61</v>
      </c>
      <c r="F38">
        <v>0.78</v>
      </c>
      <c r="G38">
        <v>0.77510000000000023</v>
      </c>
      <c r="H38">
        <v>0.51884843867409725</v>
      </c>
    </row>
    <row r="39" spans="1:8" x14ac:dyDescent="0.35">
      <c r="A39">
        <v>100</v>
      </c>
      <c r="B39" t="s">
        <v>89</v>
      </c>
      <c r="C39" t="str">
        <f>_xlfn.CONCAT(A39,B39,F39)</f>
        <v>100101-1500.78</v>
      </c>
      <c r="D39" s="6">
        <v>0.1176</v>
      </c>
      <c r="E39">
        <v>99</v>
      </c>
      <c r="F39">
        <v>0.78</v>
      </c>
      <c r="G39">
        <v>0.8444999999999997</v>
      </c>
      <c r="H39">
        <v>0.54259491554956352</v>
      </c>
    </row>
    <row r="40" spans="1:8" x14ac:dyDescent="0.35">
      <c r="A40">
        <v>100</v>
      </c>
      <c r="B40" t="s">
        <v>83</v>
      </c>
      <c r="C40" t="str">
        <f>_xlfn.CONCAT(A40,B40,F40)</f>
        <v>100151-2000.78</v>
      </c>
      <c r="D40" s="6">
        <v>0.1176</v>
      </c>
      <c r="E40">
        <v>135</v>
      </c>
      <c r="F40">
        <v>0.78</v>
      </c>
      <c r="G40">
        <v>0.94829999999999959</v>
      </c>
      <c r="H40">
        <v>0.58984357407905452</v>
      </c>
    </row>
    <row r="41" spans="1:8" x14ac:dyDescent="0.35">
      <c r="A41">
        <v>100</v>
      </c>
      <c r="B41" t="s">
        <v>90</v>
      </c>
      <c r="C41" t="str">
        <f>_xlfn.CONCAT(A41,B41,F41)</f>
        <v>100201-2500.78</v>
      </c>
      <c r="D41" s="6">
        <v>0.23530000000000001</v>
      </c>
      <c r="E41">
        <v>183</v>
      </c>
      <c r="F41">
        <v>0.78</v>
      </c>
      <c r="G41">
        <v>0.96779999999999999</v>
      </c>
      <c r="H41">
        <v>0.60659411017607578</v>
      </c>
    </row>
    <row r="42" spans="1:8" x14ac:dyDescent="0.35">
      <c r="A42">
        <v>100</v>
      </c>
      <c r="B42" t="s">
        <v>85</v>
      </c>
      <c r="C42" t="str">
        <f>_xlfn.CONCAT(A42,B42,F42)</f>
        <v>100251-3000.78</v>
      </c>
      <c r="D42" s="6">
        <v>0.23530000000000001</v>
      </c>
      <c r="E42">
        <v>215</v>
      </c>
      <c r="F42">
        <v>0.78</v>
      </c>
      <c r="G42">
        <v>0.97909999999999986</v>
      </c>
      <c r="H42">
        <v>0.6258654595543417</v>
      </c>
    </row>
    <row r="43" spans="1:8" x14ac:dyDescent="0.35">
      <c r="A43">
        <v>100</v>
      </c>
      <c r="B43" t="s">
        <v>86</v>
      </c>
      <c r="C43" t="str">
        <f>_xlfn.CONCAT(A43,B43,F43)</f>
        <v>100300+0.78</v>
      </c>
      <c r="D43" s="6">
        <v>8.4000000000000005E-2</v>
      </c>
      <c r="E43">
        <v>261</v>
      </c>
      <c r="F43">
        <v>0.78</v>
      </c>
      <c r="G43">
        <v>0.98119999999999974</v>
      </c>
      <c r="H43">
        <v>0.57334773702254938</v>
      </c>
    </row>
    <row r="44" spans="1:8" x14ac:dyDescent="0.35">
      <c r="A44">
        <v>106</v>
      </c>
      <c r="B44" t="s">
        <v>80</v>
      </c>
      <c r="C44" t="str">
        <f>_xlfn.CONCAT(A44,B44,F44)</f>
        <v>1060-500.78</v>
      </c>
      <c r="D44" s="6">
        <v>6.7199999999999996E-2</v>
      </c>
      <c r="E44">
        <v>32</v>
      </c>
      <c r="F44">
        <v>0.78</v>
      </c>
      <c r="G44">
        <v>0.7749056603773582</v>
      </c>
      <c r="H44">
        <v>0.43892344759599494</v>
      </c>
    </row>
    <row r="45" spans="1:8" x14ac:dyDescent="0.35">
      <c r="A45">
        <v>106</v>
      </c>
      <c r="B45" t="s">
        <v>81</v>
      </c>
      <c r="C45" t="str">
        <f>_xlfn.CONCAT(A45,B45,F45)</f>
        <v>10651-1000.78</v>
      </c>
      <c r="D45" s="6">
        <v>0.1429</v>
      </c>
      <c r="E45">
        <v>61</v>
      </c>
      <c r="F45">
        <v>0.78</v>
      </c>
      <c r="G45">
        <v>0.75613207547169792</v>
      </c>
      <c r="H45">
        <v>0.51965167887692187</v>
      </c>
    </row>
    <row r="46" spans="1:8" x14ac:dyDescent="0.35">
      <c r="A46">
        <v>106</v>
      </c>
      <c r="B46" t="s">
        <v>89</v>
      </c>
      <c r="C46" t="str">
        <f>_xlfn.CONCAT(A46,B46,F46)</f>
        <v>106101-1500.78</v>
      </c>
      <c r="D46" s="6">
        <v>0.1176</v>
      </c>
      <c r="E46">
        <v>99</v>
      </c>
      <c r="F46">
        <v>0.78</v>
      </c>
      <c r="G46">
        <v>0.80726415094339676</v>
      </c>
      <c r="H46">
        <v>0.57103198883336748</v>
      </c>
    </row>
    <row r="47" spans="1:8" x14ac:dyDescent="0.35">
      <c r="A47">
        <v>106</v>
      </c>
      <c r="B47" t="s">
        <v>83</v>
      </c>
      <c r="C47" t="str">
        <f>_xlfn.CONCAT(A47,B47,F47)</f>
        <v>106151-2000.78</v>
      </c>
      <c r="D47" s="6">
        <v>0.1176</v>
      </c>
      <c r="E47">
        <v>135</v>
      </c>
      <c r="F47">
        <v>0.78</v>
      </c>
      <c r="G47">
        <v>0.87254716981132108</v>
      </c>
      <c r="H47">
        <v>0.60913345823194309</v>
      </c>
    </row>
    <row r="48" spans="1:8" x14ac:dyDescent="0.35">
      <c r="A48">
        <v>106</v>
      </c>
      <c r="B48" t="s">
        <v>90</v>
      </c>
      <c r="C48" t="str">
        <f>_xlfn.CONCAT(A48,B48,F48)</f>
        <v>106201-2500.78</v>
      </c>
      <c r="D48" s="6">
        <v>0.23530000000000001</v>
      </c>
      <c r="E48">
        <v>183</v>
      </c>
      <c r="F48">
        <v>0.78</v>
      </c>
      <c r="G48">
        <v>0.90584905660377346</v>
      </c>
      <c r="H48">
        <v>0.63199374392399943</v>
      </c>
    </row>
    <row r="49" spans="1:8" x14ac:dyDescent="0.35">
      <c r="A49">
        <v>106</v>
      </c>
      <c r="B49" t="s">
        <v>85</v>
      </c>
      <c r="C49" t="str">
        <f>_xlfn.CONCAT(A49,B49,F49)</f>
        <v>106251-3000.78</v>
      </c>
      <c r="D49" s="6">
        <v>0.23530000000000001</v>
      </c>
      <c r="E49">
        <v>215</v>
      </c>
      <c r="F49">
        <v>0.78</v>
      </c>
      <c r="G49">
        <v>0.95349056603773552</v>
      </c>
      <c r="H49">
        <v>0.6156562869629435</v>
      </c>
    </row>
    <row r="50" spans="1:8" x14ac:dyDescent="0.35">
      <c r="A50">
        <v>106</v>
      </c>
      <c r="B50" t="s">
        <v>86</v>
      </c>
      <c r="C50" t="str">
        <f>_xlfn.CONCAT(A50,B50,F50)</f>
        <v>106300+0.78</v>
      </c>
      <c r="D50" s="6">
        <v>8.4000000000000005E-2</v>
      </c>
      <c r="E50">
        <v>261</v>
      </c>
      <c r="F50">
        <v>0.78</v>
      </c>
      <c r="G50">
        <v>0.95971698113207549</v>
      </c>
      <c r="H50">
        <v>0.62596647009543616</v>
      </c>
    </row>
    <row r="51" spans="1:8" x14ac:dyDescent="0.35">
      <c r="A51">
        <v>117</v>
      </c>
      <c r="B51" t="s">
        <v>80</v>
      </c>
      <c r="C51" t="str">
        <f>_xlfn.CONCAT(A51,B51,F51)</f>
        <v>1170-500.78</v>
      </c>
      <c r="D51" s="6">
        <v>6.7199999999999996E-2</v>
      </c>
      <c r="E51">
        <v>32</v>
      </c>
      <c r="F51">
        <v>0.78</v>
      </c>
      <c r="G51">
        <v>0.79025641025640991</v>
      </c>
      <c r="H51">
        <v>0.47953255286381491</v>
      </c>
    </row>
    <row r="52" spans="1:8" x14ac:dyDescent="0.35">
      <c r="A52">
        <v>117</v>
      </c>
      <c r="B52" t="s">
        <v>81</v>
      </c>
      <c r="C52" t="str">
        <f>_xlfn.CONCAT(A52,B52,F52)</f>
        <v>11751-1000.78</v>
      </c>
      <c r="D52" s="6">
        <v>0.1429</v>
      </c>
      <c r="E52">
        <v>61</v>
      </c>
      <c r="F52">
        <v>0.78</v>
      </c>
      <c r="G52">
        <v>0.84863247863247782</v>
      </c>
      <c r="H52">
        <v>0.50701264858442363</v>
      </c>
    </row>
    <row r="53" spans="1:8" x14ac:dyDescent="0.35">
      <c r="A53">
        <v>117</v>
      </c>
      <c r="B53" t="s">
        <v>89</v>
      </c>
      <c r="C53" t="str">
        <f>_xlfn.CONCAT(A53,B53,F53)</f>
        <v>117101-1500.78</v>
      </c>
      <c r="D53" s="6">
        <v>0.1176</v>
      </c>
      <c r="E53">
        <v>99</v>
      </c>
      <c r="F53">
        <v>0.78</v>
      </c>
      <c r="G53">
        <v>0.87803418803418753</v>
      </c>
      <c r="H53">
        <v>0.59134604740371588</v>
      </c>
    </row>
    <row r="54" spans="1:8" x14ac:dyDescent="0.35">
      <c r="A54">
        <v>117</v>
      </c>
      <c r="B54" t="s">
        <v>83</v>
      </c>
      <c r="C54" t="str">
        <f>_xlfn.CONCAT(A54,B54,F54)</f>
        <v>117151-2000.78</v>
      </c>
      <c r="D54" s="6">
        <v>0.1176</v>
      </c>
      <c r="E54">
        <v>135</v>
      </c>
      <c r="F54">
        <v>0.78</v>
      </c>
      <c r="G54">
        <v>0.94128205128205056</v>
      </c>
      <c r="H54">
        <v>0.59339039596990495</v>
      </c>
    </row>
    <row r="55" spans="1:8" x14ac:dyDescent="0.35">
      <c r="A55">
        <v>117</v>
      </c>
      <c r="B55" t="s">
        <v>90</v>
      </c>
      <c r="C55" t="str">
        <f>_xlfn.CONCAT(A55,B55,F55)</f>
        <v>117201-2500.78</v>
      </c>
      <c r="D55" s="6">
        <v>0.23530000000000001</v>
      </c>
      <c r="E55">
        <v>183</v>
      </c>
      <c r="F55">
        <v>0.78</v>
      </c>
      <c r="G55">
        <v>0.96119658119658025</v>
      </c>
      <c r="H55">
        <v>0.64339487000178186</v>
      </c>
    </row>
    <row r="56" spans="1:8" x14ac:dyDescent="0.35">
      <c r="A56">
        <v>117</v>
      </c>
      <c r="B56" t="s">
        <v>85</v>
      </c>
      <c r="C56" t="str">
        <f>_xlfn.CONCAT(A56,B56,F56)</f>
        <v>117251-3000.78</v>
      </c>
      <c r="D56" s="6">
        <v>0.23530000000000001</v>
      </c>
      <c r="E56">
        <v>215</v>
      </c>
      <c r="F56">
        <v>0.78</v>
      </c>
      <c r="G56">
        <v>0.98376068376068315</v>
      </c>
      <c r="H56">
        <v>0.6693261724508085</v>
      </c>
    </row>
    <row r="57" spans="1:8" x14ac:dyDescent="0.35">
      <c r="A57">
        <v>117</v>
      </c>
      <c r="B57" t="s">
        <v>86</v>
      </c>
      <c r="C57" t="str">
        <f>_xlfn.CONCAT(A57,B57,F57)</f>
        <v>117300+0.78</v>
      </c>
      <c r="D57" s="6">
        <v>8.4000000000000005E-2</v>
      </c>
      <c r="E57">
        <v>261</v>
      </c>
      <c r="F57">
        <v>0.78</v>
      </c>
      <c r="G57">
        <v>0.99059829059828997</v>
      </c>
      <c r="H57">
        <v>0.66025401595687194</v>
      </c>
    </row>
    <row r="58" spans="1:8" x14ac:dyDescent="0.35">
      <c r="A58">
        <v>125</v>
      </c>
      <c r="B58" t="s">
        <v>80</v>
      </c>
      <c r="C58" t="str">
        <f>_xlfn.CONCAT(A58,B58,F58)</f>
        <v>1250-500.78</v>
      </c>
      <c r="D58" s="6">
        <v>6.7199999999999996E-2</v>
      </c>
      <c r="E58">
        <v>32</v>
      </c>
      <c r="F58">
        <v>0.78</v>
      </c>
      <c r="G58">
        <v>0.64440000000000042</v>
      </c>
      <c r="H58">
        <v>0.44820110460928597</v>
      </c>
    </row>
    <row r="59" spans="1:8" x14ac:dyDescent="0.35">
      <c r="A59">
        <v>125</v>
      </c>
      <c r="B59" t="s">
        <v>81</v>
      </c>
      <c r="C59" t="str">
        <f>_xlfn.CONCAT(A59,B59,F59)</f>
        <v>12551-1000.78</v>
      </c>
      <c r="D59" s="6">
        <v>0.1429</v>
      </c>
      <c r="E59">
        <v>61</v>
      </c>
      <c r="F59">
        <v>0.78</v>
      </c>
      <c r="G59">
        <v>0.68216000000000032</v>
      </c>
      <c r="H59">
        <v>0.5340700611059398</v>
      </c>
    </row>
    <row r="60" spans="1:8" x14ac:dyDescent="0.35">
      <c r="A60">
        <v>125</v>
      </c>
      <c r="B60" t="s">
        <v>89</v>
      </c>
      <c r="C60" t="str">
        <f>_xlfn.CONCAT(A60,B60,F60)</f>
        <v>125101-1500.78</v>
      </c>
      <c r="D60" s="6">
        <v>0.1176</v>
      </c>
      <c r="E60">
        <v>99</v>
      </c>
      <c r="F60">
        <v>0.78</v>
      </c>
      <c r="G60">
        <v>0.79264000000000012</v>
      </c>
      <c r="H60">
        <v>0.61486697235303722</v>
      </c>
    </row>
    <row r="61" spans="1:8" x14ac:dyDescent="0.35">
      <c r="A61">
        <v>125</v>
      </c>
      <c r="B61" t="s">
        <v>83</v>
      </c>
      <c r="C61" t="str">
        <f>_xlfn.CONCAT(A61,B61,F61)</f>
        <v>125151-2000.78</v>
      </c>
      <c r="D61" s="6">
        <v>0.1176</v>
      </c>
      <c r="E61">
        <v>135</v>
      </c>
      <c r="F61">
        <v>0.78</v>
      </c>
      <c r="G61">
        <v>0.83184000000000036</v>
      </c>
      <c r="H61">
        <v>0.62185092865107794</v>
      </c>
    </row>
    <row r="62" spans="1:8" x14ac:dyDescent="0.35">
      <c r="A62">
        <v>125</v>
      </c>
      <c r="B62" t="s">
        <v>90</v>
      </c>
      <c r="C62" t="str">
        <f>_xlfn.CONCAT(A62,B62,F62)</f>
        <v>125201-2500.78</v>
      </c>
      <c r="D62" s="6">
        <v>0.23530000000000001</v>
      </c>
      <c r="E62">
        <v>183</v>
      </c>
      <c r="F62">
        <v>0.78</v>
      </c>
      <c r="G62">
        <v>0.87800000000000056</v>
      </c>
      <c r="H62">
        <v>0.66716221200297099</v>
      </c>
    </row>
    <row r="63" spans="1:8" x14ac:dyDescent="0.35">
      <c r="A63">
        <v>125</v>
      </c>
      <c r="B63" t="s">
        <v>85</v>
      </c>
      <c r="C63" t="str">
        <f>_xlfn.CONCAT(A63,B63,F63)</f>
        <v>125251-3000.78</v>
      </c>
      <c r="D63" s="6">
        <v>0.23530000000000001</v>
      </c>
      <c r="E63">
        <v>215</v>
      </c>
      <c r="F63">
        <v>0.78</v>
      </c>
      <c r="G63">
        <v>0.84648000000000023</v>
      </c>
      <c r="H63">
        <v>0.65211657365282871</v>
      </c>
    </row>
    <row r="64" spans="1:8" x14ac:dyDescent="0.35">
      <c r="A64">
        <v>125</v>
      </c>
      <c r="B64" t="s">
        <v>86</v>
      </c>
      <c r="C64" t="str">
        <f>_xlfn.CONCAT(A64,B64,F64)</f>
        <v>125300+0.78</v>
      </c>
      <c r="D64" s="6">
        <v>8.4000000000000005E-2</v>
      </c>
      <c r="E64">
        <v>261</v>
      </c>
      <c r="F64">
        <v>0.78</v>
      </c>
      <c r="G64">
        <v>0.93400000000000016</v>
      </c>
      <c r="H64">
        <v>0.68071854546444555</v>
      </c>
    </row>
    <row r="65" spans="1:8" x14ac:dyDescent="0.35">
      <c r="A65">
        <v>133</v>
      </c>
      <c r="B65" t="s">
        <v>80</v>
      </c>
      <c r="C65" t="str">
        <f>_xlfn.CONCAT(A65,B65,F65)</f>
        <v>1330-500.78</v>
      </c>
      <c r="D65" s="6">
        <v>6.7199999999999996E-2</v>
      </c>
      <c r="E65">
        <v>32</v>
      </c>
      <c r="F65">
        <v>0.78</v>
      </c>
      <c r="G65">
        <v>0.65105263157894744</v>
      </c>
      <c r="H65">
        <v>0.49448293940547494</v>
      </c>
    </row>
    <row r="66" spans="1:8" x14ac:dyDescent="0.35">
      <c r="A66">
        <v>133</v>
      </c>
      <c r="B66" t="s">
        <v>81</v>
      </c>
      <c r="C66" t="str">
        <f>_xlfn.CONCAT(A66,B66,F66)</f>
        <v>13351-1000.78</v>
      </c>
      <c r="D66" s="6">
        <v>0.1429</v>
      </c>
      <c r="E66">
        <v>61</v>
      </c>
      <c r="F66">
        <v>0.78</v>
      </c>
      <c r="G66">
        <v>0.72060150375939858</v>
      </c>
      <c r="H66">
        <v>0.56657965055864923</v>
      </c>
    </row>
    <row r="67" spans="1:8" x14ac:dyDescent="0.35">
      <c r="A67">
        <v>133</v>
      </c>
      <c r="B67" t="s">
        <v>89</v>
      </c>
      <c r="C67" t="str">
        <f>_xlfn.CONCAT(A67,B67,F67)</f>
        <v>133101-1500.78</v>
      </c>
      <c r="D67" s="6">
        <v>0.1176</v>
      </c>
      <c r="E67">
        <v>99</v>
      </c>
      <c r="F67">
        <v>0.78</v>
      </c>
      <c r="G67">
        <v>0.76639097744360896</v>
      </c>
      <c r="H67">
        <v>0.59679393057026109</v>
      </c>
    </row>
    <row r="68" spans="1:8" x14ac:dyDescent="0.35">
      <c r="A68">
        <v>133</v>
      </c>
      <c r="B68" t="s">
        <v>83</v>
      </c>
      <c r="C68" t="str">
        <f>_xlfn.CONCAT(A68,B68,F68)</f>
        <v>133151-2000.78</v>
      </c>
      <c r="D68" s="6">
        <v>0.1176</v>
      </c>
      <c r="E68">
        <v>135</v>
      </c>
      <c r="F68">
        <v>0.78</v>
      </c>
      <c r="G68">
        <v>0.8140601503759396</v>
      </c>
      <c r="H68">
        <v>0.63763869315852484</v>
      </c>
    </row>
    <row r="69" spans="1:8" x14ac:dyDescent="0.35">
      <c r="A69">
        <v>133</v>
      </c>
      <c r="B69" t="s">
        <v>90</v>
      </c>
      <c r="C69" t="str">
        <f>_xlfn.CONCAT(A69,B69,F69)</f>
        <v>133201-2500.78</v>
      </c>
      <c r="D69" s="6">
        <v>0.23530000000000001</v>
      </c>
      <c r="E69">
        <v>183</v>
      </c>
      <c r="F69">
        <v>0.78</v>
      </c>
      <c r="G69">
        <v>0.84646616541353381</v>
      </c>
      <c r="H69">
        <v>0.65719460696776144</v>
      </c>
    </row>
    <row r="70" spans="1:8" x14ac:dyDescent="0.35">
      <c r="A70">
        <v>133</v>
      </c>
      <c r="B70" t="s">
        <v>85</v>
      </c>
      <c r="C70" t="str">
        <f>_xlfn.CONCAT(A70,B70,F70)</f>
        <v>133251-3000.78</v>
      </c>
      <c r="D70" s="6">
        <v>0.23530000000000001</v>
      </c>
      <c r="E70">
        <v>215</v>
      </c>
      <c r="F70">
        <v>0.78</v>
      </c>
      <c r="G70">
        <v>0.8722556390977444</v>
      </c>
      <c r="H70">
        <v>0.66133001868681618</v>
      </c>
    </row>
    <row r="71" spans="1:8" x14ac:dyDescent="0.35">
      <c r="A71">
        <v>133</v>
      </c>
      <c r="B71" t="s">
        <v>86</v>
      </c>
      <c r="C71" t="str">
        <f>_xlfn.CONCAT(A71,B71,F71)</f>
        <v>133300+0.78</v>
      </c>
      <c r="D71" s="6">
        <v>8.4000000000000005E-2</v>
      </c>
      <c r="E71">
        <v>261</v>
      </c>
      <c r="F71">
        <v>0.78</v>
      </c>
      <c r="G71">
        <v>0.90052631578947429</v>
      </c>
      <c r="H71">
        <v>0.6720446565460173</v>
      </c>
    </row>
    <row r="72" spans="1:8" x14ac:dyDescent="0.35">
      <c r="A72">
        <v>60</v>
      </c>
      <c r="B72" t="s">
        <v>80</v>
      </c>
      <c r="C72" t="str">
        <f>_xlfn.CONCAT(A72,B72,F72)</f>
        <v>600-500.52</v>
      </c>
      <c r="D72" s="6">
        <v>6.7199999999999996E-2</v>
      </c>
      <c r="E72">
        <v>22</v>
      </c>
      <c r="F72">
        <v>0.52</v>
      </c>
      <c r="G72">
        <v>0.95766666666666667</v>
      </c>
      <c r="H72">
        <v>0.34339220305938312</v>
      </c>
    </row>
    <row r="73" spans="1:8" x14ac:dyDescent="0.35">
      <c r="A73">
        <v>60</v>
      </c>
      <c r="B73" t="s">
        <v>81</v>
      </c>
      <c r="C73" t="str">
        <f>_xlfn.CONCAT(A73,B73,F73)</f>
        <v>6051-1000.52</v>
      </c>
      <c r="D73" s="6">
        <v>0.1429</v>
      </c>
      <c r="E73">
        <v>41</v>
      </c>
      <c r="F73">
        <v>0.52</v>
      </c>
      <c r="G73">
        <v>0.98083333333333411</v>
      </c>
      <c r="H73">
        <v>0.41086006395964403</v>
      </c>
    </row>
    <row r="74" spans="1:8" x14ac:dyDescent="0.35">
      <c r="A74">
        <v>60</v>
      </c>
      <c r="B74" t="s">
        <v>89</v>
      </c>
      <c r="C74" t="str">
        <f>_xlfn.CONCAT(A74,B74,F74)</f>
        <v>60101-1500.52</v>
      </c>
      <c r="D74" s="6">
        <v>0.1176</v>
      </c>
      <c r="E74">
        <v>66</v>
      </c>
      <c r="F74">
        <v>0.52</v>
      </c>
      <c r="G74">
        <v>0.9871666666666673</v>
      </c>
      <c r="H74">
        <v>0.44646545033982382</v>
      </c>
    </row>
    <row r="75" spans="1:8" x14ac:dyDescent="0.35">
      <c r="A75">
        <v>60</v>
      </c>
      <c r="B75" t="s">
        <v>83</v>
      </c>
      <c r="C75" t="str">
        <f>_xlfn.CONCAT(A75,B75,F75)</f>
        <v>60151-2000.52</v>
      </c>
      <c r="D75" s="6">
        <v>0.1176</v>
      </c>
      <c r="E75">
        <v>90</v>
      </c>
      <c r="F75">
        <v>0.52</v>
      </c>
      <c r="G75">
        <v>0.98616666666666675</v>
      </c>
      <c r="H75">
        <v>0.4850497631092236</v>
      </c>
    </row>
    <row r="76" spans="1:8" x14ac:dyDescent="0.35">
      <c r="A76">
        <v>60</v>
      </c>
      <c r="B76" t="s">
        <v>90</v>
      </c>
      <c r="C76" t="str">
        <f>_xlfn.CONCAT(A76,B76,F76)</f>
        <v>60201-2500.52</v>
      </c>
      <c r="D76" s="6">
        <v>0.23530000000000001</v>
      </c>
      <c r="E76">
        <v>122</v>
      </c>
      <c r="F76">
        <v>0.52</v>
      </c>
      <c r="G76">
        <v>0.98950000000000005</v>
      </c>
      <c r="H76">
        <v>0.57948787822811509</v>
      </c>
    </row>
    <row r="77" spans="1:8" x14ac:dyDescent="0.35">
      <c r="A77">
        <v>60</v>
      </c>
      <c r="B77" t="s">
        <v>85</v>
      </c>
      <c r="C77" t="str">
        <f>_xlfn.CONCAT(A77,B77,F77)</f>
        <v>60251-3000.52</v>
      </c>
      <c r="D77" s="6">
        <v>0.23530000000000001</v>
      </c>
      <c r="E77">
        <v>144</v>
      </c>
      <c r="F77">
        <v>0.52</v>
      </c>
      <c r="G77">
        <v>0.99100000000000021</v>
      </c>
      <c r="H77">
        <v>0.5770009458542894</v>
      </c>
    </row>
    <row r="78" spans="1:8" x14ac:dyDescent="0.35">
      <c r="A78">
        <v>60</v>
      </c>
      <c r="B78" t="s">
        <v>86</v>
      </c>
      <c r="C78" t="str">
        <f>_xlfn.CONCAT(A78,B78,F78)</f>
        <v>60300+0.52</v>
      </c>
      <c r="D78" s="6">
        <v>8.4000000000000005E-2</v>
      </c>
      <c r="E78">
        <v>174</v>
      </c>
      <c r="F78">
        <v>0.52</v>
      </c>
      <c r="G78">
        <v>0.9933333333333334</v>
      </c>
      <c r="H78">
        <v>0.59160181548434077</v>
      </c>
    </row>
    <row r="79" spans="1:8" x14ac:dyDescent="0.35">
      <c r="A79">
        <v>72</v>
      </c>
      <c r="B79" t="s">
        <v>80</v>
      </c>
      <c r="C79" t="str">
        <f>_xlfn.CONCAT(A79,B79,F79)</f>
        <v>720-500.52</v>
      </c>
      <c r="D79" s="6">
        <v>6.7199999999999996E-2</v>
      </c>
      <c r="E79">
        <v>22</v>
      </c>
      <c r="F79">
        <v>0.52</v>
      </c>
      <c r="G79">
        <v>0.97000000000000031</v>
      </c>
      <c r="H79">
        <v>0.36452615439459923</v>
      </c>
    </row>
    <row r="80" spans="1:8" x14ac:dyDescent="0.35">
      <c r="A80">
        <v>72</v>
      </c>
      <c r="B80" t="s">
        <v>81</v>
      </c>
      <c r="C80" t="str">
        <f>_xlfn.CONCAT(A80,B80,F80)</f>
        <v>7251-1000.52</v>
      </c>
      <c r="D80" s="6">
        <v>0.1429</v>
      </c>
      <c r="E80">
        <v>41</v>
      </c>
      <c r="F80">
        <v>0.52</v>
      </c>
      <c r="G80">
        <v>0.98458333333333381</v>
      </c>
      <c r="H80">
        <v>0.43182998685751628</v>
      </c>
    </row>
    <row r="81" spans="1:8" x14ac:dyDescent="0.35">
      <c r="A81">
        <v>72</v>
      </c>
      <c r="B81" t="s">
        <v>89</v>
      </c>
      <c r="C81" t="str">
        <f>_xlfn.CONCAT(A81,B81,F81)</f>
        <v>72101-1500.52</v>
      </c>
      <c r="D81" s="6">
        <v>0.1176</v>
      </c>
      <c r="E81">
        <v>66</v>
      </c>
      <c r="F81">
        <v>0.52</v>
      </c>
      <c r="G81">
        <v>0.98861111111111111</v>
      </c>
      <c r="H81">
        <v>0.47563831812121016</v>
      </c>
    </row>
    <row r="82" spans="1:8" x14ac:dyDescent="0.35">
      <c r="A82">
        <v>72</v>
      </c>
      <c r="B82" t="s">
        <v>83</v>
      </c>
      <c r="C82" t="str">
        <f>_xlfn.CONCAT(A82,B82,F82)</f>
        <v>72151-2000.52</v>
      </c>
      <c r="D82" s="6">
        <v>0.1176</v>
      </c>
      <c r="E82">
        <v>90</v>
      </c>
      <c r="F82">
        <v>0.52</v>
      </c>
      <c r="G82">
        <v>0.99583333333333346</v>
      </c>
      <c r="H82">
        <v>0.53430232825661617</v>
      </c>
    </row>
    <row r="83" spans="1:8" x14ac:dyDescent="0.35">
      <c r="A83">
        <v>72</v>
      </c>
      <c r="B83" t="s">
        <v>90</v>
      </c>
      <c r="C83" t="str">
        <f>_xlfn.CONCAT(A83,B83,F83)</f>
        <v>72201-2500.52</v>
      </c>
      <c r="D83" s="6">
        <v>0.23530000000000001</v>
      </c>
      <c r="E83">
        <v>122</v>
      </c>
      <c r="F83">
        <v>0.52</v>
      </c>
      <c r="G83">
        <v>0.98805555555555558</v>
      </c>
      <c r="H83">
        <v>0.60374434399902976</v>
      </c>
    </row>
    <row r="84" spans="1:8" x14ac:dyDescent="0.35">
      <c r="A84">
        <v>72</v>
      </c>
      <c r="B84" t="s">
        <v>85</v>
      </c>
      <c r="C84" t="str">
        <f>_xlfn.CONCAT(A84,B84,F84)</f>
        <v>72251-3000.52</v>
      </c>
      <c r="D84" s="6">
        <v>0.23530000000000001</v>
      </c>
      <c r="E84">
        <v>144</v>
      </c>
      <c r="F84">
        <v>0.52</v>
      </c>
      <c r="G84">
        <v>0.99708333333333343</v>
      </c>
      <c r="H84">
        <v>0.58204949901680936</v>
      </c>
    </row>
    <row r="85" spans="1:8" x14ac:dyDescent="0.35">
      <c r="A85">
        <v>72</v>
      </c>
      <c r="B85" t="s">
        <v>86</v>
      </c>
      <c r="C85" t="str">
        <f>_xlfn.CONCAT(A85,B85,F85)</f>
        <v>72300+0.52</v>
      </c>
      <c r="D85" s="6">
        <v>8.4000000000000005E-2</v>
      </c>
      <c r="E85">
        <v>174</v>
      </c>
      <c r="F85">
        <v>0.52</v>
      </c>
      <c r="G85">
        <v>0.99708333333333343</v>
      </c>
      <c r="H85">
        <v>0.60963363371476376</v>
      </c>
    </row>
    <row r="86" spans="1:8" x14ac:dyDescent="0.35">
      <c r="A86">
        <v>81</v>
      </c>
      <c r="B86" t="s">
        <v>80</v>
      </c>
      <c r="C86" t="str">
        <f>_xlfn.CONCAT(A86,B86,F86)</f>
        <v>810-500.52</v>
      </c>
      <c r="D86" s="6">
        <v>6.7199999999999996E-2</v>
      </c>
      <c r="E86">
        <v>22</v>
      </c>
      <c r="F86">
        <v>0.52</v>
      </c>
      <c r="G86">
        <v>0.83925925925925926</v>
      </c>
      <c r="H86">
        <v>0.36713500787598641</v>
      </c>
    </row>
    <row r="87" spans="1:8" x14ac:dyDescent="0.35">
      <c r="A87">
        <v>81</v>
      </c>
      <c r="B87" t="s">
        <v>81</v>
      </c>
      <c r="C87" t="str">
        <f>_xlfn.CONCAT(A87,B87,F87)</f>
        <v>8151-1000.52</v>
      </c>
      <c r="D87" s="6">
        <v>0.1429</v>
      </c>
      <c r="E87">
        <v>41</v>
      </c>
      <c r="F87">
        <v>0.52</v>
      </c>
      <c r="G87">
        <v>0.87728395061728381</v>
      </c>
      <c r="H87">
        <v>0.39663020735599103</v>
      </c>
    </row>
    <row r="88" spans="1:8" x14ac:dyDescent="0.35">
      <c r="A88">
        <v>81</v>
      </c>
      <c r="B88" t="s">
        <v>89</v>
      </c>
      <c r="C88" t="str">
        <f>_xlfn.CONCAT(A88,B88,F88)</f>
        <v>81101-1500.52</v>
      </c>
      <c r="D88" s="6">
        <v>0.1176</v>
      </c>
      <c r="E88">
        <v>66</v>
      </c>
      <c r="F88">
        <v>0.52</v>
      </c>
      <c r="G88">
        <v>0.94160493827160496</v>
      </c>
      <c r="H88">
        <v>0.4330050921691459</v>
      </c>
    </row>
    <row r="89" spans="1:8" x14ac:dyDescent="0.35">
      <c r="A89">
        <v>81</v>
      </c>
      <c r="B89" t="s">
        <v>83</v>
      </c>
      <c r="C89" t="str">
        <f>_xlfn.CONCAT(A89,B89,F89)</f>
        <v>81151-2000.52</v>
      </c>
      <c r="D89" s="6">
        <v>0.1176</v>
      </c>
      <c r="E89">
        <v>90</v>
      </c>
      <c r="F89">
        <v>0.52</v>
      </c>
      <c r="G89">
        <v>0.96432098765432073</v>
      </c>
      <c r="H89">
        <v>0.49162734361037336</v>
      </c>
    </row>
    <row r="90" spans="1:8" x14ac:dyDescent="0.35">
      <c r="A90">
        <v>81</v>
      </c>
      <c r="B90" t="s">
        <v>90</v>
      </c>
      <c r="C90" t="str">
        <f>_xlfn.CONCAT(A90,B90,F90)</f>
        <v>81201-2500.52</v>
      </c>
      <c r="D90" s="6">
        <v>0.23530000000000001</v>
      </c>
      <c r="E90">
        <v>122</v>
      </c>
      <c r="F90">
        <v>0.52</v>
      </c>
      <c r="G90">
        <v>0.97172839506172826</v>
      </c>
      <c r="H90">
        <v>0.49319078389963317</v>
      </c>
    </row>
    <row r="91" spans="1:8" x14ac:dyDescent="0.35">
      <c r="A91">
        <v>81</v>
      </c>
      <c r="B91" t="s">
        <v>85</v>
      </c>
      <c r="C91" t="str">
        <f>_xlfn.CONCAT(A91,B91,F91)</f>
        <v>81251-3000.52</v>
      </c>
      <c r="D91" s="6">
        <v>0.23530000000000001</v>
      </c>
      <c r="E91">
        <v>144</v>
      </c>
      <c r="F91">
        <v>0.52</v>
      </c>
      <c r="G91">
        <v>0.98382716049382724</v>
      </c>
      <c r="H91">
        <v>0.51782616425386263</v>
      </c>
    </row>
    <row r="92" spans="1:8" x14ac:dyDescent="0.35">
      <c r="A92">
        <v>81</v>
      </c>
      <c r="B92" t="s">
        <v>86</v>
      </c>
      <c r="C92" t="str">
        <f>_xlfn.CONCAT(A92,B92,F92)</f>
        <v>81300+0.52</v>
      </c>
      <c r="D92" s="6">
        <v>8.4000000000000005E-2</v>
      </c>
      <c r="E92">
        <v>174</v>
      </c>
      <c r="F92">
        <v>0.52</v>
      </c>
      <c r="G92">
        <v>0.98864197530864162</v>
      </c>
      <c r="H92">
        <v>0.54262320228973038</v>
      </c>
    </row>
    <row r="93" spans="1:8" x14ac:dyDescent="0.35">
      <c r="A93">
        <v>85</v>
      </c>
      <c r="B93" t="s">
        <v>80</v>
      </c>
      <c r="C93" t="str">
        <f>_xlfn.CONCAT(A93,B93,F93)</f>
        <v>850-500.52</v>
      </c>
      <c r="D93" s="6">
        <v>6.7199999999999996E-2</v>
      </c>
      <c r="E93">
        <v>22</v>
      </c>
      <c r="F93">
        <v>0.52</v>
      </c>
      <c r="G93">
        <v>0.8050588235294116</v>
      </c>
      <c r="H93">
        <v>0.42616304700748875</v>
      </c>
    </row>
    <row r="94" spans="1:8" x14ac:dyDescent="0.35">
      <c r="A94">
        <v>85</v>
      </c>
      <c r="B94" t="s">
        <v>81</v>
      </c>
      <c r="C94" t="str">
        <f>_xlfn.CONCAT(A94,B94,F94)</f>
        <v>8551-1000.52</v>
      </c>
      <c r="D94" s="6">
        <v>0.1429</v>
      </c>
      <c r="E94">
        <v>41</v>
      </c>
      <c r="F94">
        <v>0.52</v>
      </c>
      <c r="G94">
        <v>0.86541176470588166</v>
      </c>
      <c r="H94">
        <v>0.46341867175209006</v>
      </c>
    </row>
    <row r="95" spans="1:8" x14ac:dyDescent="0.35">
      <c r="A95">
        <v>85</v>
      </c>
      <c r="B95" t="s">
        <v>89</v>
      </c>
      <c r="C95" t="str">
        <f>_xlfn.CONCAT(A95,B95,F95)</f>
        <v>85101-1500.52</v>
      </c>
      <c r="D95" s="6">
        <v>0.1176</v>
      </c>
      <c r="E95">
        <v>66</v>
      </c>
      <c r="F95">
        <v>0.52</v>
      </c>
      <c r="G95">
        <v>0.90929411764705803</v>
      </c>
      <c r="H95">
        <v>0.49552516415753617</v>
      </c>
    </row>
    <row r="96" spans="1:8" x14ac:dyDescent="0.35">
      <c r="A96">
        <v>85</v>
      </c>
      <c r="B96" t="s">
        <v>83</v>
      </c>
      <c r="C96" t="str">
        <f>_xlfn.CONCAT(A96,B96,F96)</f>
        <v>85151-2000.52</v>
      </c>
      <c r="D96" s="6">
        <v>0.1176</v>
      </c>
      <c r="E96">
        <v>90</v>
      </c>
      <c r="F96">
        <v>0.52</v>
      </c>
      <c r="G96">
        <v>0.9476470588235284</v>
      </c>
      <c r="H96">
        <v>0.49756643085005287</v>
      </c>
    </row>
    <row r="97" spans="1:8" x14ac:dyDescent="0.35">
      <c r="A97">
        <v>85</v>
      </c>
      <c r="B97" t="s">
        <v>90</v>
      </c>
      <c r="C97" t="str">
        <f>_xlfn.CONCAT(A97,B97,F97)</f>
        <v>85201-2500.52</v>
      </c>
      <c r="D97" s="6">
        <v>0.23530000000000001</v>
      </c>
      <c r="E97">
        <v>122</v>
      </c>
      <c r="F97">
        <v>0.52</v>
      </c>
      <c r="G97">
        <v>0.97247058823529353</v>
      </c>
      <c r="H97">
        <v>0.55849757613324902</v>
      </c>
    </row>
    <row r="98" spans="1:8" x14ac:dyDescent="0.35">
      <c r="A98">
        <v>85</v>
      </c>
      <c r="B98" t="s">
        <v>85</v>
      </c>
      <c r="C98" t="str">
        <f>_xlfn.CONCAT(A98,B98,F98)</f>
        <v>85251-3000.52</v>
      </c>
      <c r="D98" s="6">
        <v>0.23530000000000001</v>
      </c>
      <c r="E98">
        <v>144</v>
      </c>
      <c r="F98">
        <v>0.52</v>
      </c>
      <c r="G98">
        <v>0.98058823529411698</v>
      </c>
      <c r="H98">
        <v>0.55991182034957854</v>
      </c>
    </row>
    <row r="99" spans="1:8" x14ac:dyDescent="0.35">
      <c r="A99">
        <v>85</v>
      </c>
      <c r="B99" t="s">
        <v>86</v>
      </c>
      <c r="C99" t="str">
        <f>_xlfn.CONCAT(A99,B99,F99)</f>
        <v>85300+0.52</v>
      </c>
      <c r="D99" s="6">
        <v>8.4000000000000005E-2</v>
      </c>
      <c r="E99">
        <v>174</v>
      </c>
      <c r="F99">
        <v>0.52</v>
      </c>
      <c r="G99">
        <v>0.98894117647058788</v>
      </c>
      <c r="H99">
        <v>0.59236949474687894</v>
      </c>
    </row>
    <row r="100" spans="1:8" x14ac:dyDescent="0.35">
      <c r="A100">
        <v>89</v>
      </c>
      <c r="B100" t="s">
        <v>80</v>
      </c>
      <c r="C100" t="str">
        <f>_xlfn.CONCAT(A100,B100,F100)</f>
        <v>890-500.52</v>
      </c>
      <c r="D100" s="6">
        <v>6.7199999999999996E-2</v>
      </c>
      <c r="E100">
        <v>22</v>
      </c>
      <c r="F100">
        <v>0.52</v>
      </c>
      <c r="G100">
        <v>0.81528089887640376</v>
      </c>
      <c r="H100">
        <v>0.42181993808944496</v>
      </c>
    </row>
    <row r="101" spans="1:8" x14ac:dyDescent="0.35">
      <c r="A101">
        <v>89</v>
      </c>
      <c r="B101" t="s">
        <v>81</v>
      </c>
      <c r="C101" t="str">
        <f>_xlfn.CONCAT(A101,B101,F101)</f>
        <v>8951-1000.52</v>
      </c>
      <c r="D101" s="6">
        <v>0.1429</v>
      </c>
      <c r="E101">
        <v>41</v>
      </c>
      <c r="F101">
        <v>0.52</v>
      </c>
      <c r="G101">
        <v>0.85910112359550583</v>
      </c>
      <c r="H101">
        <v>0.46269103601291073</v>
      </c>
    </row>
    <row r="102" spans="1:8" x14ac:dyDescent="0.35">
      <c r="A102">
        <v>89</v>
      </c>
      <c r="B102" t="s">
        <v>89</v>
      </c>
      <c r="C102" t="str">
        <f>_xlfn.CONCAT(A102,B102,F102)</f>
        <v>89101-1500.52</v>
      </c>
      <c r="D102" s="6">
        <v>0.1176</v>
      </c>
      <c r="E102">
        <v>66</v>
      </c>
      <c r="F102">
        <v>0.52</v>
      </c>
      <c r="G102">
        <v>0.87988764044943824</v>
      </c>
      <c r="H102">
        <v>0.49023351245019525</v>
      </c>
    </row>
    <row r="103" spans="1:8" x14ac:dyDescent="0.35">
      <c r="A103">
        <v>89</v>
      </c>
      <c r="B103" t="s">
        <v>83</v>
      </c>
      <c r="C103" t="str">
        <f>_xlfn.CONCAT(A103,B103,F103)</f>
        <v>89151-2000.52</v>
      </c>
      <c r="D103" s="6">
        <v>0.1176</v>
      </c>
      <c r="E103">
        <v>90</v>
      </c>
      <c r="F103">
        <v>0.52</v>
      </c>
      <c r="G103">
        <v>0.93280898876404561</v>
      </c>
      <c r="H103">
        <v>0.53522051260888581</v>
      </c>
    </row>
    <row r="104" spans="1:8" x14ac:dyDescent="0.35">
      <c r="A104">
        <v>89</v>
      </c>
      <c r="B104" t="s">
        <v>90</v>
      </c>
      <c r="C104" t="str">
        <f>_xlfn.CONCAT(A104,B104,F104)</f>
        <v>89201-2500.52</v>
      </c>
      <c r="D104" s="6">
        <v>0.23530000000000001</v>
      </c>
      <c r="E104">
        <v>122</v>
      </c>
      <c r="F104">
        <v>0.52</v>
      </c>
      <c r="G104">
        <v>0.963820224719102</v>
      </c>
      <c r="H104">
        <v>0.54833289717346623</v>
      </c>
    </row>
    <row r="105" spans="1:8" x14ac:dyDescent="0.35">
      <c r="A105">
        <v>89</v>
      </c>
      <c r="B105" t="s">
        <v>85</v>
      </c>
      <c r="C105" t="str">
        <f>_xlfn.CONCAT(A105,B105,F105)</f>
        <v>89251-3000.52</v>
      </c>
      <c r="D105" s="6">
        <v>0.23530000000000001</v>
      </c>
      <c r="E105">
        <v>144</v>
      </c>
      <c r="F105">
        <v>0.52</v>
      </c>
      <c r="G105">
        <v>0.97719101123595553</v>
      </c>
      <c r="H105">
        <v>0.57517302763937528</v>
      </c>
    </row>
    <row r="106" spans="1:8" x14ac:dyDescent="0.35">
      <c r="A106">
        <v>89</v>
      </c>
      <c r="B106" t="s">
        <v>86</v>
      </c>
      <c r="C106" t="str">
        <f>_xlfn.CONCAT(A106,B106,F106)</f>
        <v>89300+0.52</v>
      </c>
      <c r="D106" s="6">
        <v>8.4000000000000005E-2</v>
      </c>
      <c r="E106">
        <v>174</v>
      </c>
      <c r="F106">
        <v>0.52</v>
      </c>
      <c r="G106">
        <v>0.99078651685393282</v>
      </c>
      <c r="H106">
        <v>0.60662406753917797</v>
      </c>
    </row>
    <row r="107" spans="1:8" x14ac:dyDescent="0.35">
      <c r="A107">
        <v>100</v>
      </c>
      <c r="B107" t="s">
        <v>80</v>
      </c>
      <c r="C107" t="str">
        <f>_xlfn.CONCAT(A107,B107,F107)</f>
        <v>1000-500.52</v>
      </c>
      <c r="D107" s="6">
        <v>6.7199999999999996E-2</v>
      </c>
      <c r="E107">
        <v>22</v>
      </c>
      <c r="F107">
        <v>0.52</v>
      </c>
      <c r="G107">
        <v>0.7168000000000001</v>
      </c>
      <c r="H107">
        <v>0.42665838375609311</v>
      </c>
    </row>
    <row r="108" spans="1:8" x14ac:dyDescent="0.35">
      <c r="A108">
        <v>100</v>
      </c>
      <c r="B108" t="s">
        <v>81</v>
      </c>
      <c r="C108" t="str">
        <f>_xlfn.CONCAT(A108,B108,F108)</f>
        <v>10051-1000.52</v>
      </c>
      <c r="D108" s="6">
        <v>0.1429</v>
      </c>
      <c r="E108">
        <v>41</v>
      </c>
      <c r="F108">
        <v>0.52</v>
      </c>
      <c r="G108">
        <v>0.75430000000000019</v>
      </c>
      <c r="H108">
        <v>0.469201356706134</v>
      </c>
    </row>
    <row r="109" spans="1:8" x14ac:dyDescent="0.35">
      <c r="A109">
        <v>100</v>
      </c>
      <c r="B109" t="s">
        <v>89</v>
      </c>
      <c r="C109" t="str">
        <f>_xlfn.CONCAT(A109,B109,F109)</f>
        <v>100101-1500.52</v>
      </c>
      <c r="D109" s="6">
        <v>0.1176</v>
      </c>
      <c r="E109">
        <v>66</v>
      </c>
      <c r="F109">
        <v>0.52</v>
      </c>
      <c r="G109">
        <v>0.79760000000000031</v>
      </c>
      <c r="H109">
        <v>0.49850580545824669</v>
      </c>
    </row>
    <row r="110" spans="1:8" x14ac:dyDescent="0.35">
      <c r="A110">
        <v>100</v>
      </c>
      <c r="B110" t="s">
        <v>83</v>
      </c>
      <c r="C110" t="str">
        <f>_xlfn.CONCAT(A110,B110,F110)</f>
        <v>100151-2000.52</v>
      </c>
      <c r="D110" s="6">
        <v>0.1176</v>
      </c>
      <c r="E110">
        <v>90</v>
      </c>
      <c r="F110">
        <v>0.52</v>
      </c>
      <c r="G110">
        <v>0.81759999999999988</v>
      </c>
      <c r="H110">
        <v>0.52842344983261647</v>
      </c>
    </row>
    <row r="111" spans="1:8" x14ac:dyDescent="0.35">
      <c r="A111">
        <v>100</v>
      </c>
      <c r="B111" t="s">
        <v>90</v>
      </c>
      <c r="C111" t="str">
        <f>_xlfn.CONCAT(A111,B111,F111)</f>
        <v>100201-2500.52</v>
      </c>
      <c r="D111" s="6">
        <v>0.23530000000000001</v>
      </c>
      <c r="E111">
        <v>122</v>
      </c>
      <c r="F111">
        <v>0.52</v>
      </c>
      <c r="G111">
        <v>0.87909999999999999</v>
      </c>
      <c r="H111">
        <v>0.53812047826104703</v>
      </c>
    </row>
    <row r="112" spans="1:8" x14ac:dyDescent="0.35">
      <c r="A112">
        <v>100</v>
      </c>
      <c r="B112" t="s">
        <v>85</v>
      </c>
      <c r="C112" t="str">
        <f>_xlfn.CONCAT(A112,B112,F112)</f>
        <v>100251-3000.52</v>
      </c>
      <c r="D112" s="6">
        <v>0.23530000000000001</v>
      </c>
      <c r="E112">
        <v>144</v>
      </c>
      <c r="F112">
        <v>0.52</v>
      </c>
      <c r="G112">
        <v>0.96849999999999992</v>
      </c>
      <c r="H112">
        <v>0.59485916342367728</v>
      </c>
    </row>
    <row r="113" spans="1:8" x14ac:dyDescent="0.35">
      <c r="A113">
        <v>100</v>
      </c>
      <c r="B113" t="s">
        <v>86</v>
      </c>
      <c r="C113" t="str">
        <f>_xlfn.CONCAT(A113,B113,F113)</f>
        <v>100300+0.52</v>
      </c>
      <c r="D113" s="6">
        <v>8.4000000000000005E-2</v>
      </c>
      <c r="E113">
        <v>174</v>
      </c>
      <c r="F113">
        <v>0.52</v>
      </c>
      <c r="G113">
        <v>0.93389999999999973</v>
      </c>
      <c r="H113">
        <v>0.56979333705096702</v>
      </c>
    </row>
    <row r="114" spans="1:8" x14ac:dyDescent="0.35">
      <c r="A114">
        <v>106</v>
      </c>
      <c r="B114" t="s">
        <v>80</v>
      </c>
      <c r="C114" t="str">
        <f>_xlfn.CONCAT(A114,B114,F114)</f>
        <v>1060-500.52</v>
      </c>
      <c r="D114" s="6">
        <v>6.7199999999999996E-2</v>
      </c>
      <c r="E114">
        <v>22</v>
      </c>
      <c r="F114">
        <v>0.52</v>
      </c>
      <c r="G114">
        <v>0.73509433962264159</v>
      </c>
      <c r="H114">
        <v>0.39912538800487246</v>
      </c>
    </row>
    <row r="115" spans="1:8" x14ac:dyDescent="0.35">
      <c r="A115">
        <v>106</v>
      </c>
      <c r="B115" t="s">
        <v>81</v>
      </c>
      <c r="C115" t="str">
        <f>_xlfn.CONCAT(A115,B115,F115)</f>
        <v>10651-1000.52</v>
      </c>
      <c r="D115" s="6">
        <v>0.1429</v>
      </c>
      <c r="E115">
        <v>41</v>
      </c>
      <c r="F115">
        <v>0.52</v>
      </c>
      <c r="G115">
        <v>0.78622641509433966</v>
      </c>
      <c r="H115">
        <v>0.43780016212402278</v>
      </c>
    </row>
    <row r="116" spans="1:8" x14ac:dyDescent="0.35">
      <c r="A116">
        <v>106</v>
      </c>
      <c r="B116" t="s">
        <v>89</v>
      </c>
      <c r="C116" t="str">
        <f>_xlfn.CONCAT(A116,B116,F116)</f>
        <v>106101-1500.52</v>
      </c>
      <c r="D116" s="6">
        <v>0.1176</v>
      </c>
      <c r="E116">
        <v>66</v>
      </c>
      <c r="F116">
        <v>0.52</v>
      </c>
      <c r="G116">
        <v>0.76330188679245281</v>
      </c>
      <c r="H116">
        <v>0.55305434962144295</v>
      </c>
    </row>
    <row r="117" spans="1:8" x14ac:dyDescent="0.35">
      <c r="A117">
        <v>106</v>
      </c>
      <c r="B117" t="s">
        <v>83</v>
      </c>
      <c r="C117" t="str">
        <f>_xlfn.CONCAT(A117,B117,F117)</f>
        <v>106151-2000.52</v>
      </c>
      <c r="D117" s="6">
        <v>0.1176</v>
      </c>
      <c r="E117">
        <v>90</v>
      </c>
      <c r="F117">
        <v>0.52</v>
      </c>
      <c r="G117">
        <v>0.8161320754716983</v>
      </c>
      <c r="H117">
        <v>0.55145704520049887</v>
      </c>
    </row>
    <row r="118" spans="1:8" x14ac:dyDescent="0.35">
      <c r="A118">
        <v>106</v>
      </c>
      <c r="B118" t="s">
        <v>90</v>
      </c>
      <c r="C118" t="str">
        <f>_xlfn.CONCAT(A118,B118,F118)</f>
        <v>106201-2500.52</v>
      </c>
      <c r="D118" s="6">
        <v>0.23530000000000001</v>
      </c>
      <c r="E118">
        <v>122</v>
      </c>
      <c r="F118">
        <v>0.52</v>
      </c>
      <c r="G118">
        <v>0.87594339622641504</v>
      </c>
      <c r="H118">
        <v>0.61850498036574386</v>
      </c>
    </row>
    <row r="119" spans="1:8" x14ac:dyDescent="0.35">
      <c r="A119">
        <v>106</v>
      </c>
      <c r="B119" t="s">
        <v>85</v>
      </c>
      <c r="C119" t="str">
        <f>_xlfn.CONCAT(A119,B119,F119)</f>
        <v>106251-3000.52</v>
      </c>
      <c r="D119" s="6">
        <v>0.23530000000000001</v>
      </c>
      <c r="E119">
        <v>144</v>
      </c>
      <c r="F119">
        <v>0.52</v>
      </c>
      <c r="G119">
        <v>0.86990566037735828</v>
      </c>
      <c r="H119">
        <v>0.61006962448585</v>
      </c>
    </row>
    <row r="120" spans="1:8" x14ac:dyDescent="0.35">
      <c r="A120">
        <v>106</v>
      </c>
      <c r="B120" t="s">
        <v>86</v>
      </c>
      <c r="C120" t="str">
        <f>_xlfn.CONCAT(A120,B120,F120)</f>
        <v>106300+0.52</v>
      </c>
      <c r="D120" s="6">
        <v>8.4000000000000005E-2</v>
      </c>
      <c r="E120">
        <v>174</v>
      </c>
      <c r="F120">
        <v>0.52</v>
      </c>
      <c r="G120">
        <v>0.88839622641509397</v>
      </c>
      <c r="H120">
        <v>0.60728107019549826</v>
      </c>
    </row>
    <row r="121" spans="1:8" x14ac:dyDescent="0.35">
      <c r="A121">
        <v>117</v>
      </c>
      <c r="B121" t="s">
        <v>80</v>
      </c>
      <c r="C121" t="str">
        <f>_xlfn.CONCAT(A121,B121,F121)</f>
        <v>1170-500.52</v>
      </c>
      <c r="D121" s="6">
        <v>6.7199999999999996E-2</v>
      </c>
      <c r="E121">
        <v>22</v>
      </c>
      <c r="F121">
        <v>0.52</v>
      </c>
      <c r="G121">
        <v>0.76128205128205095</v>
      </c>
      <c r="H121">
        <v>0.4597381868422129</v>
      </c>
    </row>
    <row r="122" spans="1:8" x14ac:dyDescent="0.35">
      <c r="A122">
        <v>117</v>
      </c>
      <c r="B122" t="s">
        <v>81</v>
      </c>
      <c r="C122" t="str">
        <f>_xlfn.CONCAT(A122,B122,F122)</f>
        <v>11751-1000.52</v>
      </c>
      <c r="D122" s="6">
        <v>0.1429</v>
      </c>
      <c r="E122">
        <v>41</v>
      </c>
      <c r="F122">
        <v>0.52</v>
      </c>
      <c r="G122">
        <v>0.79829059829059767</v>
      </c>
      <c r="H122">
        <v>0.49477188550763079</v>
      </c>
    </row>
    <row r="123" spans="1:8" x14ac:dyDescent="0.35">
      <c r="A123">
        <v>117</v>
      </c>
      <c r="B123" t="s">
        <v>89</v>
      </c>
      <c r="C123" t="str">
        <f>_xlfn.CONCAT(A123,B123,F123)</f>
        <v>117101-1500.52</v>
      </c>
      <c r="D123" s="6">
        <v>0.1176</v>
      </c>
      <c r="E123">
        <v>66</v>
      </c>
      <c r="F123">
        <v>0.52</v>
      </c>
      <c r="G123">
        <v>0.8456410256410245</v>
      </c>
      <c r="H123">
        <v>0.55489261059641815</v>
      </c>
    </row>
    <row r="124" spans="1:8" x14ac:dyDescent="0.35">
      <c r="A124">
        <v>117</v>
      </c>
      <c r="B124" t="s">
        <v>83</v>
      </c>
      <c r="C124" t="str">
        <f>_xlfn.CONCAT(A124,B124,F124)</f>
        <v>117151-2000.52</v>
      </c>
      <c r="D124" s="6">
        <v>0.1176</v>
      </c>
      <c r="E124">
        <v>90</v>
      </c>
      <c r="F124">
        <v>0.52</v>
      </c>
      <c r="G124">
        <v>0.87863247863247773</v>
      </c>
      <c r="H124">
        <v>0.57371880872704106</v>
      </c>
    </row>
    <row r="125" spans="1:8" x14ac:dyDescent="0.35">
      <c r="A125">
        <v>117</v>
      </c>
      <c r="B125" t="s">
        <v>90</v>
      </c>
      <c r="C125" t="str">
        <f>_xlfn.CONCAT(A125,B125,F125)</f>
        <v>117201-2500.52</v>
      </c>
      <c r="D125" s="6">
        <v>0.23530000000000001</v>
      </c>
      <c r="E125">
        <v>122</v>
      </c>
      <c r="F125">
        <v>0.52</v>
      </c>
      <c r="G125">
        <v>0.92923076923076819</v>
      </c>
      <c r="H125">
        <v>0.57331607708582222</v>
      </c>
    </row>
    <row r="126" spans="1:8" x14ac:dyDescent="0.35">
      <c r="A126">
        <v>117</v>
      </c>
      <c r="B126" t="s">
        <v>85</v>
      </c>
      <c r="C126" t="str">
        <f>_xlfn.CONCAT(A126,B126,F126)</f>
        <v>117251-3000.52</v>
      </c>
      <c r="D126" s="6">
        <v>0.23530000000000001</v>
      </c>
      <c r="E126">
        <v>144</v>
      </c>
      <c r="F126">
        <v>0.52</v>
      </c>
      <c r="G126">
        <v>0.9322222222222214</v>
      </c>
      <c r="H126">
        <v>0.63755420390039685</v>
      </c>
    </row>
    <row r="127" spans="1:8" x14ac:dyDescent="0.35">
      <c r="A127">
        <v>117</v>
      </c>
      <c r="B127" t="s">
        <v>86</v>
      </c>
      <c r="C127" t="str">
        <f>_xlfn.CONCAT(A127,B127,F127)</f>
        <v>117300+0.52</v>
      </c>
      <c r="D127" s="6">
        <v>8.4000000000000005E-2</v>
      </c>
      <c r="E127">
        <v>174</v>
      </c>
      <c r="F127">
        <v>0.52</v>
      </c>
      <c r="G127">
        <v>0.9604273504273495</v>
      </c>
      <c r="H127">
        <v>0.61956210272507184</v>
      </c>
    </row>
    <row r="128" spans="1:8" x14ac:dyDescent="0.35">
      <c r="A128">
        <v>125</v>
      </c>
      <c r="B128" t="s">
        <v>80</v>
      </c>
      <c r="C128" t="str">
        <f>_xlfn.CONCAT(A128,B128,F128)</f>
        <v>1250-500.52</v>
      </c>
      <c r="D128" s="6">
        <v>6.7199999999999996E-2</v>
      </c>
      <c r="E128">
        <v>22</v>
      </c>
      <c r="F128">
        <v>0.52</v>
      </c>
      <c r="G128">
        <v>0.66736000000000006</v>
      </c>
      <c r="H128">
        <v>0.40925717716837562</v>
      </c>
    </row>
    <row r="129" spans="1:8" x14ac:dyDescent="0.35">
      <c r="A129">
        <v>125</v>
      </c>
      <c r="B129" t="s">
        <v>81</v>
      </c>
      <c r="C129" t="str">
        <f>_xlfn.CONCAT(A129,B129,F129)</f>
        <v>12551-1000.52</v>
      </c>
      <c r="D129" s="6">
        <v>0.1429</v>
      </c>
      <c r="E129">
        <v>41</v>
      </c>
      <c r="F129">
        <v>0.52</v>
      </c>
      <c r="G129">
        <v>0.68687999999999994</v>
      </c>
      <c r="H129">
        <v>0.5041980137666402</v>
      </c>
    </row>
    <row r="130" spans="1:8" x14ac:dyDescent="0.35">
      <c r="A130">
        <v>125</v>
      </c>
      <c r="B130" t="s">
        <v>89</v>
      </c>
      <c r="C130" t="str">
        <f>_xlfn.CONCAT(A130,B130,F130)</f>
        <v>125101-1500.52</v>
      </c>
      <c r="D130" s="6">
        <v>0.1176</v>
      </c>
      <c r="E130">
        <v>66</v>
      </c>
      <c r="F130">
        <v>0.52</v>
      </c>
      <c r="G130">
        <v>0.70928000000000013</v>
      </c>
      <c r="H130">
        <v>0.53797190554361418</v>
      </c>
    </row>
    <row r="131" spans="1:8" x14ac:dyDescent="0.35">
      <c r="A131">
        <v>125</v>
      </c>
      <c r="B131" t="s">
        <v>83</v>
      </c>
      <c r="C131" t="str">
        <f>_xlfn.CONCAT(A131,B131,F131)</f>
        <v>125151-2000.52</v>
      </c>
      <c r="D131" s="6">
        <v>0.1176</v>
      </c>
      <c r="E131">
        <v>90</v>
      </c>
      <c r="F131">
        <v>0.52</v>
      </c>
      <c r="G131">
        <v>0.72904000000000013</v>
      </c>
      <c r="H131">
        <v>0.57964780254685488</v>
      </c>
    </row>
    <row r="132" spans="1:8" x14ac:dyDescent="0.35">
      <c r="A132">
        <v>125</v>
      </c>
      <c r="B132" t="s">
        <v>90</v>
      </c>
      <c r="C132" t="str">
        <f>_xlfn.CONCAT(A132,B132,F132)</f>
        <v>125201-2500.52</v>
      </c>
      <c r="D132" s="6">
        <v>0.23530000000000001</v>
      </c>
      <c r="E132">
        <v>122</v>
      </c>
      <c r="F132">
        <v>0.52</v>
      </c>
      <c r="G132">
        <v>0.75936000000000037</v>
      </c>
      <c r="H132">
        <v>0.59898387739067782</v>
      </c>
    </row>
    <row r="133" spans="1:8" x14ac:dyDescent="0.35">
      <c r="A133">
        <v>125</v>
      </c>
      <c r="B133" t="s">
        <v>85</v>
      </c>
      <c r="C133" t="str">
        <f>_xlfn.CONCAT(A133,B133,F133)</f>
        <v>125251-3000.52</v>
      </c>
      <c r="D133" s="6">
        <v>0.23530000000000001</v>
      </c>
      <c r="E133">
        <v>144</v>
      </c>
      <c r="F133">
        <v>0.52</v>
      </c>
      <c r="G133">
        <v>0.83584000000000003</v>
      </c>
      <c r="H133">
        <v>0.63548442073941047</v>
      </c>
    </row>
    <row r="134" spans="1:8" x14ac:dyDescent="0.35">
      <c r="A134">
        <v>125</v>
      </c>
      <c r="B134" t="s">
        <v>86</v>
      </c>
      <c r="C134" t="str">
        <f>_xlfn.CONCAT(A134,B134,F134)</f>
        <v>125300+0.52</v>
      </c>
      <c r="D134" s="6">
        <v>8.4000000000000005E-2</v>
      </c>
      <c r="E134">
        <v>174</v>
      </c>
      <c r="F134">
        <v>0.52</v>
      </c>
      <c r="G134">
        <v>0.89712000000000014</v>
      </c>
      <c r="H134">
        <v>0.66518355029122322</v>
      </c>
    </row>
    <row r="135" spans="1:8" x14ac:dyDescent="0.35">
      <c r="A135">
        <v>133</v>
      </c>
      <c r="B135" t="s">
        <v>80</v>
      </c>
      <c r="C135" t="str">
        <f>_xlfn.CONCAT(A135,B135,F135)</f>
        <v>1330-500.52</v>
      </c>
      <c r="D135" s="6">
        <v>6.7199999999999996E-2</v>
      </c>
      <c r="E135">
        <v>22</v>
      </c>
      <c r="F135">
        <v>0.52</v>
      </c>
      <c r="G135">
        <v>0.65586466165413526</v>
      </c>
      <c r="H135">
        <v>0.44492502796936828</v>
      </c>
    </row>
    <row r="136" spans="1:8" x14ac:dyDescent="0.35">
      <c r="A136">
        <v>133</v>
      </c>
      <c r="B136" t="s">
        <v>81</v>
      </c>
      <c r="C136" t="str">
        <f>_xlfn.CONCAT(A136,B136,F136)</f>
        <v>13351-1000.52</v>
      </c>
      <c r="D136" s="6">
        <v>0.1429</v>
      </c>
      <c r="E136">
        <v>41</v>
      </c>
      <c r="F136">
        <v>0.52</v>
      </c>
      <c r="G136">
        <v>0.66924812030075187</v>
      </c>
      <c r="H136">
        <v>0.52349323227245659</v>
      </c>
    </row>
    <row r="137" spans="1:8" x14ac:dyDescent="0.35">
      <c r="A137">
        <v>133</v>
      </c>
      <c r="B137" t="s">
        <v>89</v>
      </c>
      <c r="C137" t="str">
        <f>_xlfn.CONCAT(A137,B137,F137)</f>
        <v>133101-1500.52</v>
      </c>
      <c r="D137" s="6">
        <v>0.1176</v>
      </c>
      <c r="E137">
        <v>66</v>
      </c>
      <c r="F137">
        <v>0.52</v>
      </c>
      <c r="G137">
        <v>0.72097744360902227</v>
      </c>
      <c r="H137">
        <v>0.54376590712397632</v>
      </c>
    </row>
    <row r="138" spans="1:8" x14ac:dyDescent="0.35">
      <c r="A138">
        <v>133</v>
      </c>
      <c r="B138" t="s">
        <v>83</v>
      </c>
      <c r="C138" t="str">
        <f>_xlfn.CONCAT(A138,B138,F138)</f>
        <v>133151-2000.52</v>
      </c>
      <c r="D138" s="6">
        <v>0.1176</v>
      </c>
      <c r="E138">
        <v>90</v>
      </c>
      <c r="F138">
        <v>0.52</v>
      </c>
      <c r="G138">
        <v>0.76736842105263137</v>
      </c>
      <c r="H138">
        <v>0.59199565842473911</v>
      </c>
    </row>
    <row r="139" spans="1:8" x14ac:dyDescent="0.35">
      <c r="A139">
        <v>133</v>
      </c>
      <c r="B139" t="s">
        <v>90</v>
      </c>
      <c r="C139" t="str">
        <f>_xlfn.CONCAT(A139,B139,F139)</f>
        <v>133201-2500.52</v>
      </c>
      <c r="D139" s="6">
        <v>0.23530000000000001</v>
      </c>
      <c r="E139">
        <v>122</v>
      </c>
      <c r="F139">
        <v>0.52</v>
      </c>
      <c r="G139">
        <v>0.81037593984962397</v>
      </c>
      <c r="H139">
        <v>0.62722072532606665</v>
      </c>
    </row>
    <row r="140" spans="1:8" x14ac:dyDescent="0.35">
      <c r="A140">
        <v>133</v>
      </c>
      <c r="B140" t="s">
        <v>85</v>
      </c>
      <c r="C140" t="str">
        <f>_xlfn.CONCAT(A140,B140,F140)</f>
        <v>133251-3000.52</v>
      </c>
      <c r="D140" s="6">
        <v>0.23530000000000001</v>
      </c>
      <c r="E140">
        <v>144</v>
      </c>
      <c r="F140">
        <v>0.52</v>
      </c>
      <c r="G140">
        <v>0.78714285714285737</v>
      </c>
      <c r="H140">
        <v>0.60656752886751208</v>
      </c>
    </row>
    <row r="141" spans="1:8" x14ac:dyDescent="0.35">
      <c r="A141">
        <v>133</v>
      </c>
      <c r="B141" t="s">
        <v>86</v>
      </c>
      <c r="C141" t="str">
        <f>_xlfn.CONCAT(A141,B141,F141)</f>
        <v>133300+0.52</v>
      </c>
      <c r="D141" s="6">
        <v>8.4000000000000005E-2</v>
      </c>
      <c r="E141">
        <v>174</v>
      </c>
      <c r="F141">
        <v>0.52</v>
      </c>
      <c r="G141">
        <v>0.85691729323308286</v>
      </c>
      <c r="H141">
        <v>0.64835587745905754</v>
      </c>
    </row>
    <row r="142" spans="1:8" x14ac:dyDescent="0.35">
      <c r="A142">
        <v>60</v>
      </c>
      <c r="B142" t="s">
        <v>80</v>
      </c>
      <c r="C142" t="str">
        <f>_xlfn.CONCAT(A142,B142,F142)</f>
        <v>600-500.65</v>
      </c>
      <c r="D142" s="6">
        <v>6.7199999999999996E-2</v>
      </c>
      <c r="E142">
        <v>27</v>
      </c>
      <c r="F142">
        <v>0.65</v>
      </c>
      <c r="G142">
        <v>0.98350000000000037</v>
      </c>
      <c r="H142">
        <v>0.37501321548972988</v>
      </c>
    </row>
    <row r="143" spans="1:8" x14ac:dyDescent="0.35">
      <c r="A143">
        <v>60</v>
      </c>
      <c r="B143" t="s">
        <v>81</v>
      </c>
      <c r="C143" t="str">
        <f>_xlfn.CONCAT(A143,B143,F143)</f>
        <v>6051-1000.65</v>
      </c>
      <c r="D143" s="6">
        <v>0.1429</v>
      </c>
      <c r="E143">
        <v>51</v>
      </c>
      <c r="F143">
        <v>0.65</v>
      </c>
      <c r="G143">
        <v>0.98933333333333351</v>
      </c>
      <c r="H143">
        <v>0.40702007426115344</v>
      </c>
    </row>
    <row r="144" spans="1:8" x14ac:dyDescent="0.35">
      <c r="A144">
        <v>60</v>
      </c>
      <c r="B144" t="s">
        <v>89</v>
      </c>
      <c r="C144" t="str">
        <f>_xlfn.CONCAT(A144,B144,F144)</f>
        <v>60101-1500.65</v>
      </c>
      <c r="D144" s="6">
        <v>0.1176</v>
      </c>
      <c r="E144">
        <v>83</v>
      </c>
      <c r="F144">
        <v>0.65</v>
      </c>
      <c r="G144">
        <v>0.98400000000000043</v>
      </c>
      <c r="H144">
        <v>0.53931721448587366</v>
      </c>
    </row>
    <row r="145" spans="1:8" x14ac:dyDescent="0.35">
      <c r="A145">
        <v>60</v>
      </c>
      <c r="B145" t="s">
        <v>83</v>
      </c>
      <c r="C145" t="str">
        <f>_xlfn.CONCAT(A145,B145,F145)</f>
        <v>60151-2000.65</v>
      </c>
      <c r="D145" s="6">
        <v>0.1176</v>
      </c>
      <c r="E145">
        <v>113</v>
      </c>
      <c r="F145">
        <v>0.65</v>
      </c>
      <c r="G145">
        <v>0.98483333333333323</v>
      </c>
      <c r="H145">
        <v>0.53102209292156399</v>
      </c>
    </row>
    <row r="146" spans="1:8" x14ac:dyDescent="0.35">
      <c r="A146">
        <v>60</v>
      </c>
      <c r="B146" t="s">
        <v>90</v>
      </c>
      <c r="C146" t="str">
        <f>_xlfn.CONCAT(A146,B146,F146)</f>
        <v>60201-2500.65</v>
      </c>
      <c r="D146" s="6">
        <v>0.23530000000000001</v>
      </c>
      <c r="E146">
        <v>153</v>
      </c>
      <c r="F146">
        <v>0.65</v>
      </c>
      <c r="G146">
        <v>0.99083333333333357</v>
      </c>
      <c r="H146">
        <v>0.57753311658497963</v>
      </c>
    </row>
    <row r="147" spans="1:8" x14ac:dyDescent="0.35">
      <c r="A147">
        <v>60</v>
      </c>
      <c r="B147" t="s">
        <v>85</v>
      </c>
      <c r="C147" t="str">
        <f>_xlfn.CONCAT(A147,B147,F147)</f>
        <v>60251-3000.65</v>
      </c>
      <c r="D147" s="6">
        <v>0.23530000000000001</v>
      </c>
      <c r="E147">
        <v>180</v>
      </c>
      <c r="F147">
        <v>0.65</v>
      </c>
      <c r="G147">
        <v>0.99400000000000022</v>
      </c>
      <c r="H147">
        <v>0.58063347144348043</v>
      </c>
    </row>
    <row r="148" spans="1:8" x14ac:dyDescent="0.35">
      <c r="A148">
        <v>60</v>
      </c>
      <c r="B148" t="s">
        <v>86</v>
      </c>
      <c r="C148" t="str">
        <f>_xlfn.CONCAT(A148,B148,F148)</f>
        <v>60300+0.65</v>
      </c>
      <c r="D148" s="6">
        <v>8.4000000000000005E-2</v>
      </c>
      <c r="E148">
        <v>218</v>
      </c>
      <c r="F148">
        <v>0.65</v>
      </c>
      <c r="G148">
        <v>0.99916666666666676</v>
      </c>
      <c r="H148">
        <v>0.5958361581920909</v>
      </c>
    </row>
    <row r="149" spans="1:8" x14ac:dyDescent="0.35">
      <c r="A149">
        <v>72</v>
      </c>
      <c r="B149" t="s">
        <v>80</v>
      </c>
      <c r="C149" t="str">
        <f>_xlfn.CONCAT(A149,B149,F149)</f>
        <v>720-500.65</v>
      </c>
      <c r="D149" s="6">
        <v>6.7199999999999996E-2</v>
      </c>
      <c r="E149">
        <v>27</v>
      </c>
      <c r="F149">
        <v>0.65</v>
      </c>
      <c r="G149">
        <v>0.97347222222222296</v>
      </c>
      <c r="H149">
        <v>0.39932415327610049</v>
      </c>
    </row>
    <row r="150" spans="1:8" x14ac:dyDescent="0.35">
      <c r="A150">
        <v>72</v>
      </c>
      <c r="B150" t="s">
        <v>81</v>
      </c>
      <c r="C150" t="str">
        <f>_xlfn.CONCAT(A150,B150,F150)</f>
        <v>7251-1000.65</v>
      </c>
      <c r="D150" s="6">
        <v>0.1429</v>
      </c>
      <c r="E150">
        <v>51</v>
      </c>
      <c r="F150">
        <v>0.65</v>
      </c>
      <c r="G150">
        <v>0.99041666666666717</v>
      </c>
      <c r="H150">
        <v>0.4532911973784674</v>
      </c>
    </row>
    <row r="151" spans="1:8" x14ac:dyDescent="0.35">
      <c r="A151">
        <v>72</v>
      </c>
      <c r="B151" t="s">
        <v>89</v>
      </c>
      <c r="C151" t="str">
        <f>_xlfn.CONCAT(A151,B151,F151)</f>
        <v>72101-1500.65</v>
      </c>
      <c r="D151" s="6">
        <v>0.1176</v>
      </c>
      <c r="E151">
        <v>83</v>
      </c>
      <c r="F151">
        <v>0.65</v>
      </c>
      <c r="G151">
        <v>0.99097222222222248</v>
      </c>
      <c r="H151">
        <v>0.52465947689760695</v>
      </c>
    </row>
    <row r="152" spans="1:8" x14ac:dyDescent="0.35">
      <c r="A152">
        <v>72</v>
      </c>
      <c r="B152" t="s">
        <v>83</v>
      </c>
      <c r="C152" t="str">
        <f>_xlfn.CONCAT(A152,B152,F152)</f>
        <v>72151-2000.65</v>
      </c>
      <c r="D152" s="6">
        <v>0.1176</v>
      </c>
      <c r="E152">
        <v>113</v>
      </c>
      <c r="F152">
        <v>0.65</v>
      </c>
      <c r="G152">
        <v>0.99569444444444444</v>
      </c>
      <c r="H152">
        <v>0.56422009198913248</v>
      </c>
    </row>
    <row r="153" spans="1:8" x14ac:dyDescent="0.35">
      <c r="A153">
        <v>72</v>
      </c>
      <c r="B153" t="s">
        <v>90</v>
      </c>
      <c r="C153" t="str">
        <f>_xlfn.CONCAT(A153,B153,F153)</f>
        <v>72201-2500.65</v>
      </c>
      <c r="D153" s="6">
        <v>0.23530000000000001</v>
      </c>
      <c r="E153">
        <v>153</v>
      </c>
      <c r="F153">
        <v>0.65</v>
      </c>
      <c r="G153">
        <v>0.99583333333333324</v>
      </c>
      <c r="H153">
        <v>0.60887650221378853</v>
      </c>
    </row>
    <row r="154" spans="1:8" x14ac:dyDescent="0.35">
      <c r="A154">
        <v>72</v>
      </c>
      <c r="B154" t="s">
        <v>85</v>
      </c>
      <c r="C154" t="str">
        <f>_xlfn.CONCAT(A154,B154,F154)</f>
        <v>72251-3000.65</v>
      </c>
      <c r="D154" s="6">
        <v>0.23530000000000001</v>
      </c>
      <c r="E154">
        <v>180</v>
      </c>
      <c r="F154">
        <v>0.65</v>
      </c>
      <c r="G154">
        <v>0.99875000000000014</v>
      </c>
      <c r="H154">
        <v>0.5973755023748637</v>
      </c>
    </row>
    <row r="155" spans="1:8" x14ac:dyDescent="0.35">
      <c r="A155">
        <v>72</v>
      </c>
      <c r="B155" t="s">
        <v>86</v>
      </c>
      <c r="C155" t="str">
        <f>_xlfn.CONCAT(A155,B155,F155)</f>
        <v>72300+0.65</v>
      </c>
      <c r="D155" s="6">
        <v>8.4000000000000005E-2</v>
      </c>
      <c r="E155">
        <v>218</v>
      </c>
      <c r="F155">
        <v>0.65</v>
      </c>
      <c r="G155">
        <v>0.99958333333333338</v>
      </c>
      <c r="H155">
        <v>0.61386473429951705</v>
      </c>
    </row>
    <row r="156" spans="1:8" x14ac:dyDescent="0.35">
      <c r="A156">
        <v>81</v>
      </c>
      <c r="B156" t="s">
        <v>80</v>
      </c>
      <c r="C156" t="str">
        <f>_xlfn.CONCAT(A156,B156,F156)</f>
        <v>810-500.65</v>
      </c>
      <c r="D156" s="6">
        <v>6.7199999999999996E-2</v>
      </c>
      <c r="E156">
        <v>27</v>
      </c>
      <c r="F156">
        <v>0.65</v>
      </c>
      <c r="G156">
        <v>0.85222222222222244</v>
      </c>
      <c r="H156">
        <v>0.3812963980260296</v>
      </c>
    </row>
    <row r="157" spans="1:8" x14ac:dyDescent="0.35">
      <c r="A157">
        <v>81</v>
      </c>
      <c r="B157" t="s">
        <v>81</v>
      </c>
      <c r="C157" t="str">
        <f>_xlfn.CONCAT(A157,B157,F157)</f>
        <v>8151-1000.65</v>
      </c>
      <c r="D157" s="6">
        <v>0.1429</v>
      </c>
      <c r="E157">
        <v>51</v>
      </c>
      <c r="F157">
        <v>0.65</v>
      </c>
      <c r="G157">
        <v>0.93123456790123438</v>
      </c>
      <c r="H157">
        <v>0.44610325375342536</v>
      </c>
    </row>
    <row r="158" spans="1:8" x14ac:dyDescent="0.35">
      <c r="A158">
        <v>81</v>
      </c>
      <c r="B158" t="s">
        <v>89</v>
      </c>
      <c r="C158" t="str">
        <f>_xlfn.CONCAT(A158,B158,F158)</f>
        <v>81101-1500.65</v>
      </c>
      <c r="D158" s="6">
        <v>0.1176</v>
      </c>
      <c r="E158">
        <v>83</v>
      </c>
      <c r="F158">
        <v>0.65</v>
      </c>
      <c r="G158">
        <v>0.94839506172839549</v>
      </c>
      <c r="H158">
        <v>0.473204695250727</v>
      </c>
    </row>
    <row r="159" spans="1:8" x14ac:dyDescent="0.35">
      <c r="A159">
        <v>81</v>
      </c>
      <c r="B159" t="s">
        <v>83</v>
      </c>
      <c r="C159" t="str">
        <f>_xlfn.CONCAT(A159,B159,F159)</f>
        <v>81151-2000.65</v>
      </c>
      <c r="D159" s="6">
        <v>0.1176</v>
      </c>
      <c r="E159">
        <v>113</v>
      </c>
      <c r="F159">
        <v>0.65</v>
      </c>
      <c r="G159">
        <v>0.96753086419753098</v>
      </c>
      <c r="H159">
        <v>0.49196384025699663</v>
      </c>
    </row>
    <row r="160" spans="1:8" x14ac:dyDescent="0.35">
      <c r="A160">
        <v>81</v>
      </c>
      <c r="B160" t="s">
        <v>90</v>
      </c>
      <c r="C160" t="str">
        <f>_xlfn.CONCAT(A160,B160,F160)</f>
        <v>81201-2500.65</v>
      </c>
      <c r="D160" s="6">
        <v>0.23530000000000001</v>
      </c>
      <c r="E160">
        <v>153</v>
      </c>
      <c r="F160">
        <v>0.65</v>
      </c>
      <c r="G160">
        <v>0.97827160493827181</v>
      </c>
      <c r="H160">
        <v>0.53580714616623049</v>
      </c>
    </row>
    <row r="161" spans="1:8" x14ac:dyDescent="0.35">
      <c r="A161">
        <v>81</v>
      </c>
      <c r="B161" t="s">
        <v>85</v>
      </c>
      <c r="C161" t="str">
        <f>_xlfn.CONCAT(A161,B161,F161)</f>
        <v>81251-3000.65</v>
      </c>
      <c r="D161" s="6">
        <v>0.23530000000000001</v>
      </c>
      <c r="E161">
        <v>180</v>
      </c>
      <c r="F161">
        <v>0.65</v>
      </c>
      <c r="G161">
        <v>0.9865432098765432</v>
      </c>
      <c r="H161">
        <v>0.54184240029757491</v>
      </c>
    </row>
    <row r="162" spans="1:8" x14ac:dyDescent="0.35">
      <c r="A162">
        <v>81</v>
      </c>
      <c r="B162" t="s">
        <v>86</v>
      </c>
      <c r="C162" t="str">
        <f>_xlfn.CONCAT(A162,B162,F162)</f>
        <v>81300+0.65</v>
      </c>
      <c r="D162" s="6">
        <v>8.4000000000000005E-2</v>
      </c>
      <c r="E162">
        <v>218</v>
      </c>
      <c r="F162">
        <v>0.65</v>
      </c>
      <c r="G162">
        <v>0.99259259259259247</v>
      </c>
      <c r="H162">
        <v>0.55866150481414234</v>
      </c>
    </row>
    <row r="163" spans="1:8" x14ac:dyDescent="0.35">
      <c r="A163">
        <v>85</v>
      </c>
      <c r="B163" t="s">
        <v>80</v>
      </c>
      <c r="C163" t="str">
        <f>_xlfn.CONCAT(A163,B163,F163)</f>
        <v>850-500.65</v>
      </c>
      <c r="D163" s="6">
        <v>6.7199999999999996E-2</v>
      </c>
      <c r="E163">
        <v>27</v>
      </c>
      <c r="F163">
        <v>0.65</v>
      </c>
      <c r="G163">
        <v>0.82847058823529363</v>
      </c>
      <c r="H163">
        <v>0.44258927218185951</v>
      </c>
    </row>
    <row r="164" spans="1:8" x14ac:dyDescent="0.35">
      <c r="A164">
        <v>85</v>
      </c>
      <c r="B164" t="s">
        <v>81</v>
      </c>
      <c r="C164" t="str">
        <f>_xlfn.CONCAT(A164,B164,F164)</f>
        <v>8551-1000.65</v>
      </c>
      <c r="D164" s="6">
        <v>0.1429</v>
      </c>
      <c r="E164">
        <v>51</v>
      </c>
      <c r="F164">
        <v>0.65</v>
      </c>
      <c r="G164">
        <v>0.88776470588235212</v>
      </c>
      <c r="H164">
        <v>0.47163251552169894</v>
      </c>
    </row>
    <row r="165" spans="1:8" x14ac:dyDescent="0.35">
      <c r="A165">
        <v>85</v>
      </c>
      <c r="B165" t="s">
        <v>89</v>
      </c>
      <c r="C165" t="str">
        <f>_xlfn.CONCAT(A165,B165,F165)</f>
        <v>85101-1500.65</v>
      </c>
      <c r="D165" s="6">
        <v>0.1176</v>
      </c>
      <c r="E165">
        <v>83</v>
      </c>
      <c r="F165">
        <v>0.65</v>
      </c>
      <c r="G165">
        <v>0.93211764705882261</v>
      </c>
      <c r="H165">
        <v>0.51795641278040894</v>
      </c>
    </row>
    <row r="166" spans="1:8" x14ac:dyDescent="0.35">
      <c r="A166">
        <v>85</v>
      </c>
      <c r="B166" t="s">
        <v>83</v>
      </c>
      <c r="C166" t="str">
        <f>_xlfn.CONCAT(A166,B166,F166)</f>
        <v>85151-2000.65</v>
      </c>
      <c r="D166" s="6">
        <v>0.1176</v>
      </c>
      <c r="E166">
        <v>113</v>
      </c>
      <c r="F166">
        <v>0.65</v>
      </c>
      <c r="G166">
        <v>0.98141176470588165</v>
      </c>
      <c r="H166">
        <v>0.52954335979787048</v>
      </c>
    </row>
    <row r="167" spans="1:8" x14ac:dyDescent="0.35">
      <c r="A167">
        <v>85</v>
      </c>
      <c r="B167" t="s">
        <v>90</v>
      </c>
      <c r="C167" t="str">
        <f>_xlfn.CONCAT(A167,B167,F167)</f>
        <v>85201-2500.65</v>
      </c>
      <c r="D167" s="6">
        <v>0.23530000000000001</v>
      </c>
      <c r="E167">
        <v>153</v>
      </c>
      <c r="F167">
        <v>0.65</v>
      </c>
      <c r="G167">
        <v>0.98364705882352865</v>
      </c>
      <c r="H167">
        <v>0.55697393267569251</v>
      </c>
    </row>
    <row r="168" spans="1:8" x14ac:dyDescent="0.35">
      <c r="A168">
        <v>85</v>
      </c>
      <c r="B168" t="s">
        <v>85</v>
      </c>
      <c r="C168" t="str">
        <f>_xlfn.CONCAT(A168,B168,F168)</f>
        <v>85251-3000.65</v>
      </c>
      <c r="D168" s="6">
        <v>0.23530000000000001</v>
      </c>
      <c r="E168">
        <v>180</v>
      </c>
      <c r="F168">
        <v>0.65</v>
      </c>
      <c r="G168">
        <v>0.97211764705882275</v>
      </c>
      <c r="H168">
        <v>0.55223479574192824</v>
      </c>
    </row>
    <row r="169" spans="1:8" x14ac:dyDescent="0.35">
      <c r="A169">
        <v>85</v>
      </c>
      <c r="B169" t="s">
        <v>86</v>
      </c>
      <c r="C169" t="str">
        <f>_xlfn.CONCAT(A169,B169,F169)</f>
        <v>85300+0.65</v>
      </c>
      <c r="D169" s="6">
        <v>8.4000000000000005E-2</v>
      </c>
      <c r="E169">
        <v>218</v>
      </c>
      <c r="F169">
        <v>0.65</v>
      </c>
      <c r="G169">
        <v>0.98894117647058766</v>
      </c>
      <c r="H169">
        <v>0.59685432771987301</v>
      </c>
    </row>
    <row r="170" spans="1:8" x14ac:dyDescent="0.35">
      <c r="A170">
        <v>89</v>
      </c>
      <c r="B170" t="s">
        <v>80</v>
      </c>
      <c r="C170" t="str">
        <f>_xlfn.CONCAT(A170,B170,F170)</f>
        <v>890-500.65</v>
      </c>
      <c r="D170" s="6">
        <v>6.7199999999999996E-2</v>
      </c>
      <c r="E170">
        <v>27</v>
      </c>
      <c r="F170">
        <v>0.65</v>
      </c>
      <c r="G170">
        <v>0.83382022471910089</v>
      </c>
      <c r="H170">
        <v>0.43764306752932319</v>
      </c>
    </row>
    <row r="171" spans="1:8" x14ac:dyDescent="0.35">
      <c r="A171">
        <v>89</v>
      </c>
      <c r="B171" t="s">
        <v>81</v>
      </c>
      <c r="C171" t="str">
        <f>_xlfn.CONCAT(A171,B171,F171)</f>
        <v>8951-1000.65</v>
      </c>
      <c r="D171" s="6">
        <v>0.1429</v>
      </c>
      <c r="E171">
        <v>51</v>
      </c>
      <c r="F171">
        <v>0.65</v>
      </c>
      <c r="G171">
        <v>0.864157303370787</v>
      </c>
      <c r="H171">
        <v>0.4780011456183636</v>
      </c>
    </row>
    <row r="172" spans="1:8" x14ac:dyDescent="0.35">
      <c r="A172">
        <v>89</v>
      </c>
      <c r="B172" t="s">
        <v>89</v>
      </c>
      <c r="C172" t="str">
        <f>_xlfn.CONCAT(A172,B172,F172)</f>
        <v>89101-1500.65</v>
      </c>
      <c r="D172" s="6">
        <v>0.1176</v>
      </c>
      <c r="E172">
        <v>83</v>
      </c>
      <c r="F172">
        <v>0.65</v>
      </c>
      <c r="G172">
        <v>0.92426966292134882</v>
      </c>
      <c r="H172">
        <v>0.53610202296624831</v>
      </c>
    </row>
    <row r="173" spans="1:8" x14ac:dyDescent="0.35">
      <c r="A173">
        <v>89</v>
      </c>
      <c r="B173" t="s">
        <v>83</v>
      </c>
      <c r="C173" t="str">
        <f>_xlfn.CONCAT(A173,B173,F173)</f>
        <v>89151-2000.65</v>
      </c>
      <c r="D173" s="6">
        <v>0.1176</v>
      </c>
      <c r="E173">
        <v>113</v>
      </c>
      <c r="F173">
        <v>0.65</v>
      </c>
      <c r="G173">
        <v>0.95662921348314667</v>
      </c>
      <c r="H173">
        <v>0.55827195711292465</v>
      </c>
    </row>
    <row r="174" spans="1:8" x14ac:dyDescent="0.35">
      <c r="A174">
        <v>89</v>
      </c>
      <c r="B174" t="s">
        <v>90</v>
      </c>
      <c r="C174" t="str">
        <f>_xlfn.CONCAT(A174,B174,F174)</f>
        <v>89201-2500.65</v>
      </c>
      <c r="D174" s="6">
        <v>0.23530000000000001</v>
      </c>
      <c r="E174">
        <v>153</v>
      </c>
      <c r="F174">
        <v>0.65</v>
      </c>
      <c r="G174">
        <v>0.98539325842696657</v>
      </c>
      <c r="H174">
        <v>0.58211351776522169</v>
      </c>
    </row>
    <row r="175" spans="1:8" x14ac:dyDescent="0.35">
      <c r="A175">
        <v>89</v>
      </c>
      <c r="B175" t="s">
        <v>85</v>
      </c>
      <c r="C175" t="str">
        <f>_xlfn.CONCAT(A175,B175,F175)</f>
        <v>89251-3000.65</v>
      </c>
      <c r="D175" s="6">
        <v>0.23530000000000001</v>
      </c>
      <c r="E175">
        <v>180</v>
      </c>
      <c r="F175">
        <v>0.65</v>
      </c>
      <c r="G175">
        <v>0.97775280898876471</v>
      </c>
      <c r="H175">
        <v>0.58159831845071219</v>
      </c>
    </row>
    <row r="176" spans="1:8" x14ac:dyDescent="0.35">
      <c r="A176">
        <v>89</v>
      </c>
      <c r="B176" t="s">
        <v>86</v>
      </c>
      <c r="C176" t="str">
        <f>_xlfn.CONCAT(A176,B176,F176)</f>
        <v>89300+0.65</v>
      </c>
      <c r="D176" s="6">
        <v>8.4000000000000005E-2</v>
      </c>
      <c r="E176">
        <v>218</v>
      </c>
      <c r="F176">
        <v>0.65</v>
      </c>
      <c r="G176">
        <v>0.98977528089887667</v>
      </c>
      <c r="H176">
        <v>0.6111697109079065</v>
      </c>
    </row>
    <row r="177" spans="1:8" x14ac:dyDescent="0.35">
      <c r="A177">
        <v>100</v>
      </c>
      <c r="B177" t="s">
        <v>80</v>
      </c>
      <c r="C177" t="str">
        <f>_xlfn.CONCAT(A177,B177,F177)</f>
        <v>1000-500.65</v>
      </c>
      <c r="D177" s="6">
        <v>6.7199999999999996E-2</v>
      </c>
      <c r="E177">
        <v>27</v>
      </c>
      <c r="F177">
        <v>0.65</v>
      </c>
      <c r="G177">
        <v>0.76059999999999983</v>
      </c>
      <c r="H177">
        <v>0.44332196154488313</v>
      </c>
    </row>
    <row r="178" spans="1:8" x14ac:dyDescent="0.35">
      <c r="A178">
        <v>100</v>
      </c>
      <c r="B178" t="s">
        <v>81</v>
      </c>
      <c r="C178" t="str">
        <f>_xlfn.CONCAT(A178,B178,F178)</f>
        <v>10051-1000.65</v>
      </c>
      <c r="D178" s="6">
        <v>0.1429</v>
      </c>
      <c r="E178">
        <v>51</v>
      </c>
      <c r="F178">
        <v>0.65</v>
      </c>
      <c r="G178">
        <v>0.78069999999999995</v>
      </c>
      <c r="H178">
        <v>0.48100996928278356</v>
      </c>
    </row>
    <row r="179" spans="1:8" x14ac:dyDescent="0.35">
      <c r="A179">
        <v>100</v>
      </c>
      <c r="B179" t="s">
        <v>89</v>
      </c>
      <c r="C179" t="str">
        <f>_xlfn.CONCAT(A179,B179,F179)</f>
        <v>100101-1500.65</v>
      </c>
      <c r="D179" s="6">
        <v>0.1176</v>
      </c>
      <c r="E179">
        <v>83</v>
      </c>
      <c r="F179">
        <v>0.65</v>
      </c>
      <c r="G179">
        <v>0.81119999999999981</v>
      </c>
      <c r="H179">
        <v>0.5185446019953327</v>
      </c>
    </row>
    <row r="180" spans="1:8" x14ac:dyDescent="0.35">
      <c r="A180">
        <v>100</v>
      </c>
      <c r="B180" t="s">
        <v>83</v>
      </c>
      <c r="C180" t="str">
        <f>_xlfn.CONCAT(A180,B180,F180)</f>
        <v>100151-2000.65</v>
      </c>
      <c r="D180" s="6">
        <v>0.1176</v>
      </c>
      <c r="E180">
        <v>113</v>
      </c>
      <c r="F180">
        <v>0.65</v>
      </c>
      <c r="G180">
        <v>0.92390000000000028</v>
      </c>
      <c r="H180">
        <v>0.56331714217019135</v>
      </c>
    </row>
    <row r="181" spans="1:8" x14ac:dyDescent="0.35">
      <c r="A181">
        <v>100</v>
      </c>
      <c r="B181" t="s">
        <v>90</v>
      </c>
      <c r="C181" t="str">
        <f>_xlfn.CONCAT(A181,B181,F181)</f>
        <v>100201-2500.65</v>
      </c>
      <c r="D181" s="6">
        <v>0.23530000000000001</v>
      </c>
      <c r="E181">
        <v>153</v>
      </c>
      <c r="F181">
        <v>0.65</v>
      </c>
      <c r="G181">
        <v>0.97189999999999943</v>
      </c>
      <c r="H181">
        <v>0.59317383094748888</v>
      </c>
    </row>
    <row r="182" spans="1:8" x14ac:dyDescent="0.35">
      <c r="A182">
        <v>100</v>
      </c>
      <c r="B182" t="s">
        <v>85</v>
      </c>
      <c r="C182" t="str">
        <f>_xlfn.CONCAT(A182,B182,F182)</f>
        <v>100251-3000.65</v>
      </c>
      <c r="D182" s="6">
        <v>0.23530000000000001</v>
      </c>
      <c r="E182">
        <v>180</v>
      </c>
      <c r="F182">
        <v>0.65</v>
      </c>
      <c r="G182">
        <v>0.94370000000000009</v>
      </c>
      <c r="H182">
        <v>0.56304688149523263</v>
      </c>
    </row>
    <row r="183" spans="1:8" x14ac:dyDescent="0.35">
      <c r="A183">
        <v>100</v>
      </c>
      <c r="B183" t="s">
        <v>86</v>
      </c>
      <c r="C183" t="str">
        <f>_xlfn.CONCAT(A183,B183,F183)</f>
        <v>100300+0.65</v>
      </c>
      <c r="D183" s="6">
        <v>8.4000000000000005E-2</v>
      </c>
      <c r="E183">
        <v>218</v>
      </c>
      <c r="F183">
        <v>0.65</v>
      </c>
      <c r="G183">
        <v>0.98729999999999984</v>
      </c>
      <c r="H183">
        <v>0.6310598615088856</v>
      </c>
    </row>
    <row r="184" spans="1:8" x14ac:dyDescent="0.35">
      <c r="A184">
        <v>106</v>
      </c>
      <c r="B184" t="s">
        <v>80</v>
      </c>
      <c r="C184" t="str">
        <f>_xlfn.CONCAT(A184,B184,F184)</f>
        <v>1060-500.65</v>
      </c>
      <c r="D184" s="6">
        <v>6.7199999999999996E-2</v>
      </c>
      <c r="E184">
        <v>27</v>
      </c>
      <c r="F184">
        <v>0.65</v>
      </c>
      <c r="G184">
        <v>0.74716981132075455</v>
      </c>
      <c r="H184">
        <v>0.42610506895525602</v>
      </c>
    </row>
    <row r="185" spans="1:8" x14ac:dyDescent="0.35">
      <c r="A185">
        <v>106</v>
      </c>
      <c r="B185" t="s">
        <v>81</v>
      </c>
      <c r="C185" t="str">
        <f>_xlfn.CONCAT(A185,B185,F185)</f>
        <v>10651-1000.65</v>
      </c>
      <c r="D185" s="6">
        <v>0.1429</v>
      </c>
      <c r="E185">
        <v>51</v>
      </c>
      <c r="F185">
        <v>0.65</v>
      </c>
      <c r="G185">
        <v>0.76471698113207542</v>
      </c>
      <c r="H185">
        <v>0.49555008228953257</v>
      </c>
    </row>
    <row r="186" spans="1:8" x14ac:dyDescent="0.35">
      <c r="A186">
        <v>106</v>
      </c>
      <c r="B186" t="s">
        <v>89</v>
      </c>
      <c r="C186" t="str">
        <f>_xlfn.CONCAT(A186,B186,F186)</f>
        <v>106101-1500.65</v>
      </c>
      <c r="D186" s="6">
        <v>0.1176</v>
      </c>
      <c r="E186">
        <v>83</v>
      </c>
      <c r="F186">
        <v>0.65</v>
      </c>
      <c r="G186">
        <v>0.77971698113207566</v>
      </c>
      <c r="H186">
        <v>0.56984074406827656</v>
      </c>
    </row>
    <row r="187" spans="1:8" x14ac:dyDescent="0.35">
      <c r="A187">
        <v>106</v>
      </c>
      <c r="B187" t="s">
        <v>83</v>
      </c>
      <c r="C187" t="str">
        <f>_xlfn.CONCAT(A187,B187,F187)</f>
        <v>106151-2000.65</v>
      </c>
      <c r="D187" s="6">
        <v>0.1176</v>
      </c>
      <c r="E187">
        <v>113</v>
      </c>
      <c r="F187">
        <v>0.65</v>
      </c>
      <c r="G187">
        <v>0.85254716981132073</v>
      </c>
      <c r="H187">
        <v>0.60449028618122225</v>
      </c>
    </row>
    <row r="188" spans="1:8" x14ac:dyDescent="0.35">
      <c r="A188">
        <v>106</v>
      </c>
      <c r="B188" t="s">
        <v>90</v>
      </c>
      <c r="C188" t="str">
        <f>_xlfn.CONCAT(A188,B188,F188)</f>
        <v>106201-2500.65</v>
      </c>
      <c r="D188" s="6">
        <v>0.23530000000000001</v>
      </c>
      <c r="E188">
        <v>153</v>
      </c>
      <c r="F188">
        <v>0.65</v>
      </c>
      <c r="G188">
        <v>0.87820754716981131</v>
      </c>
      <c r="H188">
        <v>0.61284896778054576</v>
      </c>
    </row>
    <row r="189" spans="1:8" x14ac:dyDescent="0.35">
      <c r="A189">
        <v>106</v>
      </c>
      <c r="B189" t="s">
        <v>85</v>
      </c>
      <c r="C189" t="str">
        <f>_xlfn.CONCAT(A189,B189,F189)</f>
        <v>106251-3000.65</v>
      </c>
      <c r="D189" s="6">
        <v>0.23530000000000001</v>
      </c>
      <c r="E189">
        <v>180</v>
      </c>
      <c r="F189">
        <v>0.65</v>
      </c>
      <c r="G189">
        <v>0.89981132075471693</v>
      </c>
      <c r="H189">
        <v>0.62710140585457541</v>
      </c>
    </row>
    <row r="190" spans="1:8" x14ac:dyDescent="0.35">
      <c r="A190">
        <v>106</v>
      </c>
      <c r="B190" t="s">
        <v>86</v>
      </c>
      <c r="C190" t="str">
        <f>_xlfn.CONCAT(A190,B190,F190)</f>
        <v>106300+0.65</v>
      </c>
      <c r="D190" s="6">
        <v>8.4000000000000005E-2</v>
      </c>
      <c r="E190">
        <v>218</v>
      </c>
      <c r="F190">
        <v>0.65</v>
      </c>
      <c r="G190">
        <v>0.96188679245283015</v>
      </c>
      <c r="H190">
        <v>0.62812491671488546</v>
      </c>
    </row>
    <row r="191" spans="1:8" x14ac:dyDescent="0.35">
      <c r="A191">
        <v>117</v>
      </c>
      <c r="B191" t="s">
        <v>80</v>
      </c>
      <c r="C191" t="str">
        <f>_xlfn.CONCAT(A191,B191,F191)</f>
        <v>1170-500.65</v>
      </c>
      <c r="D191" s="6">
        <v>6.7199999999999996E-2</v>
      </c>
      <c r="E191">
        <v>27</v>
      </c>
      <c r="F191">
        <v>0.65</v>
      </c>
      <c r="G191">
        <v>0.78145299145299119</v>
      </c>
      <c r="H191">
        <v>0.4716908412863639</v>
      </c>
    </row>
    <row r="192" spans="1:8" x14ac:dyDescent="0.35">
      <c r="A192">
        <v>117</v>
      </c>
      <c r="B192" t="s">
        <v>81</v>
      </c>
      <c r="C192" t="str">
        <f>_xlfn.CONCAT(A192,B192,F192)</f>
        <v>11751-1000.65</v>
      </c>
      <c r="D192" s="6">
        <v>0.1429</v>
      </c>
      <c r="E192">
        <v>51</v>
      </c>
      <c r="F192">
        <v>0.65</v>
      </c>
      <c r="G192">
        <v>0.83427350427350377</v>
      </c>
      <c r="H192">
        <v>0.51496149129275748</v>
      </c>
    </row>
    <row r="193" spans="1:8" x14ac:dyDescent="0.35">
      <c r="A193">
        <v>117</v>
      </c>
      <c r="B193" t="s">
        <v>89</v>
      </c>
      <c r="C193" t="str">
        <f>_xlfn.CONCAT(A193,B193,F193)</f>
        <v>117101-1500.65</v>
      </c>
      <c r="D193" s="6">
        <v>0.1176</v>
      </c>
      <c r="E193">
        <v>83</v>
      </c>
      <c r="F193">
        <v>0.65</v>
      </c>
      <c r="G193">
        <v>0.85102564102564049</v>
      </c>
      <c r="H193">
        <v>0.55023672310435467</v>
      </c>
    </row>
    <row r="194" spans="1:8" x14ac:dyDescent="0.35">
      <c r="A194">
        <v>117</v>
      </c>
      <c r="B194" t="s">
        <v>83</v>
      </c>
      <c r="C194" t="str">
        <f>_xlfn.CONCAT(A194,B194,F194)</f>
        <v>117151-2000.65</v>
      </c>
      <c r="D194" s="6">
        <v>0.1176</v>
      </c>
      <c r="E194">
        <v>113</v>
      </c>
      <c r="F194">
        <v>0.65</v>
      </c>
      <c r="G194">
        <v>0.90837606837606744</v>
      </c>
      <c r="H194">
        <v>0.58208528423083106</v>
      </c>
    </row>
    <row r="195" spans="1:8" x14ac:dyDescent="0.35">
      <c r="A195">
        <v>117</v>
      </c>
      <c r="B195" t="s">
        <v>90</v>
      </c>
      <c r="C195" t="str">
        <f>_xlfn.CONCAT(A195,B195,F195)</f>
        <v>117201-2500.65</v>
      </c>
      <c r="D195" s="6">
        <v>0.23530000000000001</v>
      </c>
      <c r="E195">
        <v>153</v>
      </c>
      <c r="F195">
        <v>0.65</v>
      </c>
      <c r="G195">
        <v>0.92598290598290522</v>
      </c>
      <c r="H195">
        <v>0.58398136803214173</v>
      </c>
    </row>
    <row r="196" spans="1:8" x14ac:dyDescent="0.35">
      <c r="A196">
        <v>117</v>
      </c>
      <c r="B196" t="s">
        <v>85</v>
      </c>
      <c r="C196" t="str">
        <f>_xlfn.CONCAT(A196,B196,F196)</f>
        <v>117251-3000.65</v>
      </c>
      <c r="D196" s="6">
        <v>0.23530000000000001</v>
      </c>
      <c r="E196">
        <v>180</v>
      </c>
      <c r="F196">
        <v>0.65</v>
      </c>
      <c r="G196">
        <v>0.96931623931623845</v>
      </c>
      <c r="H196">
        <v>0.63622784884086292</v>
      </c>
    </row>
    <row r="197" spans="1:8" x14ac:dyDescent="0.35">
      <c r="A197">
        <v>117</v>
      </c>
      <c r="B197" t="s">
        <v>86</v>
      </c>
      <c r="C197" t="str">
        <f>_xlfn.CONCAT(A197,B197,F197)</f>
        <v>117300+0.65</v>
      </c>
      <c r="D197" s="6">
        <v>8.4000000000000005E-2</v>
      </c>
      <c r="E197">
        <v>218</v>
      </c>
      <c r="F197">
        <v>0.65</v>
      </c>
      <c r="G197">
        <v>0.9747863247863241</v>
      </c>
      <c r="H197">
        <v>0.65893472918903095</v>
      </c>
    </row>
    <row r="198" spans="1:8" x14ac:dyDescent="0.35">
      <c r="A198">
        <v>125</v>
      </c>
      <c r="B198" t="s">
        <v>80</v>
      </c>
      <c r="C198" t="str">
        <f>_xlfn.CONCAT(A198,B198,F198)</f>
        <v>1250-500.65</v>
      </c>
      <c r="D198" s="6">
        <v>6.7199999999999996E-2</v>
      </c>
      <c r="E198">
        <v>27</v>
      </c>
      <c r="F198">
        <v>0.65</v>
      </c>
      <c r="G198">
        <v>0.64191999999999994</v>
      </c>
      <c r="H198">
        <v>0.45231588380624949</v>
      </c>
    </row>
    <row r="199" spans="1:8" x14ac:dyDescent="0.35">
      <c r="A199">
        <v>125</v>
      </c>
      <c r="B199" t="s">
        <v>81</v>
      </c>
      <c r="C199" t="str">
        <f>_xlfn.CONCAT(A199,B199,F199)</f>
        <v>12551-1000.65</v>
      </c>
      <c r="D199" s="6">
        <v>0.1429</v>
      </c>
      <c r="E199">
        <v>51</v>
      </c>
      <c r="F199">
        <v>0.65</v>
      </c>
      <c r="G199">
        <v>0.71408000000000016</v>
      </c>
      <c r="H199">
        <v>0.52249475258071287</v>
      </c>
    </row>
    <row r="200" spans="1:8" x14ac:dyDescent="0.35">
      <c r="A200">
        <v>125</v>
      </c>
      <c r="B200" t="s">
        <v>89</v>
      </c>
      <c r="C200" t="str">
        <f>_xlfn.CONCAT(A200,B200,F200)</f>
        <v>125101-1500.65</v>
      </c>
      <c r="D200" s="6">
        <v>0.1176</v>
      </c>
      <c r="E200">
        <v>83</v>
      </c>
      <c r="F200">
        <v>0.65</v>
      </c>
      <c r="G200">
        <v>0.74280000000000035</v>
      </c>
      <c r="H200">
        <v>0.57650201382760791</v>
      </c>
    </row>
    <row r="201" spans="1:8" x14ac:dyDescent="0.35">
      <c r="A201">
        <v>125</v>
      </c>
      <c r="B201" t="s">
        <v>83</v>
      </c>
      <c r="C201" t="str">
        <f>_xlfn.CONCAT(A201,B201,F201)</f>
        <v>125151-2000.65</v>
      </c>
      <c r="D201" s="6">
        <v>0.1176</v>
      </c>
      <c r="E201">
        <v>113</v>
      </c>
      <c r="F201">
        <v>0.65</v>
      </c>
      <c r="G201">
        <v>0.79752000000000023</v>
      </c>
      <c r="H201">
        <v>0.62187731067349195</v>
      </c>
    </row>
    <row r="202" spans="1:8" x14ac:dyDescent="0.35">
      <c r="A202">
        <v>125</v>
      </c>
      <c r="B202" t="s">
        <v>90</v>
      </c>
      <c r="C202" t="str">
        <f>_xlfn.CONCAT(A202,B202,F202)</f>
        <v>125201-2500.65</v>
      </c>
      <c r="D202" s="6">
        <v>0.23530000000000001</v>
      </c>
      <c r="E202">
        <v>153</v>
      </c>
      <c r="F202">
        <v>0.65</v>
      </c>
      <c r="G202">
        <v>0.85744000000000042</v>
      </c>
      <c r="H202">
        <v>0.63300984642768177</v>
      </c>
    </row>
    <row r="203" spans="1:8" x14ac:dyDescent="0.35">
      <c r="A203">
        <v>125</v>
      </c>
      <c r="B203" t="s">
        <v>85</v>
      </c>
      <c r="C203" t="str">
        <f>_xlfn.CONCAT(A203,B203,F203)</f>
        <v>125251-3000.65</v>
      </c>
      <c r="D203" s="6">
        <v>0.23530000000000001</v>
      </c>
      <c r="E203">
        <v>180</v>
      </c>
      <c r="F203">
        <v>0.65</v>
      </c>
      <c r="G203">
        <v>0.87520000000000053</v>
      </c>
      <c r="H203">
        <v>0.65423734451745919</v>
      </c>
    </row>
    <row r="204" spans="1:8" x14ac:dyDescent="0.35">
      <c r="A204">
        <v>125</v>
      </c>
      <c r="B204" t="s">
        <v>86</v>
      </c>
      <c r="C204" t="str">
        <f>_xlfn.CONCAT(A204,B204,F204)</f>
        <v>125300+0.65</v>
      </c>
      <c r="D204" s="6">
        <v>8.4000000000000005E-2</v>
      </c>
      <c r="E204">
        <v>218</v>
      </c>
      <c r="F204">
        <v>0.65</v>
      </c>
      <c r="G204">
        <v>0.9090400000000004</v>
      </c>
      <c r="H204">
        <v>0.66582217108027453</v>
      </c>
    </row>
    <row r="205" spans="1:8" x14ac:dyDescent="0.35">
      <c r="A205">
        <v>133</v>
      </c>
      <c r="B205" t="s">
        <v>80</v>
      </c>
      <c r="C205" t="str">
        <f>_xlfn.CONCAT(A205,B205,F205)</f>
        <v>1330-500.65</v>
      </c>
      <c r="D205" s="6">
        <v>6.7199999999999996E-2</v>
      </c>
      <c r="E205">
        <v>27</v>
      </c>
      <c r="F205">
        <v>0.65</v>
      </c>
      <c r="G205">
        <v>0.66714285714285704</v>
      </c>
      <c r="H205">
        <v>0.46301026521291055</v>
      </c>
    </row>
    <row r="206" spans="1:8" x14ac:dyDescent="0.35">
      <c r="A206">
        <v>133</v>
      </c>
      <c r="B206" t="s">
        <v>81</v>
      </c>
      <c r="C206" t="str">
        <f>_xlfn.CONCAT(A206,B206,F206)</f>
        <v>13351-1000.65</v>
      </c>
      <c r="D206" s="6">
        <v>0.1429</v>
      </c>
      <c r="E206">
        <v>51</v>
      </c>
      <c r="F206">
        <v>0.65</v>
      </c>
      <c r="G206">
        <v>0.7159398496240601</v>
      </c>
      <c r="H206">
        <v>0.54993337353155403</v>
      </c>
    </row>
    <row r="207" spans="1:8" x14ac:dyDescent="0.35">
      <c r="A207">
        <v>133</v>
      </c>
      <c r="B207" t="s">
        <v>89</v>
      </c>
      <c r="C207" t="str">
        <f>_xlfn.CONCAT(A207,B207,F207)</f>
        <v>133101-1500.65</v>
      </c>
      <c r="D207" s="6">
        <v>0.1176</v>
      </c>
      <c r="E207">
        <v>83</v>
      </c>
      <c r="F207">
        <v>0.65</v>
      </c>
      <c r="G207">
        <v>0.76947368421052631</v>
      </c>
      <c r="H207">
        <v>0.59680968150951619</v>
      </c>
    </row>
    <row r="208" spans="1:8" x14ac:dyDescent="0.35">
      <c r="A208">
        <v>133</v>
      </c>
      <c r="B208" t="s">
        <v>83</v>
      </c>
      <c r="C208" t="str">
        <f>_xlfn.CONCAT(A208,B208,F208)</f>
        <v>133151-2000.65</v>
      </c>
      <c r="D208" s="6">
        <v>0.1176</v>
      </c>
      <c r="E208">
        <v>113</v>
      </c>
      <c r="F208">
        <v>0.65</v>
      </c>
      <c r="G208">
        <v>0.78097744360902255</v>
      </c>
      <c r="H208">
        <v>0.61225168328616497</v>
      </c>
    </row>
    <row r="209" spans="1:8" x14ac:dyDescent="0.35">
      <c r="A209">
        <v>133</v>
      </c>
      <c r="B209" t="s">
        <v>90</v>
      </c>
      <c r="C209" t="str">
        <f>_xlfn.CONCAT(A209,B209,F209)</f>
        <v>133201-2500.65</v>
      </c>
      <c r="D209" s="6">
        <v>0.23530000000000001</v>
      </c>
      <c r="E209">
        <v>153</v>
      </c>
      <c r="F209">
        <v>0.65</v>
      </c>
      <c r="G209">
        <v>0.84533834586466172</v>
      </c>
      <c r="H209">
        <v>0.62036269954167855</v>
      </c>
    </row>
    <row r="210" spans="1:8" x14ac:dyDescent="0.35">
      <c r="A210">
        <v>133</v>
      </c>
      <c r="B210" t="s">
        <v>85</v>
      </c>
      <c r="C210" t="str">
        <f>_xlfn.CONCAT(A210,B210,F210)</f>
        <v>133251-3000.65</v>
      </c>
      <c r="D210" s="6">
        <v>0.23530000000000001</v>
      </c>
      <c r="E210">
        <v>180</v>
      </c>
      <c r="F210">
        <v>0.65</v>
      </c>
      <c r="G210">
        <v>0.87578947368421067</v>
      </c>
      <c r="H210">
        <v>0.64887525305640581</v>
      </c>
    </row>
    <row r="211" spans="1:8" x14ac:dyDescent="0.35">
      <c r="A211">
        <v>133</v>
      </c>
      <c r="B211" t="s">
        <v>86</v>
      </c>
      <c r="C211" t="str">
        <f>_xlfn.CONCAT(A211,B211,F211)</f>
        <v>133300+0.65</v>
      </c>
      <c r="D211" s="6">
        <v>8.4000000000000005E-2</v>
      </c>
      <c r="E211">
        <v>218</v>
      </c>
      <c r="F211">
        <v>0.65</v>
      </c>
      <c r="G211">
        <v>0.90526315789473732</v>
      </c>
      <c r="H211">
        <v>0.66946325089507441</v>
      </c>
    </row>
    <row r="212" spans="1:8" x14ac:dyDescent="0.35">
      <c r="A212">
        <v>60</v>
      </c>
      <c r="B212" t="s">
        <v>80</v>
      </c>
      <c r="C212" t="str">
        <f>_xlfn.CONCAT(A212,B212,F212)</f>
        <v>600-500.91</v>
      </c>
      <c r="D212" s="6">
        <v>6.7199999999999996E-2</v>
      </c>
      <c r="E212">
        <v>38</v>
      </c>
      <c r="F212">
        <v>0.91</v>
      </c>
      <c r="G212">
        <v>0.98200000000000065</v>
      </c>
      <c r="H212">
        <v>0.37306355881199338</v>
      </c>
    </row>
    <row r="213" spans="1:8" x14ac:dyDescent="0.35">
      <c r="A213">
        <v>60</v>
      </c>
      <c r="B213" t="s">
        <v>81</v>
      </c>
      <c r="C213" t="str">
        <f>_xlfn.CONCAT(A213,B213,F213)</f>
        <v>6051-1000.91</v>
      </c>
      <c r="D213" s="6">
        <v>0.1429</v>
      </c>
      <c r="E213">
        <v>72</v>
      </c>
      <c r="F213">
        <v>0.91</v>
      </c>
      <c r="G213">
        <v>0.98566666666666691</v>
      </c>
      <c r="H213">
        <v>0.48087593245403837</v>
      </c>
    </row>
    <row r="214" spans="1:8" x14ac:dyDescent="0.35">
      <c r="A214">
        <v>60</v>
      </c>
      <c r="B214" t="s">
        <v>89</v>
      </c>
      <c r="C214" t="str">
        <f>_xlfn.CONCAT(A214,B214,F214)</f>
        <v>60101-1500.91</v>
      </c>
      <c r="D214" s="6">
        <v>0.1176</v>
      </c>
      <c r="E214">
        <v>116</v>
      </c>
      <c r="F214">
        <v>0.91</v>
      </c>
      <c r="G214">
        <v>0.99400000000000022</v>
      </c>
      <c r="H214">
        <v>0.50154193710459671</v>
      </c>
    </row>
    <row r="215" spans="1:8" x14ac:dyDescent="0.35">
      <c r="A215">
        <v>60</v>
      </c>
      <c r="B215" t="s">
        <v>83</v>
      </c>
      <c r="C215" t="str">
        <f>_xlfn.CONCAT(A215,B215,F215)</f>
        <v>60151-2000.91</v>
      </c>
      <c r="D215" s="6">
        <v>0.1176</v>
      </c>
      <c r="E215">
        <v>158</v>
      </c>
      <c r="F215">
        <v>0.91</v>
      </c>
      <c r="G215">
        <v>0.99416666666666675</v>
      </c>
      <c r="H215">
        <v>0.59311862360060463</v>
      </c>
    </row>
    <row r="216" spans="1:8" x14ac:dyDescent="0.35">
      <c r="A216">
        <v>60</v>
      </c>
      <c r="B216" t="s">
        <v>90</v>
      </c>
      <c r="C216" t="str">
        <f>_xlfn.CONCAT(A216,B216,F216)</f>
        <v>60201-2500.91</v>
      </c>
      <c r="D216" s="6">
        <v>0.23530000000000001</v>
      </c>
      <c r="E216">
        <v>214</v>
      </c>
      <c r="F216">
        <v>0.91</v>
      </c>
      <c r="G216">
        <v>0.99850000000000005</v>
      </c>
      <c r="H216">
        <v>0.63192081899664376</v>
      </c>
    </row>
    <row r="217" spans="1:8" x14ac:dyDescent="0.35">
      <c r="A217">
        <v>60</v>
      </c>
      <c r="B217" t="s">
        <v>85</v>
      </c>
      <c r="C217" t="str">
        <f>_xlfn.CONCAT(A217,B217,F217)</f>
        <v>60251-3000.91</v>
      </c>
      <c r="D217" s="6">
        <v>0.23530000000000001</v>
      </c>
      <c r="E217">
        <v>251</v>
      </c>
      <c r="F217">
        <v>0.91</v>
      </c>
      <c r="G217">
        <v>0.99983333333333335</v>
      </c>
      <c r="H217">
        <v>0.66444350282485809</v>
      </c>
    </row>
    <row r="218" spans="1:8" x14ac:dyDescent="0.35">
      <c r="A218">
        <v>60</v>
      </c>
      <c r="B218" t="s">
        <v>86</v>
      </c>
      <c r="C218" t="str">
        <f>_xlfn.CONCAT(A218,B218,F218)</f>
        <v>60300+0.91</v>
      </c>
      <c r="D218" s="6">
        <v>8.4000000000000005E-2</v>
      </c>
      <c r="E218">
        <v>305</v>
      </c>
      <c r="F218">
        <v>0.91</v>
      </c>
      <c r="G218">
        <v>0.99950000000000006</v>
      </c>
      <c r="H218">
        <v>0.64731638418079041</v>
      </c>
    </row>
    <row r="219" spans="1:8" x14ac:dyDescent="0.35">
      <c r="A219">
        <v>72</v>
      </c>
      <c r="B219" t="s">
        <v>80</v>
      </c>
      <c r="C219" t="str">
        <f>_xlfn.CONCAT(A219,B219,F219)</f>
        <v>720-500.91</v>
      </c>
      <c r="D219" s="6">
        <v>6.7199999999999996E-2</v>
      </c>
      <c r="E219">
        <v>38</v>
      </c>
      <c r="F219">
        <v>0.91</v>
      </c>
      <c r="G219">
        <v>0.97888888888888947</v>
      </c>
      <c r="H219">
        <v>0.41669600918796007</v>
      </c>
    </row>
    <row r="220" spans="1:8" x14ac:dyDescent="0.35">
      <c r="A220">
        <v>72</v>
      </c>
      <c r="B220" t="s">
        <v>81</v>
      </c>
      <c r="C220" t="str">
        <f>_xlfn.CONCAT(A220,B220,F220)</f>
        <v>7251-1000.91</v>
      </c>
      <c r="D220" s="6">
        <v>0.1429</v>
      </c>
      <c r="E220">
        <v>72</v>
      </c>
      <c r="F220">
        <v>0.91</v>
      </c>
      <c r="G220">
        <v>0.9869444444444444</v>
      </c>
      <c r="H220">
        <v>0.49398835852059153</v>
      </c>
    </row>
    <row r="221" spans="1:8" x14ac:dyDescent="0.35">
      <c r="A221">
        <v>72</v>
      </c>
      <c r="B221" t="s">
        <v>89</v>
      </c>
      <c r="C221" t="str">
        <f>_xlfn.CONCAT(A221,B221,F221)</f>
        <v>72101-1500.91</v>
      </c>
      <c r="D221" s="6">
        <v>0.1176</v>
      </c>
      <c r="E221">
        <v>116</v>
      </c>
      <c r="F221">
        <v>0.91</v>
      </c>
      <c r="G221">
        <v>0.99763888888888896</v>
      </c>
      <c r="H221">
        <v>0.56072304095767622</v>
      </c>
    </row>
    <row r="222" spans="1:8" x14ac:dyDescent="0.35">
      <c r="A222">
        <v>72</v>
      </c>
      <c r="B222" t="s">
        <v>83</v>
      </c>
      <c r="C222" t="str">
        <f>_xlfn.CONCAT(A222,B222,F222)</f>
        <v>72151-2000.91</v>
      </c>
      <c r="D222" s="6">
        <v>0.1176</v>
      </c>
      <c r="E222">
        <v>158</v>
      </c>
      <c r="F222">
        <v>0.91</v>
      </c>
      <c r="G222">
        <v>0.99597222222222215</v>
      </c>
      <c r="H222">
        <v>0.63664309241483164</v>
      </c>
    </row>
    <row r="223" spans="1:8" x14ac:dyDescent="0.35">
      <c r="A223">
        <v>72</v>
      </c>
      <c r="B223" t="s">
        <v>90</v>
      </c>
      <c r="C223" t="str">
        <f>_xlfn.CONCAT(A223,B223,F223)</f>
        <v>72201-2500.91</v>
      </c>
      <c r="D223" s="6">
        <v>0.23530000000000001</v>
      </c>
      <c r="E223">
        <v>214</v>
      </c>
      <c r="F223">
        <v>0.91</v>
      </c>
      <c r="G223">
        <v>0.99958333333333327</v>
      </c>
      <c r="H223">
        <v>0.60844806763285064</v>
      </c>
    </row>
    <row r="224" spans="1:8" x14ac:dyDescent="0.35">
      <c r="A224">
        <v>72</v>
      </c>
      <c r="B224" t="s">
        <v>85</v>
      </c>
      <c r="C224" t="str">
        <f>_xlfn.CONCAT(A224,B224,F224)</f>
        <v>72251-3000.91</v>
      </c>
      <c r="D224" s="6">
        <v>0.23530000000000001</v>
      </c>
      <c r="E224">
        <v>251</v>
      </c>
      <c r="F224">
        <v>0.91</v>
      </c>
      <c r="G224">
        <v>0.99972222222222229</v>
      </c>
      <c r="H224">
        <v>0.63294841269841218</v>
      </c>
    </row>
    <row r="225" spans="1:8" x14ac:dyDescent="0.35">
      <c r="A225">
        <v>72</v>
      </c>
      <c r="B225" t="s">
        <v>86</v>
      </c>
      <c r="C225" t="str">
        <f>_xlfn.CONCAT(A225,B225,F225)</f>
        <v>72300+0.91</v>
      </c>
      <c r="D225" s="6">
        <v>8.4000000000000005E-2</v>
      </c>
      <c r="E225">
        <v>305</v>
      </c>
      <c r="F225">
        <v>0.91</v>
      </c>
      <c r="G225">
        <v>1</v>
      </c>
      <c r="H225">
        <v>0.69430555555555529</v>
      </c>
    </row>
    <row r="226" spans="1:8" x14ac:dyDescent="0.35">
      <c r="A226">
        <v>81</v>
      </c>
      <c r="B226" t="s">
        <v>80</v>
      </c>
      <c r="C226" t="str">
        <f>_xlfn.CONCAT(A226,B226,F226)</f>
        <v>810-500.91</v>
      </c>
      <c r="D226" s="6">
        <v>6.7199999999999996E-2</v>
      </c>
      <c r="E226">
        <v>38</v>
      </c>
      <c r="F226">
        <v>0.91</v>
      </c>
      <c r="G226">
        <v>0.89716049382716068</v>
      </c>
      <c r="H226">
        <v>0.42250834022132672</v>
      </c>
    </row>
    <row r="227" spans="1:8" x14ac:dyDescent="0.35">
      <c r="A227">
        <v>81</v>
      </c>
      <c r="B227" t="s">
        <v>81</v>
      </c>
      <c r="C227" t="str">
        <f>_xlfn.CONCAT(A227,B227,F227)</f>
        <v>8151-1000.91</v>
      </c>
      <c r="D227" s="6">
        <v>0.1429</v>
      </c>
      <c r="E227">
        <v>72</v>
      </c>
      <c r="F227">
        <v>0.91</v>
      </c>
      <c r="G227">
        <v>0.94432098765432082</v>
      </c>
      <c r="H227">
        <v>0.46600729802406904</v>
      </c>
    </row>
    <row r="228" spans="1:8" x14ac:dyDescent="0.35">
      <c r="A228">
        <v>81</v>
      </c>
      <c r="B228" t="s">
        <v>89</v>
      </c>
      <c r="C228" t="str">
        <f>_xlfn.CONCAT(A228,B228,F228)</f>
        <v>81101-1500.91</v>
      </c>
      <c r="D228" s="6">
        <v>0.1176</v>
      </c>
      <c r="E228">
        <v>116</v>
      </c>
      <c r="F228">
        <v>0.91</v>
      </c>
      <c r="G228">
        <v>0.97172839506172826</v>
      </c>
      <c r="H228">
        <v>0.49305785031442118</v>
      </c>
    </row>
    <row r="229" spans="1:8" x14ac:dyDescent="0.35">
      <c r="A229">
        <v>81</v>
      </c>
      <c r="B229" t="s">
        <v>83</v>
      </c>
      <c r="C229" t="str">
        <f>_xlfn.CONCAT(A229,B229,F229)</f>
        <v>81151-2000.91</v>
      </c>
      <c r="D229" s="6">
        <v>0.1176</v>
      </c>
      <c r="E229">
        <v>158</v>
      </c>
      <c r="F229">
        <v>0.91</v>
      </c>
      <c r="G229">
        <v>0.986913580246914</v>
      </c>
      <c r="H229">
        <v>0.53145270076071771</v>
      </c>
    </row>
    <row r="230" spans="1:8" x14ac:dyDescent="0.35">
      <c r="A230">
        <v>81</v>
      </c>
      <c r="B230" t="s">
        <v>90</v>
      </c>
      <c r="C230" t="str">
        <f>_xlfn.CONCAT(A230,B230,F230)</f>
        <v>81201-2500.91</v>
      </c>
      <c r="D230" s="6">
        <v>0.23530000000000001</v>
      </c>
      <c r="E230">
        <v>214</v>
      </c>
      <c r="F230">
        <v>0.91</v>
      </c>
      <c r="G230">
        <v>0.99049382716049361</v>
      </c>
      <c r="H230">
        <v>0.56095114219126552</v>
      </c>
    </row>
    <row r="231" spans="1:8" x14ac:dyDescent="0.35">
      <c r="A231">
        <v>81</v>
      </c>
      <c r="B231" t="s">
        <v>85</v>
      </c>
      <c r="C231" t="str">
        <f>_xlfn.CONCAT(A231,B231,F231)</f>
        <v>81251-3000.91</v>
      </c>
      <c r="D231" s="6">
        <v>0.23530000000000001</v>
      </c>
      <c r="E231">
        <v>251</v>
      </c>
      <c r="F231">
        <v>0.91</v>
      </c>
      <c r="G231">
        <v>0.9941975308641976</v>
      </c>
      <c r="H231">
        <v>0.57149102649630068</v>
      </c>
    </row>
    <row r="232" spans="1:8" x14ac:dyDescent="0.35">
      <c r="A232">
        <v>81</v>
      </c>
      <c r="B232" t="s">
        <v>86</v>
      </c>
      <c r="C232" t="str">
        <f>_xlfn.CONCAT(A232,B232,F232)</f>
        <v>81300+0.91</v>
      </c>
      <c r="D232" s="6">
        <v>8.4000000000000005E-2</v>
      </c>
      <c r="E232">
        <v>305</v>
      </c>
      <c r="F232">
        <v>0.91</v>
      </c>
      <c r="G232">
        <v>0.99567901234567879</v>
      </c>
      <c r="H232">
        <v>0.59183519426599607</v>
      </c>
    </row>
    <row r="233" spans="1:8" x14ac:dyDescent="0.35">
      <c r="A233">
        <v>85</v>
      </c>
      <c r="B233" t="s">
        <v>80</v>
      </c>
      <c r="C233" t="str">
        <f>_xlfn.CONCAT(A233,B233,F233)</f>
        <v>850-500.91</v>
      </c>
      <c r="D233" s="6">
        <v>6.7199999999999996E-2</v>
      </c>
      <c r="E233">
        <v>38</v>
      </c>
      <c r="F233">
        <v>0.91</v>
      </c>
      <c r="G233">
        <v>0.87235294117646944</v>
      </c>
      <c r="H233">
        <v>0.47262303452730614</v>
      </c>
    </row>
    <row r="234" spans="1:8" x14ac:dyDescent="0.35">
      <c r="A234">
        <v>85</v>
      </c>
      <c r="B234" t="s">
        <v>81</v>
      </c>
      <c r="C234" t="str">
        <f>_xlfn.CONCAT(A234,B234,F234)</f>
        <v>8551-1000.91</v>
      </c>
      <c r="D234" s="6">
        <v>0.1429</v>
      </c>
      <c r="E234">
        <v>72</v>
      </c>
      <c r="F234">
        <v>0.91</v>
      </c>
      <c r="G234">
        <v>0.93611764705882283</v>
      </c>
      <c r="H234">
        <v>0.50916315482988883</v>
      </c>
    </row>
    <row r="235" spans="1:8" x14ac:dyDescent="0.35">
      <c r="A235">
        <v>85</v>
      </c>
      <c r="B235" t="s">
        <v>89</v>
      </c>
      <c r="C235" t="str">
        <f>_xlfn.CONCAT(A235,B235,F235)</f>
        <v>85101-1500.91</v>
      </c>
      <c r="D235" s="6">
        <v>0.1176</v>
      </c>
      <c r="E235">
        <v>116</v>
      </c>
      <c r="F235">
        <v>0.91</v>
      </c>
      <c r="G235">
        <v>0.97882352941176354</v>
      </c>
      <c r="H235">
        <v>0.53267603897088212</v>
      </c>
    </row>
    <row r="236" spans="1:8" x14ac:dyDescent="0.35">
      <c r="A236">
        <v>85</v>
      </c>
      <c r="B236" t="s">
        <v>83</v>
      </c>
      <c r="C236" t="str">
        <f>_xlfn.CONCAT(A236,B236,F236)</f>
        <v>85151-2000.91</v>
      </c>
      <c r="D236" s="6">
        <v>0.1176</v>
      </c>
      <c r="E236">
        <v>158</v>
      </c>
      <c r="F236">
        <v>0.91</v>
      </c>
      <c r="G236">
        <v>0.97847058823529298</v>
      </c>
      <c r="H236">
        <v>0.54233244166593664</v>
      </c>
    </row>
    <row r="237" spans="1:8" x14ac:dyDescent="0.35">
      <c r="A237">
        <v>85</v>
      </c>
      <c r="B237" t="s">
        <v>90</v>
      </c>
      <c r="C237" t="str">
        <f>_xlfn.CONCAT(A237,B237,F237)</f>
        <v>85201-2500.91</v>
      </c>
      <c r="D237" s="6">
        <v>0.23530000000000001</v>
      </c>
      <c r="E237">
        <v>214</v>
      </c>
      <c r="F237">
        <v>0.91</v>
      </c>
      <c r="G237">
        <v>0.99035294117646944</v>
      </c>
      <c r="H237">
        <v>0.5650896061877031</v>
      </c>
    </row>
    <row r="238" spans="1:8" x14ac:dyDescent="0.35">
      <c r="A238">
        <v>85</v>
      </c>
      <c r="B238" t="s">
        <v>85</v>
      </c>
      <c r="C238" t="str">
        <f>_xlfn.CONCAT(A238,B238,F238)</f>
        <v>85251-3000.91</v>
      </c>
      <c r="D238" s="6">
        <v>0.23530000000000001</v>
      </c>
      <c r="E238">
        <v>251</v>
      </c>
      <c r="F238">
        <v>0.91</v>
      </c>
      <c r="G238">
        <v>0.99211764705882333</v>
      </c>
      <c r="H238">
        <v>0.61940685821534514</v>
      </c>
    </row>
    <row r="239" spans="1:8" x14ac:dyDescent="0.35">
      <c r="A239">
        <v>85</v>
      </c>
      <c r="B239" t="s">
        <v>86</v>
      </c>
      <c r="C239" t="str">
        <f>_xlfn.CONCAT(A239,B239,F239)</f>
        <v>85300+0.91</v>
      </c>
      <c r="D239" s="6">
        <v>8.4000000000000005E-2</v>
      </c>
      <c r="E239">
        <v>305</v>
      </c>
      <c r="F239">
        <v>0.91</v>
      </c>
      <c r="G239">
        <v>0.99341176470588211</v>
      </c>
      <c r="H239">
        <v>0.63689337659754885</v>
      </c>
    </row>
    <row r="240" spans="1:8" x14ac:dyDescent="0.35">
      <c r="A240">
        <v>89</v>
      </c>
      <c r="B240" t="s">
        <v>80</v>
      </c>
      <c r="C240" t="str">
        <f>_xlfn.CONCAT(A240,B240,F240)</f>
        <v>890-500.91</v>
      </c>
      <c r="D240" s="6">
        <v>6.7199999999999996E-2</v>
      </c>
      <c r="E240">
        <v>38</v>
      </c>
      <c r="F240">
        <v>0.91</v>
      </c>
      <c r="G240">
        <v>0.87325842696629241</v>
      </c>
      <c r="H240">
        <v>0.46003442240281361</v>
      </c>
    </row>
    <row r="241" spans="1:8" x14ac:dyDescent="0.35">
      <c r="A241">
        <v>89</v>
      </c>
      <c r="B241" t="s">
        <v>81</v>
      </c>
      <c r="C241" t="str">
        <f>_xlfn.CONCAT(A241,B241,F241)</f>
        <v>8951-1000.91</v>
      </c>
      <c r="D241" s="6">
        <v>0.1429</v>
      </c>
      <c r="E241">
        <v>72</v>
      </c>
      <c r="F241">
        <v>0.91</v>
      </c>
      <c r="G241">
        <v>0.92505617977528143</v>
      </c>
      <c r="H241">
        <v>0.52050418783481855</v>
      </c>
    </row>
    <row r="242" spans="1:8" x14ac:dyDescent="0.35">
      <c r="A242">
        <v>89</v>
      </c>
      <c r="B242" t="s">
        <v>89</v>
      </c>
      <c r="C242" t="str">
        <f>_xlfn.CONCAT(A242,B242,F242)</f>
        <v>89101-1500.91</v>
      </c>
      <c r="D242" s="6">
        <v>0.1176</v>
      </c>
      <c r="E242">
        <v>116</v>
      </c>
      <c r="F242">
        <v>0.91</v>
      </c>
      <c r="G242">
        <v>0.9553932584269671</v>
      </c>
      <c r="H242">
        <v>0.56288665720936149</v>
      </c>
    </row>
    <row r="243" spans="1:8" x14ac:dyDescent="0.35">
      <c r="A243">
        <v>89</v>
      </c>
      <c r="B243" t="s">
        <v>83</v>
      </c>
      <c r="C243" t="str">
        <f>_xlfn.CONCAT(A243,B243,F243)</f>
        <v>89151-2000.91</v>
      </c>
      <c r="D243" s="6">
        <v>0.1176</v>
      </c>
      <c r="E243">
        <v>158</v>
      </c>
      <c r="F243">
        <v>0.91</v>
      </c>
      <c r="G243">
        <v>0.97595505617977596</v>
      </c>
      <c r="H243">
        <v>0.57856800040545298</v>
      </c>
    </row>
    <row r="244" spans="1:8" x14ac:dyDescent="0.35">
      <c r="A244">
        <v>89</v>
      </c>
      <c r="B244" t="s">
        <v>90</v>
      </c>
      <c r="C244" t="str">
        <f>_xlfn.CONCAT(A244,B244,F244)</f>
        <v>89201-2500.91</v>
      </c>
      <c r="D244" s="6">
        <v>0.23530000000000001</v>
      </c>
      <c r="E244">
        <v>214</v>
      </c>
      <c r="F244">
        <v>0.91</v>
      </c>
      <c r="G244">
        <v>0.99000000000000032</v>
      </c>
      <c r="H244">
        <v>0.60881609605768516</v>
      </c>
    </row>
    <row r="245" spans="1:8" x14ac:dyDescent="0.35">
      <c r="A245">
        <v>89</v>
      </c>
      <c r="B245" t="s">
        <v>85</v>
      </c>
      <c r="C245" t="str">
        <f>_xlfn.CONCAT(A245,B245,F245)</f>
        <v>89251-3000.91</v>
      </c>
      <c r="D245" s="6">
        <v>0.23530000000000001</v>
      </c>
      <c r="E245">
        <v>251</v>
      </c>
      <c r="F245">
        <v>0.91</v>
      </c>
      <c r="G245">
        <v>0.99168539325842719</v>
      </c>
      <c r="H245">
        <v>0.61164590522268059</v>
      </c>
    </row>
    <row r="246" spans="1:8" x14ac:dyDescent="0.35">
      <c r="A246">
        <v>89</v>
      </c>
      <c r="B246" t="s">
        <v>86</v>
      </c>
      <c r="C246" t="str">
        <f>_xlfn.CONCAT(A246,B246,F246)</f>
        <v>89300+0.91</v>
      </c>
      <c r="D246" s="6">
        <v>8.4000000000000005E-2</v>
      </c>
      <c r="E246">
        <v>305</v>
      </c>
      <c r="F246">
        <v>0.91</v>
      </c>
      <c r="G246">
        <v>0.99337078651685418</v>
      </c>
      <c r="H246">
        <v>0.6232002122238981</v>
      </c>
    </row>
    <row r="247" spans="1:8" x14ac:dyDescent="0.35">
      <c r="A247">
        <v>100</v>
      </c>
      <c r="B247" t="s">
        <v>80</v>
      </c>
      <c r="C247" t="str">
        <f>_xlfn.CONCAT(A247,B247,F247)</f>
        <v>1000-500.91</v>
      </c>
      <c r="D247" s="6">
        <v>6.7199999999999996E-2</v>
      </c>
      <c r="E247">
        <v>38</v>
      </c>
      <c r="F247">
        <v>0.91</v>
      </c>
      <c r="G247">
        <v>0.73720000000000008</v>
      </c>
      <c r="H247">
        <v>0.44274880509018189</v>
      </c>
    </row>
    <row r="248" spans="1:8" x14ac:dyDescent="0.35">
      <c r="A248">
        <v>100</v>
      </c>
      <c r="B248" t="s">
        <v>81</v>
      </c>
      <c r="C248" t="str">
        <f>_xlfn.CONCAT(A248,B248,F248)</f>
        <v>10051-1000.91</v>
      </c>
      <c r="D248" s="6">
        <v>0.1429</v>
      </c>
      <c r="E248">
        <v>72</v>
      </c>
      <c r="F248">
        <v>0.91</v>
      </c>
      <c r="G248">
        <v>0.8137000000000002</v>
      </c>
      <c r="H248">
        <v>0.50259292802426214</v>
      </c>
    </row>
    <row r="249" spans="1:8" x14ac:dyDescent="0.35">
      <c r="A249">
        <v>100</v>
      </c>
      <c r="B249" t="s">
        <v>89</v>
      </c>
      <c r="C249" t="str">
        <f>_xlfn.CONCAT(A249,B249,F249)</f>
        <v>100101-1500.91</v>
      </c>
      <c r="D249" s="6">
        <v>0.1176</v>
      </c>
      <c r="E249">
        <v>116</v>
      </c>
      <c r="F249">
        <v>0.91</v>
      </c>
      <c r="G249">
        <v>0.9514999999999999</v>
      </c>
      <c r="H249">
        <v>0.58226612286071966</v>
      </c>
    </row>
    <row r="250" spans="1:8" x14ac:dyDescent="0.35">
      <c r="A250">
        <v>100</v>
      </c>
      <c r="B250" t="s">
        <v>83</v>
      </c>
      <c r="C250" t="str">
        <f>_xlfn.CONCAT(A250,B250,F250)</f>
        <v>100151-2000.91</v>
      </c>
      <c r="D250" s="6">
        <v>0.1176</v>
      </c>
      <c r="E250">
        <v>158</v>
      </c>
      <c r="F250">
        <v>0.91</v>
      </c>
      <c r="G250">
        <v>0.97579999999999956</v>
      </c>
      <c r="H250">
        <v>0.58852717257279241</v>
      </c>
    </row>
    <row r="251" spans="1:8" x14ac:dyDescent="0.35">
      <c r="A251">
        <v>100</v>
      </c>
      <c r="B251" t="s">
        <v>90</v>
      </c>
      <c r="C251" t="str">
        <f>_xlfn.CONCAT(A251,B251,F251)</f>
        <v>100201-2500.91</v>
      </c>
      <c r="D251" s="6">
        <v>0.23530000000000001</v>
      </c>
      <c r="E251">
        <v>214</v>
      </c>
      <c r="F251">
        <v>0.91</v>
      </c>
      <c r="G251">
        <v>0.99079999999999968</v>
      </c>
      <c r="H251">
        <v>0.63191527264174963</v>
      </c>
    </row>
    <row r="252" spans="1:8" x14ac:dyDescent="0.35">
      <c r="A252">
        <v>100</v>
      </c>
      <c r="B252" t="s">
        <v>85</v>
      </c>
      <c r="C252" t="str">
        <f>_xlfn.CONCAT(A252,B252,F252)</f>
        <v>100251-3000.91</v>
      </c>
      <c r="D252" s="6">
        <v>0.23530000000000001</v>
      </c>
      <c r="E252">
        <v>251</v>
      </c>
      <c r="F252">
        <v>0.91</v>
      </c>
      <c r="G252">
        <v>0.99430000000000007</v>
      </c>
      <c r="H252">
        <v>0.62460526293192653</v>
      </c>
    </row>
    <row r="253" spans="1:8" x14ac:dyDescent="0.35">
      <c r="A253">
        <v>100</v>
      </c>
      <c r="B253" t="s">
        <v>86</v>
      </c>
      <c r="C253" t="str">
        <f>_xlfn.CONCAT(A253,B253,F253)</f>
        <v>100300+0.91</v>
      </c>
      <c r="D253" s="6">
        <v>8.4000000000000005E-2</v>
      </c>
      <c r="E253">
        <v>305</v>
      </c>
      <c r="F253">
        <v>0.91</v>
      </c>
      <c r="G253">
        <v>0.99399999999999977</v>
      </c>
      <c r="H253">
        <v>0.6437177307137083</v>
      </c>
    </row>
    <row r="254" spans="1:8" x14ac:dyDescent="0.35">
      <c r="A254">
        <v>106</v>
      </c>
      <c r="B254" t="s">
        <v>80</v>
      </c>
      <c r="C254" t="str">
        <f>_xlfn.CONCAT(A254,B254,F254)</f>
        <v>1060-500.91</v>
      </c>
      <c r="D254" s="6">
        <v>6.7199999999999996E-2</v>
      </c>
      <c r="E254">
        <v>38</v>
      </c>
      <c r="F254">
        <v>0.91</v>
      </c>
      <c r="G254">
        <v>0.77915094339622681</v>
      </c>
      <c r="H254">
        <v>0.4498295820978187</v>
      </c>
    </row>
    <row r="255" spans="1:8" x14ac:dyDescent="0.35">
      <c r="A255">
        <v>106</v>
      </c>
      <c r="B255" t="s">
        <v>81</v>
      </c>
      <c r="C255" t="str">
        <f>_xlfn.CONCAT(A255,B255,F255)</f>
        <v>10651-1000.91</v>
      </c>
      <c r="D255" s="6">
        <v>0.1429</v>
      </c>
      <c r="E255">
        <v>72</v>
      </c>
      <c r="F255">
        <v>0.91</v>
      </c>
      <c r="G255">
        <v>0.83396226415094366</v>
      </c>
      <c r="H255">
        <v>0.54383445486383908</v>
      </c>
    </row>
    <row r="256" spans="1:8" x14ac:dyDescent="0.35">
      <c r="A256">
        <v>106</v>
      </c>
      <c r="B256" t="s">
        <v>89</v>
      </c>
      <c r="C256" t="str">
        <f>_xlfn.CONCAT(A256,B256,F256)</f>
        <v>106101-1500.91</v>
      </c>
      <c r="D256" s="6">
        <v>0.1176</v>
      </c>
      <c r="E256">
        <v>116</v>
      </c>
      <c r="F256">
        <v>0.91</v>
      </c>
      <c r="G256">
        <v>0.84886792452830173</v>
      </c>
      <c r="H256">
        <v>0.59208680754897969</v>
      </c>
    </row>
    <row r="257" spans="1:8" x14ac:dyDescent="0.35">
      <c r="A257">
        <v>106</v>
      </c>
      <c r="B257" t="s">
        <v>83</v>
      </c>
      <c r="C257" t="str">
        <f>_xlfn.CONCAT(A257,B257,F257)</f>
        <v>106151-2000.91</v>
      </c>
      <c r="D257" s="6">
        <v>0.1176</v>
      </c>
      <c r="E257">
        <v>158</v>
      </c>
      <c r="F257">
        <v>0.91</v>
      </c>
      <c r="G257">
        <v>0.82509433962264211</v>
      </c>
      <c r="H257">
        <v>0.61077579245080205</v>
      </c>
    </row>
    <row r="258" spans="1:8" x14ac:dyDescent="0.35">
      <c r="A258">
        <v>106</v>
      </c>
      <c r="B258" t="s">
        <v>90</v>
      </c>
      <c r="C258" t="str">
        <f>_xlfn.CONCAT(A258,B258,F258)</f>
        <v>106201-2500.91</v>
      </c>
      <c r="D258" s="6">
        <v>0.23530000000000001</v>
      </c>
      <c r="E258">
        <v>214</v>
      </c>
      <c r="F258">
        <v>0.91</v>
      </c>
      <c r="G258">
        <v>0.97330188679245255</v>
      </c>
      <c r="H258">
        <v>0.63743126963194019</v>
      </c>
    </row>
    <row r="259" spans="1:8" x14ac:dyDescent="0.35">
      <c r="A259">
        <v>106</v>
      </c>
      <c r="B259" t="s">
        <v>85</v>
      </c>
      <c r="C259" t="str">
        <f>_xlfn.CONCAT(A259,B259,F259)</f>
        <v>106251-3000.91</v>
      </c>
      <c r="D259" s="6">
        <v>0.23530000000000001</v>
      </c>
      <c r="E259">
        <v>251</v>
      </c>
      <c r="F259">
        <v>0.91</v>
      </c>
      <c r="G259">
        <v>0.98160377358490503</v>
      </c>
      <c r="H259">
        <v>0.64403721199102337</v>
      </c>
    </row>
    <row r="260" spans="1:8" x14ac:dyDescent="0.35">
      <c r="A260">
        <v>106</v>
      </c>
      <c r="B260" t="s">
        <v>86</v>
      </c>
      <c r="C260" t="str">
        <f>_xlfn.CONCAT(A260,B260,F260)</f>
        <v>106300+0.91</v>
      </c>
      <c r="D260" s="6">
        <v>8.4000000000000005E-2</v>
      </c>
      <c r="E260">
        <v>305</v>
      </c>
      <c r="F260">
        <v>0.91</v>
      </c>
      <c r="G260">
        <v>0.95264150943396186</v>
      </c>
      <c r="H260">
        <v>0.62693224414483284</v>
      </c>
    </row>
    <row r="261" spans="1:8" x14ac:dyDescent="0.35">
      <c r="A261">
        <v>117</v>
      </c>
      <c r="B261" t="s">
        <v>80</v>
      </c>
      <c r="C261" t="str">
        <f>_xlfn.CONCAT(A261,B261,F261)</f>
        <v>1170-500.91</v>
      </c>
      <c r="D261" s="6">
        <v>6.7199999999999996E-2</v>
      </c>
      <c r="E261">
        <v>38</v>
      </c>
      <c r="F261">
        <v>0.91</v>
      </c>
      <c r="G261">
        <v>0.81632478632478578</v>
      </c>
      <c r="H261">
        <v>0.49055184773778826</v>
      </c>
    </row>
    <row r="262" spans="1:8" x14ac:dyDescent="0.35">
      <c r="A262">
        <v>117</v>
      </c>
      <c r="B262" t="s">
        <v>81</v>
      </c>
      <c r="C262" t="str">
        <f>_xlfn.CONCAT(A262,B262,F262)</f>
        <v>11751-1000.91</v>
      </c>
      <c r="D262" s="6">
        <v>0.1429</v>
      </c>
      <c r="E262">
        <v>72</v>
      </c>
      <c r="F262">
        <v>0.91</v>
      </c>
      <c r="G262">
        <v>0.88700854700854659</v>
      </c>
      <c r="H262">
        <v>0.5609691747376403</v>
      </c>
    </row>
    <row r="263" spans="1:8" x14ac:dyDescent="0.35">
      <c r="A263">
        <v>117</v>
      </c>
      <c r="B263" t="s">
        <v>89</v>
      </c>
      <c r="C263" t="str">
        <f>_xlfn.CONCAT(A263,B263,F263)</f>
        <v>117101-1500.91</v>
      </c>
      <c r="D263" s="6">
        <v>0.1176</v>
      </c>
      <c r="E263">
        <v>116</v>
      </c>
      <c r="F263">
        <v>0.91</v>
      </c>
      <c r="G263">
        <v>0.92854700854700778</v>
      </c>
      <c r="H263">
        <v>0.60002102582438821</v>
      </c>
    </row>
    <row r="264" spans="1:8" x14ac:dyDescent="0.35">
      <c r="A264">
        <v>117</v>
      </c>
      <c r="B264" t="s">
        <v>83</v>
      </c>
      <c r="C264" t="str">
        <f>_xlfn.CONCAT(A264,B264,F264)</f>
        <v>117151-2000.91</v>
      </c>
      <c r="D264" s="6">
        <v>0.1176</v>
      </c>
      <c r="E264">
        <v>158</v>
      </c>
      <c r="F264">
        <v>0.91</v>
      </c>
      <c r="G264">
        <v>0.94735042735042641</v>
      </c>
      <c r="H264">
        <v>0.62738449444872502</v>
      </c>
    </row>
    <row r="265" spans="1:8" x14ac:dyDescent="0.35">
      <c r="A265">
        <v>117</v>
      </c>
      <c r="B265" t="s">
        <v>90</v>
      </c>
      <c r="C265" t="str">
        <f>_xlfn.CONCAT(A265,B265,F265)</f>
        <v>117201-2500.91</v>
      </c>
      <c r="D265" s="6">
        <v>0.23530000000000001</v>
      </c>
      <c r="E265">
        <v>214</v>
      </c>
      <c r="F265">
        <v>0.91</v>
      </c>
      <c r="G265">
        <v>0.97743589743589676</v>
      </c>
      <c r="H265">
        <v>0.65774439173581745</v>
      </c>
    </row>
    <row r="266" spans="1:8" x14ac:dyDescent="0.35">
      <c r="A266">
        <v>117</v>
      </c>
      <c r="B266" t="s">
        <v>85</v>
      </c>
      <c r="C266" t="str">
        <f>_xlfn.CONCAT(A266,B266,F266)</f>
        <v>117251-3000.91</v>
      </c>
      <c r="D266" s="6">
        <v>0.23530000000000001</v>
      </c>
      <c r="E266">
        <v>251</v>
      </c>
      <c r="F266">
        <v>0.91</v>
      </c>
      <c r="G266">
        <v>0.99042735042735008</v>
      </c>
      <c r="H266">
        <v>0.66100067776281723</v>
      </c>
    </row>
    <row r="267" spans="1:8" x14ac:dyDescent="0.35">
      <c r="A267">
        <v>117</v>
      </c>
      <c r="B267" t="s">
        <v>86</v>
      </c>
      <c r="C267" t="str">
        <f>_xlfn.CONCAT(A267,B267,F267)</f>
        <v>117300+0.91</v>
      </c>
      <c r="D267" s="6">
        <v>8.4000000000000005E-2</v>
      </c>
      <c r="E267">
        <v>305</v>
      </c>
      <c r="F267">
        <v>0.91</v>
      </c>
      <c r="G267">
        <v>0.99512820512820488</v>
      </c>
      <c r="H267">
        <v>0.69727667737760579</v>
      </c>
    </row>
    <row r="268" spans="1:8" x14ac:dyDescent="0.35">
      <c r="A268">
        <v>125</v>
      </c>
      <c r="B268" t="s">
        <v>80</v>
      </c>
      <c r="C268" t="str">
        <f>_xlfn.CONCAT(A268,B268,F268)</f>
        <v>1250-500.91</v>
      </c>
      <c r="D268" s="6">
        <v>6.7199999999999996E-2</v>
      </c>
      <c r="E268">
        <v>38</v>
      </c>
      <c r="F268">
        <v>0.91</v>
      </c>
      <c r="G268">
        <v>0.69600000000000006</v>
      </c>
      <c r="H268">
        <v>0.50575437597736805</v>
      </c>
    </row>
    <row r="269" spans="1:8" x14ac:dyDescent="0.35">
      <c r="A269">
        <v>125</v>
      </c>
      <c r="B269" t="s">
        <v>81</v>
      </c>
      <c r="C269" t="str">
        <f>_xlfn.CONCAT(A269,B269,F269)</f>
        <v>12551-1000.91</v>
      </c>
      <c r="D269" s="6">
        <v>0.1429</v>
      </c>
      <c r="E269">
        <v>72</v>
      </c>
      <c r="F269">
        <v>0.91</v>
      </c>
      <c r="G269">
        <v>0.69543999999999995</v>
      </c>
      <c r="H269">
        <v>0.56521679341765307</v>
      </c>
    </row>
    <row r="270" spans="1:8" x14ac:dyDescent="0.35">
      <c r="A270">
        <v>125</v>
      </c>
      <c r="B270" t="s">
        <v>89</v>
      </c>
      <c r="C270" t="str">
        <f>_xlfn.CONCAT(A270,B270,F270)</f>
        <v>125101-1500.91</v>
      </c>
      <c r="D270" s="6">
        <v>0.1176</v>
      </c>
      <c r="E270">
        <v>116</v>
      </c>
      <c r="F270">
        <v>0.91</v>
      </c>
      <c r="G270">
        <v>0.77655999999999992</v>
      </c>
      <c r="H270">
        <v>0.61631382997672779</v>
      </c>
    </row>
    <row r="271" spans="1:8" x14ac:dyDescent="0.35">
      <c r="A271">
        <v>125</v>
      </c>
      <c r="B271" t="s">
        <v>83</v>
      </c>
      <c r="C271" t="str">
        <f>_xlfn.CONCAT(A271,B271,F271)</f>
        <v>125151-2000.91</v>
      </c>
      <c r="D271" s="6">
        <v>0.1176</v>
      </c>
      <c r="E271">
        <v>158</v>
      </c>
      <c r="F271">
        <v>0.91</v>
      </c>
      <c r="G271">
        <v>0.80248000000000019</v>
      </c>
      <c r="H271">
        <v>0.62053319899559223</v>
      </c>
    </row>
    <row r="272" spans="1:8" x14ac:dyDescent="0.35">
      <c r="A272">
        <v>125</v>
      </c>
      <c r="B272" t="s">
        <v>90</v>
      </c>
      <c r="C272" t="str">
        <f>_xlfn.CONCAT(A272,B272,F272)</f>
        <v>125201-2500.91</v>
      </c>
      <c r="D272" s="6">
        <v>0.23530000000000001</v>
      </c>
      <c r="E272">
        <v>214</v>
      </c>
      <c r="F272">
        <v>0.91</v>
      </c>
      <c r="G272">
        <v>0.90656000000000081</v>
      </c>
      <c r="H272">
        <v>0.68005865238478469</v>
      </c>
    </row>
    <row r="273" spans="1:8" x14ac:dyDescent="0.35">
      <c r="A273">
        <v>125</v>
      </c>
      <c r="B273" t="s">
        <v>85</v>
      </c>
      <c r="C273" t="str">
        <f>_xlfn.CONCAT(A273,B273,F273)</f>
        <v>125251-3000.91</v>
      </c>
      <c r="D273" s="6">
        <v>0.23530000000000001</v>
      </c>
      <c r="E273">
        <v>251</v>
      </c>
      <c r="F273">
        <v>0.91</v>
      </c>
      <c r="G273">
        <v>0.84896000000000027</v>
      </c>
      <c r="H273">
        <v>0.64248945108444877</v>
      </c>
    </row>
    <row r="274" spans="1:8" x14ac:dyDescent="0.35">
      <c r="A274">
        <v>125</v>
      </c>
      <c r="B274" t="s">
        <v>86</v>
      </c>
      <c r="C274" t="str">
        <f>_xlfn.CONCAT(A274,B274,F274)</f>
        <v>125300+0.91</v>
      </c>
      <c r="D274" s="6">
        <v>8.4000000000000005E-2</v>
      </c>
      <c r="E274">
        <v>305</v>
      </c>
      <c r="F274">
        <v>0.91</v>
      </c>
      <c r="G274">
        <v>0.91384000000000087</v>
      </c>
      <c r="H274">
        <v>0.68335405060404908</v>
      </c>
    </row>
    <row r="275" spans="1:8" x14ac:dyDescent="0.35">
      <c r="A275">
        <v>133</v>
      </c>
      <c r="B275" t="s">
        <v>80</v>
      </c>
      <c r="C275" t="str">
        <f>_xlfn.CONCAT(A275,B275,F275)</f>
        <v>1330-500.91</v>
      </c>
      <c r="D275" s="6">
        <v>6.7199999999999996E-2</v>
      </c>
      <c r="E275">
        <v>38</v>
      </c>
      <c r="F275">
        <v>0.91</v>
      </c>
      <c r="G275">
        <v>0.6778195488721801</v>
      </c>
      <c r="H275">
        <v>0.49897890632471764</v>
      </c>
    </row>
    <row r="276" spans="1:8" x14ac:dyDescent="0.35">
      <c r="A276">
        <v>133</v>
      </c>
      <c r="B276" t="s">
        <v>81</v>
      </c>
      <c r="C276" t="str">
        <f>_xlfn.CONCAT(A276,B276,F276)</f>
        <v>13351-1000.91</v>
      </c>
      <c r="D276" s="6">
        <v>0.1429</v>
      </c>
      <c r="E276">
        <v>72</v>
      </c>
      <c r="F276">
        <v>0.91</v>
      </c>
      <c r="G276">
        <v>0.78127819548872157</v>
      </c>
      <c r="H276">
        <v>0.58180651368245428</v>
      </c>
    </row>
    <row r="277" spans="1:8" x14ac:dyDescent="0.35">
      <c r="A277">
        <v>133</v>
      </c>
      <c r="B277" t="s">
        <v>89</v>
      </c>
      <c r="C277" t="str">
        <f>_xlfn.CONCAT(A277,B277,F277)</f>
        <v>133101-1500.91</v>
      </c>
      <c r="D277" s="6">
        <v>0.1176</v>
      </c>
      <c r="E277">
        <v>116</v>
      </c>
      <c r="F277">
        <v>0.91</v>
      </c>
      <c r="G277">
        <v>0.7912030075187968</v>
      </c>
      <c r="H277">
        <v>0.62830164275547051</v>
      </c>
    </row>
    <row r="278" spans="1:8" x14ac:dyDescent="0.35">
      <c r="A278">
        <v>133</v>
      </c>
      <c r="B278" t="s">
        <v>83</v>
      </c>
      <c r="C278" t="str">
        <f>_xlfn.CONCAT(A278,B278,F278)</f>
        <v>133151-2000.91</v>
      </c>
      <c r="D278" s="6">
        <v>0.1176</v>
      </c>
      <c r="E278">
        <v>158</v>
      </c>
      <c r="F278">
        <v>0.91</v>
      </c>
      <c r="G278">
        <v>0.84218045112781936</v>
      </c>
      <c r="H278">
        <v>0.65148008615568731</v>
      </c>
    </row>
    <row r="279" spans="1:8" x14ac:dyDescent="0.35">
      <c r="A279">
        <v>133</v>
      </c>
      <c r="B279" t="s">
        <v>90</v>
      </c>
      <c r="C279" t="str">
        <f>_xlfn.CONCAT(A279,B279,F279)</f>
        <v>133201-2500.91</v>
      </c>
      <c r="D279" s="6">
        <v>0.23530000000000001</v>
      </c>
      <c r="E279">
        <v>214</v>
      </c>
      <c r="F279">
        <v>0.91</v>
      </c>
      <c r="G279">
        <v>0.90165413533834537</v>
      </c>
      <c r="H279">
        <v>0.66388219273629934</v>
      </c>
    </row>
    <row r="280" spans="1:8" x14ac:dyDescent="0.35">
      <c r="A280">
        <v>133</v>
      </c>
      <c r="B280" t="s">
        <v>85</v>
      </c>
      <c r="C280" t="str">
        <f>_xlfn.CONCAT(A280,B280,F280)</f>
        <v>133251-3000.91</v>
      </c>
      <c r="D280" s="6">
        <v>0.23530000000000001</v>
      </c>
      <c r="E280">
        <v>251</v>
      </c>
      <c r="F280">
        <v>0.91</v>
      </c>
      <c r="G280">
        <v>0.89646616541353386</v>
      </c>
      <c r="H280">
        <v>0.66340866815687738</v>
      </c>
    </row>
    <row r="281" spans="1:8" x14ac:dyDescent="0.35">
      <c r="A281">
        <v>133</v>
      </c>
      <c r="B281" t="s">
        <v>86</v>
      </c>
      <c r="C281" t="str">
        <f>_xlfn.CONCAT(A281,B281,F281)</f>
        <v>133300+0.91</v>
      </c>
      <c r="D281" s="6">
        <v>8.4000000000000005E-2</v>
      </c>
      <c r="E281">
        <v>305</v>
      </c>
      <c r="F281">
        <v>0.91</v>
      </c>
      <c r="G281">
        <v>0.93751879699248097</v>
      </c>
      <c r="H281">
        <v>0.67229899496098444</v>
      </c>
    </row>
  </sheetData>
  <autoFilter ref="A1:I281" xr:uid="{D6955181-8599-4DB8-9913-3C32124D4FF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6081-3616-4185-9A12-5BDD54B00EC9}">
  <sheetPr filterMode="1"/>
  <dimension ref="A1:F211"/>
  <sheetViews>
    <sheetView workbookViewId="0">
      <selection activeCell="A4" sqref="A4:F211"/>
    </sheetView>
  </sheetViews>
  <sheetFormatPr defaultRowHeight="14.5" x14ac:dyDescent="0.35"/>
  <cols>
    <col min="1" max="2" width="21" bestFit="1" customWidth="1"/>
    <col min="3" max="4" width="21" customWidth="1"/>
    <col min="5" max="5" width="17.81640625" bestFit="1" customWidth="1"/>
    <col min="6" max="6" width="24.54296875" bestFit="1" customWidth="1"/>
  </cols>
  <sheetData>
    <row r="1" spans="1:6" x14ac:dyDescent="0.35">
      <c r="A1" t="s">
        <v>178</v>
      </c>
      <c r="B1" t="s">
        <v>145</v>
      </c>
      <c r="C1" t="s">
        <v>74</v>
      </c>
      <c r="D1" t="s">
        <v>147</v>
      </c>
      <c r="E1" t="s">
        <v>77</v>
      </c>
      <c r="F1" t="s">
        <v>78</v>
      </c>
    </row>
    <row r="2" spans="1:6" hidden="1" x14ac:dyDescent="0.35">
      <c r="A2">
        <v>60</v>
      </c>
      <c r="B2">
        <v>22</v>
      </c>
      <c r="D2">
        <f>VLOOKUP(B2,Sheet2!$C$4:$D$31,2,FALSE)</f>
        <v>0.52</v>
      </c>
      <c r="E2">
        <v>0.95766666666666667</v>
      </c>
      <c r="F2">
        <v>0.34339220305938312</v>
      </c>
    </row>
    <row r="3" spans="1:6" hidden="1" x14ac:dyDescent="0.35">
      <c r="A3">
        <v>60</v>
      </c>
      <c r="B3">
        <v>27</v>
      </c>
      <c r="D3">
        <f>VLOOKUP(B3,Sheet2!$C$4:$D$31,2,FALSE)</f>
        <v>0.65</v>
      </c>
      <c r="E3">
        <v>0.98350000000000037</v>
      </c>
      <c r="F3">
        <v>0.37501321548972988</v>
      </c>
    </row>
    <row r="4" spans="1:6" x14ac:dyDescent="0.35">
      <c r="A4">
        <v>60</v>
      </c>
      <c r="B4">
        <v>38</v>
      </c>
      <c r="D4">
        <f>VLOOKUP(B4,Sheet2!$C$4:$D$31,2,FALSE)</f>
        <v>0.91</v>
      </c>
      <c r="E4">
        <v>0.98200000000000065</v>
      </c>
      <c r="F4">
        <v>0.37306355881199338</v>
      </c>
    </row>
    <row r="5" spans="1:6" hidden="1" x14ac:dyDescent="0.35">
      <c r="A5">
        <v>60</v>
      </c>
      <c r="B5">
        <v>41</v>
      </c>
      <c r="D5">
        <f>VLOOKUP(B5,Sheet2!$C$4:$D$31,2,FALSE)</f>
        <v>0.52</v>
      </c>
      <c r="E5">
        <v>0.98083333333333411</v>
      </c>
      <c r="F5">
        <v>0.41086006395964403</v>
      </c>
    </row>
    <row r="6" spans="1:6" hidden="1" x14ac:dyDescent="0.35">
      <c r="A6">
        <v>60</v>
      </c>
      <c r="B6">
        <v>51</v>
      </c>
      <c r="D6">
        <f>VLOOKUP(B6,Sheet2!$C$4:$D$31,2,FALSE)</f>
        <v>0.65</v>
      </c>
      <c r="E6">
        <v>0.98933333333333351</v>
      </c>
      <c r="F6">
        <v>0.40702007426115344</v>
      </c>
    </row>
    <row r="7" spans="1:6" hidden="1" x14ac:dyDescent="0.35">
      <c r="A7">
        <v>60</v>
      </c>
      <c r="B7">
        <v>66</v>
      </c>
      <c r="D7">
        <f>VLOOKUP(B7,Sheet2!$C$4:$D$31,2,FALSE)</f>
        <v>0.52</v>
      </c>
      <c r="E7">
        <v>0.9871666666666673</v>
      </c>
      <c r="F7">
        <v>0.44646545033982382</v>
      </c>
    </row>
    <row r="8" spans="1:6" x14ac:dyDescent="0.35">
      <c r="A8">
        <v>60</v>
      </c>
      <c r="B8">
        <v>72</v>
      </c>
      <c r="D8">
        <f>VLOOKUP(B8,Sheet2!$C$4:$D$31,2,FALSE)</f>
        <v>0.91</v>
      </c>
      <c r="E8">
        <v>0.98566666666666691</v>
      </c>
      <c r="F8">
        <v>0.48087593245403837</v>
      </c>
    </row>
    <row r="9" spans="1:6" hidden="1" x14ac:dyDescent="0.35">
      <c r="A9">
        <v>60</v>
      </c>
      <c r="B9">
        <v>83</v>
      </c>
      <c r="D9">
        <f>VLOOKUP(B9,Sheet2!$C$4:$D$31,2,FALSE)</f>
        <v>0.65</v>
      </c>
      <c r="E9">
        <v>0.98400000000000043</v>
      </c>
      <c r="F9">
        <v>0.53931721448587366</v>
      </c>
    </row>
    <row r="10" spans="1:6" hidden="1" x14ac:dyDescent="0.35">
      <c r="A10">
        <v>60</v>
      </c>
      <c r="B10">
        <v>90</v>
      </c>
      <c r="D10">
        <f>VLOOKUP(B10,Sheet2!$C$4:$D$31,2,FALSE)</f>
        <v>0.52</v>
      </c>
      <c r="E10">
        <v>0.98616666666666675</v>
      </c>
      <c r="F10">
        <v>0.4850497631092236</v>
      </c>
    </row>
    <row r="11" spans="1:6" hidden="1" x14ac:dyDescent="0.35">
      <c r="A11">
        <v>60</v>
      </c>
      <c r="B11">
        <v>113</v>
      </c>
      <c r="D11">
        <f>VLOOKUP(B11,Sheet2!$C$4:$D$31,2,FALSE)</f>
        <v>0.65</v>
      </c>
      <c r="E11">
        <v>0.98483333333333323</v>
      </c>
      <c r="F11">
        <v>0.53102209292156399</v>
      </c>
    </row>
    <row r="12" spans="1:6" x14ac:dyDescent="0.35">
      <c r="A12">
        <v>60</v>
      </c>
      <c r="B12">
        <v>116</v>
      </c>
      <c r="D12">
        <f>VLOOKUP(B12,Sheet2!$C$4:$D$31,2,FALSE)</f>
        <v>0.91</v>
      </c>
      <c r="E12">
        <v>0.99400000000000022</v>
      </c>
      <c r="F12">
        <v>0.50154193710459671</v>
      </c>
    </row>
    <row r="13" spans="1:6" hidden="1" x14ac:dyDescent="0.35">
      <c r="A13">
        <v>60</v>
      </c>
      <c r="B13">
        <v>122</v>
      </c>
      <c r="D13">
        <f>VLOOKUP(B13,Sheet2!$C$4:$D$31,2,FALSE)</f>
        <v>0.52</v>
      </c>
      <c r="E13">
        <v>0.98950000000000005</v>
      </c>
      <c r="F13">
        <v>0.57948787822811509</v>
      </c>
    </row>
    <row r="14" spans="1:6" hidden="1" x14ac:dyDescent="0.35">
      <c r="A14">
        <v>60</v>
      </c>
      <c r="B14">
        <v>144</v>
      </c>
      <c r="D14">
        <f>VLOOKUP(B14,Sheet2!$C$4:$D$31,2,FALSE)</f>
        <v>0.52</v>
      </c>
      <c r="E14">
        <v>0.99100000000000021</v>
      </c>
      <c r="F14">
        <v>0.5770009458542894</v>
      </c>
    </row>
    <row r="15" spans="1:6" hidden="1" x14ac:dyDescent="0.35">
      <c r="A15">
        <v>60</v>
      </c>
      <c r="B15">
        <v>153</v>
      </c>
      <c r="D15">
        <f>VLOOKUP(B15,Sheet2!$C$4:$D$31,2,FALSE)</f>
        <v>0.65</v>
      </c>
      <c r="E15">
        <v>0.99083333333333357</v>
      </c>
      <c r="F15">
        <v>0.57753311658497963</v>
      </c>
    </row>
    <row r="16" spans="1:6" x14ac:dyDescent="0.35">
      <c r="A16">
        <v>60</v>
      </c>
      <c r="B16">
        <v>158</v>
      </c>
      <c r="D16">
        <f>VLOOKUP(B16,Sheet2!$C$4:$D$31,2,FALSE)</f>
        <v>0.91</v>
      </c>
      <c r="E16">
        <v>0.99416666666666675</v>
      </c>
      <c r="F16">
        <v>0.59311862360060463</v>
      </c>
    </row>
    <row r="17" spans="1:6" hidden="1" x14ac:dyDescent="0.35">
      <c r="A17">
        <v>60</v>
      </c>
      <c r="B17">
        <v>174</v>
      </c>
      <c r="D17">
        <f>VLOOKUP(B17,Sheet2!$C$4:$D$31,2,FALSE)</f>
        <v>0.52</v>
      </c>
      <c r="E17">
        <v>0.9933333333333334</v>
      </c>
      <c r="F17">
        <v>0.59160181548434077</v>
      </c>
    </row>
    <row r="18" spans="1:6" hidden="1" x14ac:dyDescent="0.35">
      <c r="A18">
        <v>60</v>
      </c>
      <c r="B18">
        <v>180</v>
      </c>
      <c r="D18">
        <f>VLOOKUP(B18,Sheet2!$C$4:$D$31,2,FALSE)</f>
        <v>0.65</v>
      </c>
      <c r="E18">
        <v>0.99400000000000022</v>
      </c>
      <c r="F18">
        <v>0.58063347144348043</v>
      </c>
    </row>
    <row r="19" spans="1:6" x14ac:dyDescent="0.35">
      <c r="A19">
        <v>60</v>
      </c>
      <c r="B19">
        <v>214</v>
      </c>
      <c r="D19">
        <f>VLOOKUP(B19,Sheet2!$C$4:$D$31,2,FALSE)</f>
        <v>0.91</v>
      </c>
      <c r="E19">
        <v>0.99850000000000005</v>
      </c>
      <c r="F19">
        <v>0.63192081899664376</v>
      </c>
    </row>
    <row r="20" spans="1:6" hidden="1" x14ac:dyDescent="0.35">
      <c r="A20">
        <v>60</v>
      </c>
      <c r="B20">
        <v>218</v>
      </c>
      <c r="D20">
        <f>VLOOKUP(B20,Sheet2!$C$4:$D$31,2,FALSE)</f>
        <v>0.65</v>
      </c>
      <c r="E20">
        <v>0.99916666666666676</v>
      </c>
      <c r="F20">
        <v>0.5958361581920909</v>
      </c>
    </row>
    <row r="21" spans="1:6" x14ac:dyDescent="0.35">
      <c r="A21">
        <v>60</v>
      </c>
      <c r="B21">
        <v>251</v>
      </c>
      <c r="D21">
        <f>VLOOKUP(B21,Sheet2!$C$4:$D$31,2,FALSE)</f>
        <v>0.91</v>
      </c>
      <c r="E21">
        <v>0.99983333333333335</v>
      </c>
      <c r="F21">
        <v>0.66444350282485809</v>
      </c>
    </row>
    <row r="22" spans="1:6" x14ac:dyDescent="0.35">
      <c r="A22">
        <v>60</v>
      </c>
      <c r="B22">
        <v>305</v>
      </c>
      <c r="D22">
        <f>VLOOKUP(B22,Sheet2!$C$4:$D$31,2,FALSE)</f>
        <v>0.91</v>
      </c>
      <c r="E22">
        <v>0.99950000000000006</v>
      </c>
      <c r="F22">
        <v>0.64731638418079041</v>
      </c>
    </row>
    <row r="23" spans="1:6" hidden="1" x14ac:dyDescent="0.35">
      <c r="A23">
        <v>72</v>
      </c>
      <c r="B23">
        <v>22</v>
      </c>
      <c r="D23">
        <f>VLOOKUP(B23,Sheet2!$C$4:$D$31,2,FALSE)</f>
        <v>0.52</v>
      </c>
      <c r="E23">
        <v>0.97000000000000031</v>
      </c>
      <c r="F23">
        <v>0.36452615439459923</v>
      </c>
    </row>
    <row r="24" spans="1:6" hidden="1" x14ac:dyDescent="0.35">
      <c r="A24">
        <v>72</v>
      </c>
      <c r="B24">
        <v>27</v>
      </c>
      <c r="D24">
        <f>VLOOKUP(B24,Sheet2!$C$4:$D$31,2,FALSE)</f>
        <v>0.65</v>
      </c>
      <c r="E24">
        <v>0.97347222222222296</v>
      </c>
      <c r="F24">
        <v>0.39932415327610049</v>
      </c>
    </row>
    <row r="25" spans="1:6" x14ac:dyDescent="0.35">
      <c r="A25">
        <v>72</v>
      </c>
      <c r="B25">
        <v>38</v>
      </c>
      <c r="D25">
        <f>VLOOKUP(B25,Sheet2!$C$4:$D$31,2,FALSE)</f>
        <v>0.91</v>
      </c>
      <c r="E25">
        <v>0.97888888888888947</v>
      </c>
      <c r="F25">
        <v>0.41669600918796007</v>
      </c>
    </row>
    <row r="26" spans="1:6" hidden="1" x14ac:dyDescent="0.35">
      <c r="A26">
        <v>72</v>
      </c>
      <c r="B26">
        <v>41</v>
      </c>
      <c r="D26">
        <f>VLOOKUP(B26,Sheet2!$C$4:$D$31,2,FALSE)</f>
        <v>0.52</v>
      </c>
      <c r="E26">
        <v>0.98458333333333381</v>
      </c>
      <c r="F26">
        <v>0.43182998685751628</v>
      </c>
    </row>
    <row r="27" spans="1:6" hidden="1" x14ac:dyDescent="0.35">
      <c r="A27">
        <v>72</v>
      </c>
      <c r="B27">
        <v>51</v>
      </c>
      <c r="D27">
        <f>VLOOKUP(B27,Sheet2!$C$4:$D$31,2,FALSE)</f>
        <v>0.65</v>
      </c>
      <c r="E27">
        <v>0.99041666666666717</v>
      </c>
      <c r="F27">
        <v>0.4532911973784674</v>
      </c>
    </row>
    <row r="28" spans="1:6" hidden="1" x14ac:dyDescent="0.35">
      <c r="A28">
        <v>72</v>
      </c>
      <c r="B28">
        <v>66</v>
      </c>
      <c r="D28">
        <f>VLOOKUP(B28,Sheet2!$C$4:$D$31,2,FALSE)</f>
        <v>0.52</v>
      </c>
      <c r="E28">
        <v>0.98861111111111111</v>
      </c>
      <c r="F28">
        <v>0.47563831812121016</v>
      </c>
    </row>
    <row r="29" spans="1:6" x14ac:dyDescent="0.35">
      <c r="A29">
        <v>72</v>
      </c>
      <c r="B29">
        <v>72</v>
      </c>
      <c r="D29">
        <f>VLOOKUP(B29,Sheet2!$C$4:$D$31,2,FALSE)</f>
        <v>0.91</v>
      </c>
      <c r="E29">
        <v>0.9869444444444444</v>
      </c>
      <c r="F29">
        <v>0.49398835852059153</v>
      </c>
    </row>
    <row r="30" spans="1:6" hidden="1" x14ac:dyDescent="0.35">
      <c r="A30">
        <v>72</v>
      </c>
      <c r="B30">
        <v>83</v>
      </c>
      <c r="D30">
        <f>VLOOKUP(B30,Sheet2!$C$4:$D$31,2,FALSE)</f>
        <v>0.65</v>
      </c>
      <c r="E30">
        <v>0.99097222222222248</v>
      </c>
      <c r="F30">
        <v>0.52465947689760695</v>
      </c>
    </row>
    <row r="31" spans="1:6" hidden="1" x14ac:dyDescent="0.35">
      <c r="A31">
        <v>72</v>
      </c>
      <c r="B31">
        <v>90</v>
      </c>
      <c r="D31">
        <f>VLOOKUP(B31,Sheet2!$C$4:$D$31,2,FALSE)</f>
        <v>0.52</v>
      </c>
      <c r="E31">
        <v>0.99583333333333346</v>
      </c>
      <c r="F31">
        <v>0.53430232825661617</v>
      </c>
    </row>
    <row r="32" spans="1:6" hidden="1" x14ac:dyDescent="0.35">
      <c r="A32">
        <v>72</v>
      </c>
      <c r="B32">
        <v>113</v>
      </c>
      <c r="D32">
        <f>VLOOKUP(B32,Sheet2!$C$4:$D$31,2,FALSE)</f>
        <v>0.65</v>
      </c>
      <c r="E32">
        <v>0.99569444444444444</v>
      </c>
      <c r="F32">
        <v>0.56422009198913248</v>
      </c>
    </row>
    <row r="33" spans="1:6" x14ac:dyDescent="0.35">
      <c r="A33">
        <v>72</v>
      </c>
      <c r="B33">
        <v>116</v>
      </c>
      <c r="D33">
        <f>VLOOKUP(B33,Sheet2!$C$4:$D$31,2,FALSE)</f>
        <v>0.91</v>
      </c>
      <c r="E33">
        <v>0.99763888888888896</v>
      </c>
      <c r="F33">
        <v>0.56072304095767622</v>
      </c>
    </row>
    <row r="34" spans="1:6" hidden="1" x14ac:dyDescent="0.35">
      <c r="A34">
        <v>72</v>
      </c>
      <c r="B34">
        <v>122</v>
      </c>
      <c r="D34">
        <f>VLOOKUP(B34,Sheet2!$C$4:$D$31,2,FALSE)</f>
        <v>0.52</v>
      </c>
      <c r="E34">
        <v>0.98805555555555558</v>
      </c>
      <c r="F34">
        <v>0.60374434399902976</v>
      </c>
    </row>
    <row r="35" spans="1:6" hidden="1" x14ac:dyDescent="0.35">
      <c r="A35">
        <v>72</v>
      </c>
      <c r="B35">
        <v>144</v>
      </c>
      <c r="D35">
        <f>VLOOKUP(B35,Sheet2!$C$4:$D$31,2,FALSE)</f>
        <v>0.52</v>
      </c>
      <c r="E35">
        <v>0.99708333333333343</v>
      </c>
      <c r="F35">
        <v>0.58204949901680936</v>
      </c>
    </row>
    <row r="36" spans="1:6" hidden="1" x14ac:dyDescent="0.35">
      <c r="A36">
        <v>72</v>
      </c>
      <c r="B36">
        <v>153</v>
      </c>
      <c r="D36">
        <f>VLOOKUP(B36,Sheet2!$C$4:$D$31,2,FALSE)</f>
        <v>0.65</v>
      </c>
      <c r="E36">
        <v>0.99583333333333324</v>
      </c>
      <c r="F36">
        <v>0.60887650221378853</v>
      </c>
    </row>
    <row r="37" spans="1:6" x14ac:dyDescent="0.35">
      <c r="A37">
        <v>72</v>
      </c>
      <c r="B37">
        <v>158</v>
      </c>
      <c r="D37">
        <f>VLOOKUP(B37,Sheet2!$C$4:$D$31,2,FALSE)</f>
        <v>0.91</v>
      </c>
      <c r="E37">
        <v>0.99597222222222215</v>
      </c>
      <c r="F37">
        <v>0.63664309241483164</v>
      </c>
    </row>
    <row r="38" spans="1:6" hidden="1" x14ac:dyDescent="0.35">
      <c r="A38">
        <v>72</v>
      </c>
      <c r="B38">
        <v>174</v>
      </c>
      <c r="D38">
        <f>VLOOKUP(B38,Sheet2!$C$4:$D$31,2,FALSE)</f>
        <v>0.52</v>
      </c>
      <c r="E38">
        <v>0.99708333333333343</v>
      </c>
      <c r="F38">
        <v>0.60963363371476376</v>
      </c>
    </row>
    <row r="39" spans="1:6" hidden="1" x14ac:dyDescent="0.35">
      <c r="A39">
        <v>72</v>
      </c>
      <c r="B39">
        <v>180</v>
      </c>
      <c r="D39">
        <f>VLOOKUP(B39,Sheet2!$C$4:$D$31,2,FALSE)</f>
        <v>0.65</v>
      </c>
      <c r="E39">
        <v>0.99875000000000014</v>
      </c>
      <c r="F39">
        <v>0.5973755023748637</v>
      </c>
    </row>
    <row r="40" spans="1:6" x14ac:dyDescent="0.35">
      <c r="A40">
        <v>72</v>
      </c>
      <c r="B40">
        <v>214</v>
      </c>
      <c r="D40">
        <f>VLOOKUP(B40,Sheet2!$C$4:$D$31,2,FALSE)</f>
        <v>0.91</v>
      </c>
      <c r="E40">
        <v>0.99958333333333327</v>
      </c>
      <c r="F40">
        <v>0.60844806763285064</v>
      </c>
    </row>
    <row r="41" spans="1:6" hidden="1" x14ac:dyDescent="0.35">
      <c r="A41">
        <v>72</v>
      </c>
      <c r="B41">
        <v>218</v>
      </c>
      <c r="D41">
        <f>VLOOKUP(B41,Sheet2!$C$4:$D$31,2,FALSE)</f>
        <v>0.65</v>
      </c>
      <c r="E41">
        <v>0.99958333333333338</v>
      </c>
      <c r="F41">
        <v>0.61386473429951705</v>
      </c>
    </row>
    <row r="42" spans="1:6" x14ac:dyDescent="0.35">
      <c r="A42">
        <v>72</v>
      </c>
      <c r="B42">
        <v>251</v>
      </c>
      <c r="D42">
        <f>VLOOKUP(B42,Sheet2!$C$4:$D$31,2,FALSE)</f>
        <v>0.91</v>
      </c>
      <c r="E42">
        <v>0.99972222222222229</v>
      </c>
      <c r="F42">
        <v>0.63294841269841218</v>
      </c>
    </row>
    <row r="43" spans="1:6" x14ac:dyDescent="0.35">
      <c r="A43">
        <v>72</v>
      </c>
      <c r="B43">
        <v>305</v>
      </c>
      <c r="D43">
        <f>VLOOKUP(B43,Sheet2!$C$4:$D$31,2,FALSE)</f>
        <v>0.91</v>
      </c>
      <c r="E43">
        <v>1</v>
      </c>
      <c r="F43">
        <v>0.69430555555555529</v>
      </c>
    </row>
    <row r="44" spans="1:6" hidden="1" x14ac:dyDescent="0.35">
      <c r="A44">
        <v>81</v>
      </c>
      <c r="B44">
        <v>22</v>
      </c>
      <c r="D44">
        <f>VLOOKUP(B44,Sheet2!$C$4:$D$31,2,FALSE)</f>
        <v>0.52</v>
      </c>
      <c r="E44">
        <v>0.83925925925925926</v>
      </c>
      <c r="F44">
        <v>0.36713500787598641</v>
      </c>
    </row>
    <row r="45" spans="1:6" hidden="1" x14ac:dyDescent="0.35">
      <c r="A45">
        <v>81</v>
      </c>
      <c r="B45">
        <v>27</v>
      </c>
      <c r="D45">
        <f>VLOOKUP(B45,Sheet2!$C$4:$D$31,2,FALSE)</f>
        <v>0.65</v>
      </c>
      <c r="E45">
        <v>0.85222222222222244</v>
      </c>
      <c r="F45">
        <v>0.3812963980260296</v>
      </c>
    </row>
    <row r="46" spans="1:6" x14ac:dyDescent="0.35">
      <c r="A46">
        <v>81</v>
      </c>
      <c r="B46">
        <v>38</v>
      </c>
      <c r="D46">
        <f>VLOOKUP(B46,Sheet2!$C$4:$D$31,2,FALSE)</f>
        <v>0.91</v>
      </c>
      <c r="E46">
        <v>0.89716049382716068</v>
      </c>
      <c r="F46">
        <v>0.42250834022132672</v>
      </c>
    </row>
    <row r="47" spans="1:6" hidden="1" x14ac:dyDescent="0.35">
      <c r="A47">
        <v>81</v>
      </c>
      <c r="B47">
        <v>41</v>
      </c>
      <c r="D47">
        <f>VLOOKUP(B47,Sheet2!$C$4:$D$31,2,FALSE)</f>
        <v>0.52</v>
      </c>
      <c r="E47">
        <v>0.87728395061728381</v>
      </c>
      <c r="F47">
        <v>0.39663020735599103</v>
      </c>
    </row>
    <row r="48" spans="1:6" hidden="1" x14ac:dyDescent="0.35">
      <c r="A48">
        <v>81</v>
      </c>
      <c r="B48">
        <v>51</v>
      </c>
      <c r="D48">
        <f>VLOOKUP(B48,Sheet2!$C$4:$D$31,2,FALSE)</f>
        <v>0.65</v>
      </c>
      <c r="E48">
        <v>0.93123456790123438</v>
      </c>
      <c r="F48">
        <v>0.44610325375342536</v>
      </c>
    </row>
    <row r="49" spans="1:6" hidden="1" x14ac:dyDescent="0.35">
      <c r="A49">
        <v>81</v>
      </c>
      <c r="B49">
        <v>66</v>
      </c>
      <c r="D49">
        <f>VLOOKUP(B49,Sheet2!$C$4:$D$31,2,FALSE)</f>
        <v>0.52</v>
      </c>
      <c r="E49">
        <v>0.94160493827160496</v>
      </c>
      <c r="F49">
        <v>0.4330050921691459</v>
      </c>
    </row>
    <row r="50" spans="1:6" x14ac:dyDescent="0.35">
      <c r="A50">
        <v>81</v>
      </c>
      <c r="B50">
        <v>72</v>
      </c>
      <c r="D50">
        <f>VLOOKUP(B50,Sheet2!$C$4:$D$31,2,FALSE)</f>
        <v>0.91</v>
      </c>
      <c r="E50">
        <v>0.94432098765432082</v>
      </c>
      <c r="F50">
        <v>0.46600729802406904</v>
      </c>
    </row>
    <row r="51" spans="1:6" hidden="1" x14ac:dyDescent="0.35">
      <c r="A51">
        <v>81</v>
      </c>
      <c r="B51">
        <v>83</v>
      </c>
      <c r="D51">
        <f>VLOOKUP(B51,Sheet2!$C$4:$D$31,2,FALSE)</f>
        <v>0.65</v>
      </c>
      <c r="E51">
        <v>0.94839506172839549</v>
      </c>
      <c r="F51">
        <v>0.473204695250727</v>
      </c>
    </row>
    <row r="52" spans="1:6" hidden="1" x14ac:dyDescent="0.35">
      <c r="A52">
        <v>81</v>
      </c>
      <c r="B52">
        <v>90</v>
      </c>
      <c r="D52">
        <f>VLOOKUP(B52,Sheet2!$C$4:$D$31,2,FALSE)</f>
        <v>0.52</v>
      </c>
      <c r="E52">
        <v>0.96432098765432073</v>
      </c>
      <c r="F52">
        <v>0.49162734361037336</v>
      </c>
    </row>
    <row r="53" spans="1:6" hidden="1" x14ac:dyDescent="0.35">
      <c r="A53">
        <v>81</v>
      </c>
      <c r="B53">
        <v>113</v>
      </c>
      <c r="D53">
        <f>VLOOKUP(B53,Sheet2!$C$4:$D$31,2,FALSE)</f>
        <v>0.65</v>
      </c>
      <c r="E53">
        <v>0.96753086419753098</v>
      </c>
      <c r="F53">
        <v>0.49196384025699663</v>
      </c>
    </row>
    <row r="54" spans="1:6" x14ac:dyDescent="0.35">
      <c r="A54">
        <v>81</v>
      </c>
      <c r="B54">
        <v>116</v>
      </c>
      <c r="D54">
        <f>VLOOKUP(B54,Sheet2!$C$4:$D$31,2,FALSE)</f>
        <v>0.91</v>
      </c>
      <c r="E54">
        <v>0.97172839506172826</v>
      </c>
      <c r="F54">
        <v>0.49305785031442118</v>
      </c>
    </row>
    <row r="55" spans="1:6" hidden="1" x14ac:dyDescent="0.35">
      <c r="A55">
        <v>81</v>
      </c>
      <c r="B55">
        <v>122</v>
      </c>
      <c r="D55">
        <f>VLOOKUP(B55,Sheet2!$C$4:$D$31,2,FALSE)</f>
        <v>0.52</v>
      </c>
      <c r="E55">
        <v>0.97172839506172826</v>
      </c>
      <c r="F55">
        <v>0.49319078389963317</v>
      </c>
    </row>
    <row r="56" spans="1:6" hidden="1" x14ac:dyDescent="0.35">
      <c r="A56">
        <v>81</v>
      </c>
      <c r="B56">
        <v>144</v>
      </c>
      <c r="D56">
        <f>VLOOKUP(B56,Sheet2!$C$4:$D$31,2,FALSE)</f>
        <v>0.52</v>
      </c>
      <c r="E56">
        <v>0.98382716049382724</v>
      </c>
      <c r="F56">
        <v>0.51782616425386263</v>
      </c>
    </row>
    <row r="57" spans="1:6" hidden="1" x14ac:dyDescent="0.35">
      <c r="A57">
        <v>81</v>
      </c>
      <c r="B57">
        <v>153</v>
      </c>
      <c r="D57">
        <f>VLOOKUP(B57,Sheet2!$C$4:$D$31,2,FALSE)</f>
        <v>0.65</v>
      </c>
      <c r="E57">
        <v>0.97827160493827181</v>
      </c>
      <c r="F57">
        <v>0.53580714616623049</v>
      </c>
    </row>
    <row r="58" spans="1:6" x14ac:dyDescent="0.35">
      <c r="A58">
        <v>81</v>
      </c>
      <c r="B58">
        <v>158</v>
      </c>
      <c r="D58">
        <f>VLOOKUP(B58,Sheet2!$C$4:$D$31,2,FALSE)</f>
        <v>0.91</v>
      </c>
      <c r="E58">
        <v>0.986913580246914</v>
      </c>
      <c r="F58">
        <v>0.53145270076071771</v>
      </c>
    </row>
    <row r="59" spans="1:6" hidden="1" x14ac:dyDescent="0.35">
      <c r="A59">
        <v>81</v>
      </c>
      <c r="B59">
        <v>174</v>
      </c>
      <c r="D59">
        <f>VLOOKUP(B59,Sheet2!$C$4:$D$31,2,FALSE)</f>
        <v>0.52</v>
      </c>
      <c r="E59">
        <v>0.98864197530864162</v>
      </c>
      <c r="F59">
        <v>0.54262320228973038</v>
      </c>
    </row>
    <row r="60" spans="1:6" hidden="1" x14ac:dyDescent="0.35">
      <c r="A60">
        <v>81</v>
      </c>
      <c r="B60">
        <v>180</v>
      </c>
      <c r="D60">
        <f>VLOOKUP(B60,Sheet2!$C$4:$D$31,2,FALSE)</f>
        <v>0.65</v>
      </c>
      <c r="E60">
        <v>0.9865432098765432</v>
      </c>
      <c r="F60">
        <v>0.54184240029757491</v>
      </c>
    </row>
    <row r="61" spans="1:6" x14ac:dyDescent="0.35">
      <c r="A61">
        <v>81</v>
      </c>
      <c r="B61">
        <v>214</v>
      </c>
      <c r="D61">
        <f>VLOOKUP(B61,Sheet2!$C$4:$D$31,2,FALSE)</f>
        <v>0.91</v>
      </c>
      <c r="E61">
        <v>0.99049382716049361</v>
      </c>
      <c r="F61">
        <v>0.56095114219126552</v>
      </c>
    </row>
    <row r="62" spans="1:6" hidden="1" x14ac:dyDescent="0.35">
      <c r="A62">
        <v>81</v>
      </c>
      <c r="B62">
        <v>218</v>
      </c>
      <c r="D62">
        <f>VLOOKUP(B62,Sheet2!$C$4:$D$31,2,FALSE)</f>
        <v>0.65</v>
      </c>
      <c r="E62">
        <v>0.99259259259259247</v>
      </c>
      <c r="F62">
        <v>0.55866150481414234</v>
      </c>
    </row>
    <row r="63" spans="1:6" x14ac:dyDescent="0.35">
      <c r="A63">
        <v>81</v>
      </c>
      <c r="B63">
        <v>251</v>
      </c>
      <c r="D63">
        <f>VLOOKUP(B63,Sheet2!$C$4:$D$31,2,FALSE)</f>
        <v>0.91</v>
      </c>
      <c r="E63">
        <v>0.9941975308641976</v>
      </c>
      <c r="F63">
        <v>0.57149102649630068</v>
      </c>
    </row>
    <row r="64" spans="1:6" x14ac:dyDescent="0.35">
      <c r="A64">
        <v>81</v>
      </c>
      <c r="B64">
        <v>305</v>
      </c>
      <c r="D64">
        <f>VLOOKUP(B64,Sheet2!$C$4:$D$31,2,FALSE)</f>
        <v>0.91</v>
      </c>
      <c r="E64">
        <v>0.99567901234567879</v>
      </c>
      <c r="F64">
        <v>0.59183519426599607</v>
      </c>
    </row>
    <row r="65" spans="1:6" hidden="1" x14ac:dyDescent="0.35">
      <c r="A65">
        <v>85</v>
      </c>
      <c r="B65">
        <v>22</v>
      </c>
      <c r="D65">
        <f>VLOOKUP(B65,Sheet2!$C$4:$D$31,2,FALSE)</f>
        <v>0.52</v>
      </c>
      <c r="E65">
        <v>0.8050588235294116</v>
      </c>
      <c r="F65">
        <v>0.42616304700748875</v>
      </c>
    </row>
    <row r="66" spans="1:6" hidden="1" x14ac:dyDescent="0.35">
      <c r="A66">
        <v>85</v>
      </c>
      <c r="B66">
        <v>27</v>
      </c>
      <c r="D66">
        <f>VLOOKUP(B66,Sheet2!$C$4:$D$31,2,FALSE)</f>
        <v>0.65</v>
      </c>
      <c r="E66">
        <v>0.82847058823529363</v>
      </c>
      <c r="F66">
        <v>0.44258927218185951</v>
      </c>
    </row>
    <row r="67" spans="1:6" x14ac:dyDescent="0.35">
      <c r="A67">
        <v>85</v>
      </c>
      <c r="B67">
        <v>38</v>
      </c>
      <c r="D67">
        <f>VLOOKUP(B67,Sheet2!$C$4:$D$31,2,FALSE)</f>
        <v>0.91</v>
      </c>
      <c r="E67">
        <v>0.87235294117646944</v>
      </c>
      <c r="F67">
        <v>0.47262303452730614</v>
      </c>
    </row>
    <row r="68" spans="1:6" hidden="1" x14ac:dyDescent="0.35">
      <c r="A68">
        <v>85</v>
      </c>
      <c r="B68">
        <v>41</v>
      </c>
      <c r="D68">
        <f>VLOOKUP(B68,Sheet2!$C$4:$D$31,2,FALSE)</f>
        <v>0.52</v>
      </c>
      <c r="E68">
        <v>0.86541176470588166</v>
      </c>
      <c r="F68">
        <v>0.46341867175209006</v>
      </c>
    </row>
    <row r="69" spans="1:6" hidden="1" x14ac:dyDescent="0.35">
      <c r="A69">
        <v>85</v>
      </c>
      <c r="B69">
        <v>51</v>
      </c>
      <c r="D69">
        <f>VLOOKUP(B69,Sheet2!$C$4:$D$31,2,FALSE)</f>
        <v>0.65</v>
      </c>
      <c r="E69">
        <v>0.88776470588235212</v>
      </c>
      <c r="F69">
        <v>0.47163251552169894</v>
      </c>
    </row>
    <row r="70" spans="1:6" hidden="1" x14ac:dyDescent="0.35">
      <c r="A70">
        <v>85</v>
      </c>
      <c r="B70">
        <v>66</v>
      </c>
      <c r="D70">
        <f>VLOOKUP(B70,Sheet2!$C$4:$D$31,2,FALSE)</f>
        <v>0.52</v>
      </c>
      <c r="E70">
        <v>0.90929411764705803</v>
      </c>
      <c r="F70">
        <v>0.49552516415753617</v>
      </c>
    </row>
    <row r="71" spans="1:6" x14ac:dyDescent="0.35">
      <c r="A71">
        <v>85</v>
      </c>
      <c r="B71">
        <v>72</v>
      </c>
      <c r="D71">
        <f>VLOOKUP(B71,Sheet2!$C$4:$D$31,2,FALSE)</f>
        <v>0.91</v>
      </c>
      <c r="E71">
        <v>0.93611764705882283</v>
      </c>
      <c r="F71">
        <v>0.50916315482988883</v>
      </c>
    </row>
    <row r="72" spans="1:6" hidden="1" x14ac:dyDescent="0.35">
      <c r="A72">
        <v>85</v>
      </c>
      <c r="B72">
        <v>83</v>
      </c>
      <c r="D72">
        <f>VLOOKUP(B72,Sheet2!$C$4:$D$31,2,FALSE)</f>
        <v>0.65</v>
      </c>
      <c r="E72">
        <v>0.93211764705882261</v>
      </c>
      <c r="F72">
        <v>0.51795641278040894</v>
      </c>
    </row>
    <row r="73" spans="1:6" hidden="1" x14ac:dyDescent="0.35">
      <c r="A73">
        <v>85</v>
      </c>
      <c r="B73">
        <v>90</v>
      </c>
      <c r="D73">
        <f>VLOOKUP(B73,Sheet2!$C$4:$D$31,2,FALSE)</f>
        <v>0.52</v>
      </c>
      <c r="E73">
        <v>0.9476470588235284</v>
      </c>
      <c r="F73">
        <v>0.49756643085005287</v>
      </c>
    </row>
    <row r="74" spans="1:6" hidden="1" x14ac:dyDescent="0.35">
      <c r="A74">
        <v>85</v>
      </c>
      <c r="B74">
        <v>113</v>
      </c>
      <c r="D74">
        <f>VLOOKUP(B74,Sheet2!$C$4:$D$31,2,FALSE)</f>
        <v>0.65</v>
      </c>
      <c r="E74">
        <v>0.98141176470588165</v>
      </c>
      <c r="F74">
        <v>0.52954335979787048</v>
      </c>
    </row>
    <row r="75" spans="1:6" x14ac:dyDescent="0.35">
      <c r="A75">
        <v>85</v>
      </c>
      <c r="B75">
        <v>116</v>
      </c>
      <c r="D75">
        <f>VLOOKUP(B75,Sheet2!$C$4:$D$31,2,FALSE)</f>
        <v>0.91</v>
      </c>
      <c r="E75">
        <v>0.97882352941176354</v>
      </c>
      <c r="F75">
        <v>0.53267603897088212</v>
      </c>
    </row>
    <row r="76" spans="1:6" hidden="1" x14ac:dyDescent="0.35">
      <c r="A76">
        <v>85</v>
      </c>
      <c r="B76">
        <v>122</v>
      </c>
      <c r="D76">
        <f>VLOOKUP(B76,Sheet2!$C$4:$D$31,2,FALSE)</f>
        <v>0.52</v>
      </c>
      <c r="E76">
        <v>0.97247058823529353</v>
      </c>
      <c r="F76">
        <v>0.55849757613324902</v>
      </c>
    </row>
    <row r="77" spans="1:6" hidden="1" x14ac:dyDescent="0.35">
      <c r="A77">
        <v>85</v>
      </c>
      <c r="B77">
        <v>144</v>
      </c>
      <c r="D77">
        <f>VLOOKUP(B77,Sheet2!$C$4:$D$31,2,FALSE)</f>
        <v>0.52</v>
      </c>
      <c r="E77">
        <v>0.98058823529411698</v>
      </c>
      <c r="F77">
        <v>0.55991182034957854</v>
      </c>
    </row>
    <row r="78" spans="1:6" hidden="1" x14ac:dyDescent="0.35">
      <c r="A78">
        <v>85</v>
      </c>
      <c r="B78">
        <v>153</v>
      </c>
      <c r="D78">
        <f>VLOOKUP(B78,Sheet2!$C$4:$D$31,2,FALSE)</f>
        <v>0.65</v>
      </c>
      <c r="E78">
        <v>0.98364705882352865</v>
      </c>
      <c r="F78">
        <v>0.55697393267569251</v>
      </c>
    </row>
    <row r="79" spans="1:6" x14ac:dyDescent="0.35">
      <c r="A79">
        <v>85</v>
      </c>
      <c r="B79">
        <v>158</v>
      </c>
      <c r="D79">
        <f>VLOOKUP(B79,Sheet2!$C$4:$D$31,2,FALSE)</f>
        <v>0.91</v>
      </c>
      <c r="E79">
        <v>0.97847058823529298</v>
      </c>
      <c r="F79">
        <v>0.54233244166593664</v>
      </c>
    </row>
    <row r="80" spans="1:6" hidden="1" x14ac:dyDescent="0.35">
      <c r="A80">
        <v>85</v>
      </c>
      <c r="B80">
        <v>174</v>
      </c>
      <c r="D80">
        <f>VLOOKUP(B80,Sheet2!$C$4:$D$31,2,FALSE)</f>
        <v>0.52</v>
      </c>
      <c r="E80">
        <v>0.98894117647058788</v>
      </c>
      <c r="F80">
        <v>0.59236949474687894</v>
      </c>
    </row>
    <row r="81" spans="1:6" hidden="1" x14ac:dyDescent="0.35">
      <c r="A81">
        <v>85</v>
      </c>
      <c r="B81">
        <v>180</v>
      </c>
      <c r="D81">
        <f>VLOOKUP(B81,Sheet2!$C$4:$D$31,2,FALSE)</f>
        <v>0.65</v>
      </c>
      <c r="E81">
        <v>0.97211764705882275</v>
      </c>
      <c r="F81">
        <v>0.55223479574192824</v>
      </c>
    </row>
    <row r="82" spans="1:6" x14ac:dyDescent="0.35">
      <c r="A82">
        <v>85</v>
      </c>
      <c r="B82">
        <v>214</v>
      </c>
      <c r="D82">
        <f>VLOOKUP(B82,Sheet2!$C$4:$D$31,2,FALSE)</f>
        <v>0.91</v>
      </c>
      <c r="E82">
        <v>0.99035294117646944</v>
      </c>
      <c r="F82">
        <v>0.5650896061877031</v>
      </c>
    </row>
    <row r="83" spans="1:6" hidden="1" x14ac:dyDescent="0.35">
      <c r="A83">
        <v>85</v>
      </c>
      <c r="B83">
        <v>218</v>
      </c>
      <c r="D83">
        <f>VLOOKUP(B83,Sheet2!$C$4:$D$31,2,FALSE)</f>
        <v>0.65</v>
      </c>
      <c r="E83">
        <v>0.98894117647058766</v>
      </c>
      <c r="F83">
        <v>0.59685432771987301</v>
      </c>
    </row>
    <row r="84" spans="1:6" x14ac:dyDescent="0.35">
      <c r="A84">
        <v>85</v>
      </c>
      <c r="B84">
        <v>251</v>
      </c>
      <c r="D84">
        <f>VLOOKUP(B84,Sheet2!$C$4:$D$31,2,FALSE)</f>
        <v>0.91</v>
      </c>
      <c r="E84">
        <v>0.99211764705882333</v>
      </c>
      <c r="F84">
        <v>0.61940685821534514</v>
      </c>
    </row>
    <row r="85" spans="1:6" x14ac:dyDescent="0.35">
      <c r="A85">
        <v>85</v>
      </c>
      <c r="B85">
        <v>305</v>
      </c>
      <c r="D85">
        <f>VLOOKUP(B85,Sheet2!$C$4:$D$31,2,FALSE)</f>
        <v>0.91</v>
      </c>
      <c r="E85">
        <v>0.99341176470588211</v>
      </c>
      <c r="F85">
        <v>0.63689337659754885</v>
      </c>
    </row>
    <row r="86" spans="1:6" hidden="1" x14ac:dyDescent="0.35">
      <c r="A86">
        <v>89</v>
      </c>
      <c r="B86">
        <v>22</v>
      </c>
      <c r="D86">
        <f>VLOOKUP(B86,Sheet2!$C$4:$D$31,2,FALSE)</f>
        <v>0.52</v>
      </c>
      <c r="E86">
        <v>0.81528089887640376</v>
      </c>
      <c r="F86">
        <v>0.42181993808944496</v>
      </c>
    </row>
    <row r="87" spans="1:6" hidden="1" x14ac:dyDescent="0.35">
      <c r="A87">
        <v>89</v>
      </c>
      <c r="B87">
        <v>27</v>
      </c>
      <c r="D87">
        <f>VLOOKUP(B87,Sheet2!$C$4:$D$31,2,FALSE)</f>
        <v>0.65</v>
      </c>
      <c r="E87">
        <v>0.83382022471910089</v>
      </c>
      <c r="F87">
        <v>0.43764306752932319</v>
      </c>
    </row>
    <row r="88" spans="1:6" x14ac:dyDescent="0.35">
      <c r="A88">
        <v>89</v>
      </c>
      <c r="B88">
        <v>38</v>
      </c>
      <c r="D88">
        <f>VLOOKUP(B88,Sheet2!$C$4:$D$31,2,FALSE)</f>
        <v>0.91</v>
      </c>
      <c r="E88">
        <v>0.87325842696629241</v>
      </c>
      <c r="F88">
        <v>0.46003442240281361</v>
      </c>
    </row>
    <row r="89" spans="1:6" hidden="1" x14ac:dyDescent="0.35">
      <c r="A89">
        <v>89</v>
      </c>
      <c r="B89">
        <v>41</v>
      </c>
      <c r="D89">
        <f>VLOOKUP(B89,Sheet2!$C$4:$D$31,2,FALSE)</f>
        <v>0.52</v>
      </c>
      <c r="E89">
        <v>0.85910112359550583</v>
      </c>
      <c r="F89">
        <v>0.46269103601291073</v>
      </c>
    </row>
    <row r="90" spans="1:6" hidden="1" x14ac:dyDescent="0.35">
      <c r="A90">
        <v>89</v>
      </c>
      <c r="B90">
        <v>51</v>
      </c>
      <c r="D90">
        <f>VLOOKUP(B90,Sheet2!$C$4:$D$31,2,FALSE)</f>
        <v>0.65</v>
      </c>
      <c r="E90">
        <v>0.864157303370787</v>
      </c>
      <c r="F90">
        <v>0.4780011456183636</v>
      </c>
    </row>
    <row r="91" spans="1:6" hidden="1" x14ac:dyDescent="0.35">
      <c r="A91">
        <v>89</v>
      </c>
      <c r="B91">
        <v>66</v>
      </c>
      <c r="D91">
        <f>VLOOKUP(B91,Sheet2!$C$4:$D$31,2,FALSE)</f>
        <v>0.52</v>
      </c>
      <c r="E91">
        <v>0.87988764044943824</v>
      </c>
      <c r="F91">
        <v>0.49023351245019525</v>
      </c>
    </row>
    <row r="92" spans="1:6" x14ac:dyDescent="0.35">
      <c r="A92">
        <v>89</v>
      </c>
      <c r="B92">
        <v>72</v>
      </c>
      <c r="D92">
        <f>VLOOKUP(B92,Sheet2!$C$4:$D$31,2,FALSE)</f>
        <v>0.91</v>
      </c>
      <c r="E92">
        <v>0.92505617977528143</v>
      </c>
      <c r="F92">
        <v>0.52050418783481855</v>
      </c>
    </row>
    <row r="93" spans="1:6" hidden="1" x14ac:dyDescent="0.35">
      <c r="A93">
        <v>89</v>
      </c>
      <c r="B93">
        <v>83</v>
      </c>
      <c r="D93">
        <f>VLOOKUP(B93,Sheet2!$C$4:$D$31,2,FALSE)</f>
        <v>0.65</v>
      </c>
      <c r="E93">
        <v>0.92426966292134882</v>
      </c>
      <c r="F93">
        <v>0.53610202296624831</v>
      </c>
    </row>
    <row r="94" spans="1:6" hidden="1" x14ac:dyDescent="0.35">
      <c r="A94">
        <v>89</v>
      </c>
      <c r="B94">
        <v>90</v>
      </c>
      <c r="D94">
        <f>VLOOKUP(B94,Sheet2!$C$4:$D$31,2,FALSE)</f>
        <v>0.52</v>
      </c>
      <c r="E94">
        <v>0.93280898876404561</v>
      </c>
      <c r="F94">
        <v>0.53522051260888581</v>
      </c>
    </row>
    <row r="95" spans="1:6" hidden="1" x14ac:dyDescent="0.35">
      <c r="A95">
        <v>89</v>
      </c>
      <c r="B95">
        <v>113</v>
      </c>
      <c r="D95">
        <f>VLOOKUP(B95,Sheet2!$C$4:$D$31,2,FALSE)</f>
        <v>0.65</v>
      </c>
      <c r="E95">
        <v>0.95662921348314667</v>
      </c>
      <c r="F95">
        <v>0.55827195711292465</v>
      </c>
    </row>
    <row r="96" spans="1:6" x14ac:dyDescent="0.35">
      <c r="A96">
        <v>89</v>
      </c>
      <c r="B96">
        <v>116</v>
      </c>
      <c r="D96">
        <f>VLOOKUP(B96,Sheet2!$C$4:$D$31,2,FALSE)</f>
        <v>0.91</v>
      </c>
      <c r="E96">
        <v>0.9553932584269671</v>
      </c>
      <c r="F96">
        <v>0.56288665720936149</v>
      </c>
    </row>
    <row r="97" spans="1:6" hidden="1" x14ac:dyDescent="0.35">
      <c r="A97">
        <v>89</v>
      </c>
      <c r="B97">
        <v>122</v>
      </c>
      <c r="D97">
        <f>VLOOKUP(B97,Sheet2!$C$4:$D$31,2,FALSE)</f>
        <v>0.52</v>
      </c>
      <c r="E97">
        <v>0.963820224719102</v>
      </c>
      <c r="F97">
        <v>0.54833289717346623</v>
      </c>
    </row>
    <row r="98" spans="1:6" hidden="1" x14ac:dyDescent="0.35">
      <c r="A98">
        <v>89</v>
      </c>
      <c r="B98">
        <v>144</v>
      </c>
      <c r="D98">
        <f>VLOOKUP(B98,Sheet2!$C$4:$D$31,2,FALSE)</f>
        <v>0.52</v>
      </c>
      <c r="E98">
        <v>0.97719101123595553</v>
      </c>
      <c r="F98">
        <v>0.57517302763937528</v>
      </c>
    </row>
    <row r="99" spans="1:6" hidden="1" x14ac:dyDescent="0.35">
      <c r="A99">
        <v>89</v>
      </c>
      <c r="B99">
        <v>153</v>
      </c>
      <c r="D99">
        <f>VLOOKUP(B99,Sheet2!$C$4:$D$31,2,FALSE)</f>
        <v>0.65</v>
      </c>
      <c r="E99">
        <v>0.98539325842696657</v>
      </c>
      <c r="F99">
        <v>0.58211351776522169</v>
      </c>
    </row>
    <row r="100" spans="1:6" x14ac:dyDescent="0.35">
      <c r="A100">
        <v>89</v>
      </c>
      <c r="B100">
        <v>158</v>
      </c>
      <c r="D100">
        <f>VLOOKUP(B100,Sheet2!$C$4:$D$31,2,FALSE)</f>
        <v>0.91</v>
      </c>
      <c r="E100">
        <v>0.97595505617977596</v>
      </c>
      <c r="F100">
        <v>0.57856800040545298</v>
      </c>
    </row>
    <row r="101" spans="1:6" hidden="1" x14ac:dyDescent="0.35">
      <c r="A101">
        <v>89</v>
      </c>
      <c r="B101">
        <v>174</v>
      </c>
      <c r="D101">
        <f>VLOOKUP(B101,Sheet2!$C$4:$D$31,2,FALSE)</f>
        <v>0.52</v>
      </c>
      <c r="E101">
        <v>0.99078651685393282</v>
      </c>
      <c r="F101">
        <v>0.60662406753917797</v>
      </c>
    </row>
    <row r="102" spans="1:6" hidden="1" x14ac:dyDescent="0.35">
      <c r="A102">
        <v>89</v>
      </c>
      <c r="B102">
        <v>180</v>
      </c>
      <c r="D102">
        <f>VLOOKUP(B102,Sheet2!$C$4:$D$31,2,FALSE)</f>
        <v>0.65</v>
      </c>
      <c r="E102">
        <v>0.97775280898876471</v>
      </c>
      <c r="F102">
        <v>0.58159831845071219</v>
      </c>
    </row>
    <row r="103" spans="1:6" x14ac:dyDescent="0.35">
      <c r="A103">
        <v>89</v>
      </c>
      <c r="B103">
        <v>214</v>
      </c>
      <c r="D103">
        <f>VLOOKUP(B103,Sheet2!$C$4:$D$31,2,FALSE)</f>
        <v>0.91</v>
      </c>
      <c r="E103">
        <v>0.99000000000000032</v>
      </c>
      <c r="F103">
        <v>0.60881609605768516</v>
      </c>
    </row>
    <row r="104" spans="1:6" hidden="1" x14ac:dyDescent="0.35">
      <c r="A104">
        <v>89</v>
      </c>
      <c r="B104">
        <v>218</v>
      </c>
      <c r="D104">
        <f>VLOOKUP(B104,Sheet2!$C$4:$D$31,2,FALSE)</f>
        <v>0.65</v>
      </c>
      <c r="E104">
        <v>0.98977528089887667</v>
      </c>
      <c r="F104">
        <v>0.6111697109079065</v>
      </c>
    </row>
    <row r="105" spans="1:6" x14ac:dyDescent="0.35">
      <c r="A105">
        <v>89</v>
      </c>
      <c r="B105">
        <v>251</v>
      </c>
      <c r="D105">
        <f>VLOOKUP(B105,Sheet2!$C$4:$D$31,2,FALSE)</f>
        <v>0.91</v>
      </c>
      <c r="E105">
        <v>0.99168539325842719</v>
      </c>
      <c r="F105">
        <v>0.61164590522268059</v>
      </c>
    </row>
    <row r="106" spans="1:6" x14ac:dyDescent="0.35">
      <c r="A106">
        <v>89</v>
      </c>
      <c r="B106">
        <v>305</v>
      </c>
      <c r="D106">
        <f>VLOOKUP(B106,Sheet2!$C$4:$D$31,2,FALSE)</f>
        <v>0.91</v>
      </c>
      <c r="E106">
        <v>0.99337078651685418</v>
      </c>
      <c r="F106">
        <v>0.6232002122238981</v>
      </c>
    </row>
    <row r="107" spans="1:6" hidden="1" x14ac:dyDescent="0.35">
      <c r="A107">
        <v>100</v>
      </c>
      <c r="B107">
        <v>22</v>
      </c>
      <c r="D107">
        <f>VLOOKUP(B107,Sheet2!$C$4:$D$31,2,FALSE)</f>
        <v>0.52</v>
      </c>
      <c r="E107">
        <v>0.7168000000000001</v>
      </c>
      <c r="F107">
        <v>0.42665838375609311</v>
      </c>
    </row>
    <row r="108" spans="1:6" hidden="1" x14ac:dyDescent="0.35">
      <c r="A108">
        <v>100</v>
      </c>
      <c r="B108">
        <v>27</v>
      </c>
      <c r="D108">
        <f>VLOOKUP(B108,Sheet2!$C$4:$D$31,2,FALSE)</f>
        <v>0.65</v>
      </c>
      <c r="E108">
        <v>0.76059999999999983</v>
      </c>
      <c r="F108">
        <v>0.44332196154488313</v>
      </c>
    </row>
    <row r="109" spans="1:6" x14ac:dyDescent="0.35">
      <c r="A109">
        <v>100</v>
      </c>
      <c r="B109">
        <v>38</v>
      </c>
      <c r="D109">
        <f>VLOOKUP(B109,Sheet2!$C$4:$D$31,2,FALSE)</f>
        <v>0.91</v>
      </c>
      <c r="E109">
        <v>0.73720000000000008</v>
      </c>
      <c r="F109">
        <v>0.44274880509018189</v>
      </c>
    </row>
    <row r="110" spans="1:6" hidden="1" x14ac:dyDescent="0.35">
      <c r="A110">
        <v>100</v>
      </c>
      <c r="B110">
        <v>41</v>
      </c>
      <c r="D110">
        <f>VLOOKUP(B110,Sheet2!$C$4:$D$31,2,FALSE)</f>
        <v>0.52</v>
      </c>
      <c r="E110">
        <v>0.75430000000000019</v>
      </c>
      <c r="F110">
        <v>0.469201356706134</v>
      </c>
    </row>
    <row r="111" spans="1:6" hidden="1" x14ac:dyDescent="0.35">
      <c r="A111">
        <v>100</v>
      </c>
      <c r="B111">
        <v>51</v>
      </c>
      <c r="D111">
        <f>VLOOKUP(B111,Sheet2!$C$4:$D$31,2,FALSE)</f>
        <v>0.65</v>
      </c>
      <c r="E111">
        <v>0.78069999999999995</v>
      </c>
      <c r="F111">
        <v>0.48100996928278356</v>
      </c>
    </row>
    <row r="112" spans="1:6" hidden="1" x14ac:dyDescent="0.35">
      <c r="A112">
        <v>100</v>
      </c>
      <c r="B112">
        <v>66</v>
      </c>
      <c r="D112">
        <f>VLOOKUP(B112,Sheet2!$C$4:$D$31,2,FALSE)</f>
        <v>0.52</v>
      </c>
      <c r="E112">
        <v>0.79760000000000031</v>
      </c>
      <c r="F112">
        <v>0.49850580545824669</v>
      </c>
    </row>
    <row r="113" spans="1:6" x14ac:dyDescent="0.35">
      <c r="A113">
        <v>100</v>
      </c>
      <c r="B113">
        <v>72</v>
      </c>
      <c r="D113">
        <f>VLOOKUP(B113,Sheet2!$C$4:$D$31,2,FALSE)</f>
        <v>0.91</v>
      </c>
      <c r="E113">
        <v>0.8137000000000002</v>
      </c>
      <c r="F113">
        <v>0.50259292802426214</v>
      </c>
    </row>
    <row r="114" spans="1:6" hidden="1" x14ac:dyDescent="0.35">
      <c r="A114">
        <v>100</v>
      </c>
      <c r="B114">
        <v>83</v>
      </c>
      <c r="D114">
        <f>VLOOKUP(B114,Sheet2!$C$4:$D$31,2,FALSE)</f>
        <v>0.65</v>
      </c>
      <c r="E114">
        <v>0.81119999999999981</v>
      </c>
      <c r="F114">
        <v>0.5185446019953327</v>
      </c>
    </row>
    <row r="115" spans="1:6" hidden="1" x14ac:dyDescent="0.35">
      <c r="A115">
        <v>100</v>
      </c>
      <c r="B115">
        <v>90</v>
      </c>
      <c r="D115">
        <f>VLOOKUP(B115,Sheet2!$C$4:$D$31,2,FALSE)</f>
        <v>0.52</v>
      </c>
      <c r="E115">
        <v>0.81759999999999988</v>
      </c>
      <c r="F115">
        <v>0.52842344983261647</v>
      </c>
    </row>
    <row r="116" spans="1:6" hidden="1" x14ac:dyDescent="0.35">
      <c r="A116">
        <v>100</v>
      </c>
      <c r="B116">
        <v>113</v>
      </c>
      <c r="D116">
        <f>VLOOKUP(B116,Sheet2!$C$4:$D$31,2,FALSE)</f>
        <v>0.65</v>
      </c>
      <c r="E116">
        <v>0.92390000000000028</v>
      </c>
      <c r="F116">
        <v>0.56331714217019135</v>
      </c>
    </row>
    <row r="117" spans="1:6" x14ac:dyDescent="0.35">
      <c r="A117">
        <v>100</v>
      </c>
      <c r="B117">
        <v>116</v>
      </c>
      <c r="D117">
        <f>VLOOKUP(B117,Sheet2!$C$4:$D$31,2,FALSE)</f>
        <v>0.91</v>
      </c>
      <c r="E117">
        <v>0.9514999999999999</v>
      </c>
      <c r="F117">
        <v>0.58226612286071966</v>
      </c>
    </row>
    <row r="118" spans="1:6" hidden="1" x14ac:dyDescent="0.35">
      <c r="A118">
        <v>100</v>
      </c>
      <c r="B118">
        <v>122</v>
      </c>
      <c r="D118">
        <f>VLOOKUP(B118,Sheet2!$C$4:$D$31,2,FALSE)</f>
        <v>0.52</v>
      </c>
      <c r="E118">
        <v>0.87909999999999999</v>
      </c>
      <c r="F118">
        <v>0.53812047826104703</v>
      </c>
    </row>
    <row r="119" spans="1:6" hidden="1" x14ac:dyDescent="0.35">
      <c r="A119">
        <v>100</v>
      </c>
      <c r="B119">
        <v>144</v>
      </c>
      <c r="D119">
        <f>VLOOKUP(B119,Sheet2!$C$4:$D$31,2,FALSE)</f>
        <v>0.52</v>
      </c>
      <c r="E119">
        <v>0.96849999999999992</v>
      </c>
      <c r="F119">
        <v>0.59485916342367728</v>
      </c>
    </row>
    <row r="120" spans="1:6" hidden="1" x14ac:dyDescent="0.35">
      <c r="A120">
        <v>100</v>
      </c>
      <c r="B120">
        <v>153</v>
      </c>
      <c r="D120">
        <f>VLOOKUP(B120,Sheet2!$C$4:$D$31,2,FALSE)</f>
        <v>0.65</v>
      </c>
      <c r="E120">
        <v>0.97189999999999943</v>
      </c>
      <c r="F120">
        <v>0.59317383094748888</v>
      </c>
    </row>
    <row r="121" spans="1:6" x14ac:dyDescent="0.35">
      <c r="A121">
        <v>100</v>
      </c>
      <c r="B121">
        <v>158</v>
      </c>
      <c r="D121">
        <f>VLOOKUP(B121,Sheet2!$C$4:$D$31,2,FALSE)</f>
        <v>0.91</v>
      </c>
      <c r="E121">
        <v>0.97579999999999956</v>
      </c>
      <c r="F121">
        <v>0.58852717257279241</v>
      </c>
    </row>
    <row r="122" spans="1:6" hidden="1" x14ac:dyDescent="0.35">
      <c r="A122">
        <v>100</v>
      </c>
      <c r="B122">
        <v>174</v>
      </c>
      <c r="D122">
        <f>VLOOKUP(B122,Sheet2!$C$4:$D$31,2,FALSE)</f>
        <v>0.52</v>
      </c>
      <c r="E122">
        <v>0.93389999999999973</v>
      </c>
      <c r="F122">
        <v>0.56979333705096702</v>
      </c>
    </row>
    <row r="123" spans="1:6" hidden="1" x14ac:dyDescent="0.35">
      <c r="A123">
        <v>100</v>
      </c>
      <c r="B123">
        <v>180</v>
      </c>
      <c r="D123">
        <f>VLOOKUP(B123,Sheet2!$C$4:$D$31,2,FALSE)</f>
        <v>0.65</v>
      </c>
      <c r="E123">
        <v>0.94370000000000009</v>
      </c>
      <c r="F123">
        <v>0.56304688149523263</v>
      </c>
    </row>
    <row r="124" spans="1:6" x14ac:dyDescent="0.35">
      <c r="A124">
        <v>100</v>
      </c>
      <c r="B124">
        <v>214</v>
      </c>
      <c r="D124">
        <f>VLOOKUP(B124,Sheet2!$C$4:$D$31,2,FALSE)</f>
        <v>0.91</v>
      </c>
      <c r="E124">
        <v>0.99079999999999968</v>
      </c>
      <c r="F124">
        <v>0.63191527264174963</v>
      </c>
    </row>
    <row r="125" spans="1:6" hidden="1" x14ac:dyDescent="0.35">
      <c r="A125">
        <v>100</v>
      </c>
      <c r="B125">
        <v>218</v>
      </c>
      <c r="D125">
        <f>VLOOKUP(B125,Sheet2!$C$4:$D$31,2,FALSE)</f>
        <v>0.65</v>
      </c>
      <c r="E125">
        <v>0.98729999999999984</v>
      </c>
      <c r="F125">
        <v>0.6310598615088856</v>
      </c>
    </row>
    <row r="126" spans="1:6" x14ac:dyDescent="0.35">
      <c r="A126">
        <v>100</v>
      </c>
      <c r="B126">
        <v>251</v>
      </c>
      <c r="D126">
        <f>VLOOKUP(B126,Sheet2!$C$4:$D$31,2,FALSE)</f>
        <v>0.91</v>
      </c>
      <c r="E126">
        <v>0.99430000000000007</v>
      </c>
      <c r="F126">
        <v>0.62460526293192653</v>
      </c>
    </row>
    <row r="127" spans="1:6" x14ac:dyDescent="0.35">
      <c r="A127">
        <v>100</v>
      </c>
      <c r="B127">
        <v>305</v>
      </c>
      <c r="D127">
        <f>VLOOKUP(B127,Sheet2!$C$4:$D$31,2,FALSE)</f>
        <v>0.91</v>
      </c>
      <c r="E127">
        <v>0.99399999999999977</v>
      </c>
      <c r="F127">
        <v>0.6437177307137083</v>
      </c>
    </row>
    <row r="128" spans="1:6" hidden="1" x14ac:dyDescent="0.35">
      <c r="A128">
        <v>106</v>
      </c>
      <c r="B128">
        <v>22</v>
      </c>
      <c r="D128">
        <f>VLOOKUP(B128,Sheet2!$C$4:$D$31,2,FALSE)</f>
        <v>0.52</v>
      </c>
      <c r="E128">
        <v>0.73509433962264159</v>
      </c>
      <c r="F128">
        <v>0.39912538800487246</v>
      </c>
    </row>
    <row r="129" spans="1:6" hidden="1" x14ac:dyDescent="0.35">
      <c r="A129">
        <v>106</v>
      </c>
      <c r="B129">
        <v>27</v>
      </c>
      <c r="D129">
        <f>VLOOKUP(B129,Sheet2!$C$4:$D$31,2,FALSE)</f>
        <v>0.65</v>
      </c>
      <c r="E129">
        <v>0.74716981132075455</v>
      </c>
      <c r="F129">
        <v>0.42610506895525602</v>
      </c>
    </row>
    <row r="130" spans="1:6" x14ac:dyDescent="0.35">
      <c r="A130">
        <v>106</v>
      </c>
      <c r="B130">
        <v>38</v>
      </c>
      <c r="D130">
        <f>VLOOKUP(B130,Sheet2!$C$4:$D$31,2,FALSE)</f>
        <v>0.91</v>
      </c>
      <c r="E130">
        <v>0.77915094339622681</v>
      </c>
      <c r="F130">
        <v>0.4498295820978187</v>
      </c>
    </row>
    <row r="131" spans="1:6" hidden="1" x14ac:dyDescent="0.35">
      <c r="A131">
        <v>106</v>
      </c>
      <c r="B131">
        <v>41</v>
      </c>
      <c r="D131">
        <f>VLOOKUP(B131,Sheet2!$C$4:$D$31,2,FALSE)</f>
        <v>0.52</v>
      </c>
      <c r="E131">
        <v>0.78622641509433966</v>
      </c>
      <c r="F131">
        <v>0.43780016212402278</v>
      </c>
    </row>
    <row r="132" spans="1:6" hidden="1" x14ac:dyDescent="0.35">
      <c r="A132">
        <v>106</v>
      </c>
      <c r="B132">
        <v>51</v>
      </c>
      <c r="D132">
        <f>VLOOKUP(B132,Sheet2!$C$4:$D$31,2,FALSE)</f>
        <v>0.65</v>
      </c>
      <c r="E132">
        <v>0.76471698113207542</v>
      </c>
      <c r="F132">
        <v>0.49555008228953257</v>
      </c>
    </row>
    <row r="133" spans="1:6" hidden="1" x14ac:dyDescent="0.35">
      <c r="A133">
        <v>106</v>
      </c>
      <c r="B133">
        <v>66</v>
      </c>
      <c r="D133">
        <f>VLOOKUP(B133,Sheet2!$C$4:$D$31,2,FALSE)</f>
        <v>0.52</v>
      </c>
      <c r="E133">
        <v>0.76330188679245281</v>
      </c>
      <c r="F133">
        <v>0.55305434962144295</v>
      </c>
    </row>
    <row r="134" spans="1:6" x14ac:dyDescent="0.35">
      <c r="A134">
        <v>106</v>
      </c>
      <c r="B134">
        <v>72</v>
      </c>
      <c r="D134">
        <f>VLOOKUP(B134,Sheet2!$C$4:$D$31,2,FALSE)</f>
        <v>0.91</v>
      </c>
      <c r="E134">
        <v>0.83396226415094366</v>
      </c>
      <c r="F134">
        <v>0.54383445486383908</v>
      </c>
    </row>
    <row r="135" spans="1:6" hidden="1" x14ac:dyDescent="0.35">
      <c r="A135">
        <v>106</v>
      </c>
      <c r="B135">
        <v>83</v>
      </c>
      <c r="D135">
        <f>VLOOKUP(B135,Sheet2!$C$4:$D$31,2,FALSE)</f>
        <v>0.65</v>
      </c>
      <c r="E135">
        <v>0.77971698113207566</v>
      </c>
      <c r="F135">
        <v>0.56984074406827656</v>
      </c>
    </row>
    <row r="136" spans="1:6" hidden="1" x14ac:dyDescent="0.35">
      <c r="A136">
        <v>106</v>
      </c>
      <c r="B136">
        <v>90</v>
      </c>
      <c r="D136">
        <f>VLOOKUP(B136,Sheet2!$C$4:$D$31,2,FALSE)</f>
        <v>0.52</v>
      </c>
      <c r="E136">
        <v>0.8161320754716983</v>
      </c>
      <c r="F136">
        <v>0.55145704520049887</v>
      </c>
    </row>
    <row r="137" spans="1:6" hidden="1" x14ac:dyDescent="0.35">
      <c r="A137">
        <v>106</v>
      </c>
      <c r="B137">
        <v>113</v>
      </c>
      <c r="D137">
        <f>VLOOKUP(B137,Sheet2!$C$4:$D$31,2,FALSE)</f>
        <v>0.65</v>
      </c>
      <c r="E137">
        <v>0.85254716981132073</v>
      </c>
      <c r="F137">
        <v>0.60449028618122225</v>
      </c>
    </row>
    <row r="138" spans="1:6" x14ac:dyDescent="0.35">
      <c r="A138">
        <v>106</v>
      </c>
      <c r="B138">
        <v>116</v>
      </c>
      <c r="D138">
        <f>VLOOKUP(B138,Sheet2!$C$4:$D$31,2,FALSE)</f>
        <v>0.91</v>
      </c>
      <c r="E138">
        <v>0.84886792452830173</v>
      </c>
      <c r="F138">
        <v>0.59208680754897969</v>
      </c>
    </row>
    <row r="139" spans="1:6" hidden="1" x14ac:dyDescent="0.35">
      <c r="A139">
        <v>106</v>
      </c>
      <c r="B139">
        <v>122</v>
      </c>
      <c r="D139">
        <f>VLOOKUP(B139,Sheet2!$C$4:$D$31,2,FALSE)</f>
        <v>0.52</v>
      </c>
      <c r="E139">
        <v>0.87594339622641504</v>
      </c>
      <c r="F139">
        <v>0.61850498036574386</v>
      </c>
    </row>
    <row r="140" spans="1:6" hidden="1" x14ac:dyDescent="0.35">
      <c r="A140">
        <v>106</v>
      </c>
      <c r="B140">
        <v>144</v>
      </c>
      <c r="D140">
        <f>VLOOKUP(B140,Sheet2!$C$4:$D$31,2,FALSE)</f>
        <v>0.52</v>
      </c>
      <c r="E140">
        <v>0.86990566037735828</v>
      </c>
      <c r="F140">
        <v>0.61006962448585</v>
      </c>
    </row>
    <row r="141" spans="1:6" hidden="1" x14ac:dyDescent="0.35">
      <c r="A141">
        <v>106</v>
      </c>
      <c r="B141">
        <v>153</v>
      </c>
      <c r="D141">
        <f>VLOOKUP(B141,Sheet2!$C$4:$D$31,2,FALSE)</f>
        <v>0.65</v>
      </c>
      <c r="E141">
        <v>0.87820754716981131</v>
      </c>
      <c r="F141">
        <v>0.61284896778054576</v>
      </c>
    </row>
    <row r="142" spans="1:6" x14ac:dyDescent="0.35">
      <c r="A142">
        <v>106</v>
      </c>
      <c r="B142">
        <v>158</v>
      </c>
      <c r="D142">
        <f>VLOOKUP(B142,Sheet2!$C$4:$D$31,2,FALSE)</f>
        <v>0.91</v>
      </c>
      <c r="E142">
        <v>0.82509433962264211</v>
      </c>
      <c r="F142">
        <v>0.61077579245080205</v>
      </c>
    </row>
    <row r="143" spans="1:6" hidden="1" x14ac:dyDescent="0.35">
      <c r="A143">
        <v>106</v>
      </c>
      <c r="B143">
        <v>174</v>
      </c>
      <c r="D143">
        <f>VLOOKUP(B143,Sheet2!$C$4:$D$31,2,FALSE)</f>
        <v>0.52</v>
      </c>
      <c r="E143">
        <v>0.88839622641509397</v>
      </c>
      <c r="F143">
        <v>0.60728107019549826</v>
      </c>
    </row>
    <row r="144" spans="1:6" hidden="1" x14ac:dyDescent="0.35">
      <c r="A144">
        <v>106</v>
      </c>
      <c r="B144">
        <v>180</v>
      </c>
      <c r="D144">
        <f>VLOOKUP(B144,Sheet2!$C$4:$D$31,2,FALSE)</f>
        <v>0.65</v>
      </c>
      <c r="E144">
        <v>0.89981132075471693</v>
      </c>
      <c r="F144">
        <v>0.62710140585457541</v>
      </c>
    </row>
    <row r="145" spans="1:6" x14ac:dyDescent="0.35">
      <c r="A145">
        <v>106</v>
      </c>
      <c r="B145">
        <v>214</v>
      </c>
      <c r="D145">
        <f>VLOOKUP(B145,Sheet2!$C$4:$D$31,2,FALSE)</f>
        <v>0.91</v>
      </c>
      <c r="E145">
        <v>0.97330188679245255</v>
      </c>
      <c r="F145">
        <v>0.63743126963194019</v>
      </c>
    </row>
    <row r="146" spans="1:6" hidden="1" x14ac:dyDescent="0.35">
      <c r="A146">
        <v>106</v>
      </c>
      <c r="B146">
        <v>218</v>
      </c>
      <c r="D146">
        <f>VLOOKUP(B146,Sheet2!$C$4:$D$31,2,FALSE)</f>
        <v>0.65</v>
      </c>
      <c r="E146">
        <v>0.96188679245283015</v>
      </c>
      <c r="F146">
        <v>0.62812491671488546</v>
      </c>
    </row>
    <row r="147" spans="1:6" x14ac:dyDescent="0.35">
      <c r="A147">
        <v>106</v>
      </c>
      <c r="B147">
        <v>251</v>
      </c>
      <c r="D147">
        <f>VLOOKUP(B147,Sheet2!$C$4:$D$31,2,FALSE)</f>
        <v>0.91</v>
      </c>
      <c r="E147">
        <v>0.98160377358490503</v>
      </c>
      <c r="F147">
        <v>0.64403721199102337</v>
      </c>
    </row>
    <row r="148" spans="1:6" x14ac:dyDescent="0.35">
      <c r="A148">
        <v>106</v>
      </c>
      <c r="B148">
        <v>305</v>
      </c>
      <c r="D148">
        <f>VLOOKUP(B148,Sheet2!$C$4:$D$31,2,FALSE)</f>
        <v>0.91</v>
      </c>
      <c r="E148">
        <v>0.95264150943396186</v>
      </c>
      <c r="F148">
        <v>0.62693224414483284</v>
      </c>
    </row>
    <row r="149" spans="1:6" hidden="1" x14ac:dyDescent="0.35">
      <c r="A149">
        <v>117</v>
      </c>
      <c r="B149">
        <v>22</v>
      </c>
      <c r="D149">
        <f>VLOOKUP(B149,Sheet2!$C$4:$D$31,2,FALSE)</f>
        <v>0.52</v>
      </c>
      <c r="E149">
        <v>0.76128205128205095</v>
      </c>
      <c r="F149">
        <v>0.4597381868422129</v>
      </c>
    </row>
    <row r="150" spans="1:6" hidden="1" x14ac:dyDescent="0.35">
      <c r="A150">
        <v>117</v>
      </c>
      <c r="B150">
        <v>27</v>
      </c>
      <c r="D150">
        <f>VLOOKUP(B150,Sheet2!$C$4:$D$31,2,FALSE)</f>
        <v>0.65</v>
      </c>
      <c r="E150">
        <v>0.78145299145299119</v>
      </c>
      <c r="F150">
        <v>0.4716908412863639</v>
      </c>
    </row>
    <row r="151" spans="1:6" x14ac:dyDescent="0.35">
      <c r="A151">
        <v>117</v>
      </c>
      <c r="B151">
        <v>38</v>
      </c>
      <c r="D151">
        <f>VLOOKUP(B151,Sheet2!$C$4:$D$31,2,FALSE)</f>
        <v>0.91</v>
      </c>
      <c r="E151">
        <v>0.81632478632478578</v>
      </c>
      <c r="F151">
        <v>0.49055184773778826</v>
      </c>
    </row>
    <row r="152" spans="1:6" hidden="1" x14ac:dyDescent="0.35">
      <c r="A152">
        <v>117</v>
      </c>
      <c r="B152">
        <v>41</v>
      </c>
      <c r="D152">
        <f>VLOOKUP(B152,Sheet2!$C$4:$D$31,2,FALSE)</f>
        <v>0.52</v>
      </c>
      <c r="E152">
        <v>0.79829059829059767</v>
      </c>
      <c r="F152">
        <v>0.49477188550763079</v>
      </c>
    </row>
    <row r="153" spans="1:6" hidden="1" x14ac:dyDescent="0.35">
      <c r="A153">
        <v>117</v>
      </c>
      <c r="B153">
        <v>51</v>
      </c>
      <c r="D153">
        <f>VLOOKUP(B153,Sheet2!$C$4:$D$31,2,FALSE)</f>
        <v>0.65</v>
      </c>
      <c r="E153">
        <v>0.83427350427350377</v>
      </c>
      <c r="F153">
        <v>0.51496149129275748</v>
      </c>
    </row>
    <row r="154" spans="1:6" hidden="1" x14ac:dyDescent="0.35">
      <c r="A154">
        <v>117</v>
      </c>
      <c r="B154">
        <v>66</v>
      </c>
      <c r="D154">
        <f>VLOOKUP(B154,Sheet2!$C$4:$D$31,2,FALSE)</f>
        <v>0.52</v>
      </c>
      <c r="E154">
        <v>0.8456410256410245</v>
      </c>
      <c r="F154">
        <v>0.55489261059641815</v>
      </c>
    </row>
    <row r="155" spans="1:6" x14ac:dyDescent="0.35">
      <c r="A155">
        <v>117</v>
      </c>
      <c r="B155">
        <v>72</v>
      </c>
      <c r="D155">
        <f>VLOOKUP(B155,Sheet2!$C$4:$D$31,2,FALSE)</f>
        <v>0.91</v>
      </c>
      <c r="E155">
        <v>0.88700854700854659</v>
      </c>
      <c r="F155">
        <v>0.5609691747376403</v>
      </c>
    </row>
    <row r="156" spans="1:6" hidden="1" x14ac:dyDescent="0.35">
      <c r="A156">
        <v>117</v>
      </c>
      <c r="B156">
        <v>83</v>
      </c>
      <c r="D156">
        <f>VLOOKUP(B156,Sheet2!$C$4:$D$31,2,FALSE)</f>
        <v>0.65</v>
      </c>
      <c r="E156">
        <v>0.85102564102564049</v>
      </c>
      <c r="F156">
        <v>0.55023672310435467</v>
      </c>
    </row>
    <row r="157" spans="1:6" hidden="1" x14ac:dyDescent="0.35">
      <c r="A157">
        <v>117</v>
      </c>
      <c r="B157">
        <v>90</v>
      </c>
      <c r="D157">
        <f>VLOOKUP(B157,Sheet2!$C$4:$D$31,2,FALSE)</f>
        <v>0.52</v>
      </c>
      <c r="E157">
        <v>0.87863247863247773</v>
      </c>
      <c r="F157">
        <v>0.57371880872704106</v>
      </c>
    </row>
    <row r="158" spans="1:6" hidden="1" x14ac:dyDescent="0.35">
      <c r="A158">
        <v>117</v>
      </c>
      <c r="B158">
        <v>113</v>
      </c>
      <c r="D158">
        <f>VLOOKUP(B158,Sheet2!$C$4:$D$31,2,FALSE)</f>
        <v>0.65</v>
      </c>
      <c r="E158">
        <v>0.90837606837606744</v>
      </c>
      <c r="F158">
        <v>0.58208528423083106</v>
      </c>
    </row>
    <row r="159" spans="1:6" x14ac:dyDescent="0.35">
      <c r="A159">
        <v>117</v>
      </c>
      <c r="B159">
        <v>116</v>
      </c>
      <c r="D159">
        <f>VLOOKUP(B159,Sheet2!$C$4:$D$31,2,FALSE)</f>
        <v>0.91</v>
      </c>
      <c r="E159">
        <v>0.92854700854700778</v>
      </c>
      <c r="F159">
        <v>0.60002102582438821</v>
      </c>
    </row>
    <row r="160" spans="1:6" hidden="1" x14ac:dyDescent="0.35">
      <c r="A160">
        <v>117</v>
      </c>
      <c r="B160">
        <v>122</v>
      </c>
      <c r="D160">
        <f>VLOOKUP(B160,Sheet2!$C$4:$D$31,2,FALSE)</f>
        <v>0.52</v>
      </c>
      <c r="E160">
        <v>0.92923076923076819</v>
      </c>
      <c r="F160">
        <v>0.57331607708582222</v>
      </c>
    </row>
    <row r="161" spans="1:6" hidden="1" x14ac:dyDescent="0.35">
      <c r="A161">
        <v>117</v>
      </c>
      <c r="B161">
        <v>144</v>
      </c>
      <c r="D161">
        <f>VLOOKUP(B161,Sheet2!$C$4:$D$31,2,FALSE)</f>
        <v>0.52</v>
      </c>
      <c r="E161">
        <v>0.9322222222222214</v>
      </c>
      <c r="F161">
        <v>0.63755420390039685</v>
      </c>
    </row>
    <row r="162" spans="1:6" hidden="1" x14ac:dyDescent="0.35">
      <c r="A162">
        <v>117</v>
      </c>
      <c r="B162">
        <v>153</v>
      </c>
      <c r="D162">
        <f>VLOOKUP(B162,Sheet2!$C$4:$D$31,2,FALSE)</f>
        <v>0.65</v>
      </c>
      <c r="E162">
        <v>0.92598290598290522</v>
      </c>
      <c r="F162">
        <v>0.58398136803214173</v>
      </c>
    </row>
    <row r="163" spans="1:6" x14ac:dyDescent="0.35">
      <c r="A163">
        <v>117</v>
      </c>
      <c r="B163">
        <v>158</v>
      </c>
      <c r="D163">
        <f>VLOOKUP(B163,Sheet2!$C$4:$D$31,2,FALSE)</f>
        <v>0.91</v>
      </c>
      <c r="E163">
        <v>0.94735042735042641</v>
      </c>
      <c r="F163">
        <v>0.62738449444872502</v>
      </c>
    </row>
    <row r="164" spans="1:6" hidden="1" x14ac:dyDescent="0.35">
      <c r="A164">
        <v>117</v>
      </c>
      <c r="B164">
        <v>174</v>
      </c>
      <c r="D164">
        <f>VLOOKUP(B164,Sheet2!$C$4:$D$31,2,FALSE)</f>
        <v>0.52</v>
      </c>
      <c r="E164">
        <v>0.9604273504273495</v>
      </c>
      <c r="F164">
        <v>0.61956210272507184</v>
      </c>
    </row>
    <row r="165" spans="1:6" hidden="1" x14ac:dyDescent="0.35">
      <c r="A165">
        <v>117</v>
      </c>
      <c r="B165">
        <v>180</v>
      </c>
      <c r="D165">
        <f>VLOOKUP(B165,Sheet2!$C$4:$D$31,2,FALSE)</f>
        <v>0.65</v>
      </c>
      <c r="E165">
        <v>0.96931623931623845</v>
      </c>
      <c r="F165">
        <v>0.63622784884086292</v>
      </c>
    </row>
    <row r="166" spans="1:6" x14ac:dyDescent="0.35">
      <c r="A166">
        <v>117</v>
      </c>
      <c r="B166">
        <v>214</v>
      </c>
      <c r="D166">
        <f>VLOOKUP(B166,Sheet2!$C$4:$D$31,2,FALSE)</f>
        <v>0.91</v>
      </c>
      <c r="E166">
        <v>0.97743589743589676</v>
      </c>
      <c r="F166">
        <v>0.65774439173581745</v>
      </c>
    </row>
    <row r="167" spans="1:6" hidden="1" x14ac:dyDescent="0.35">
      <c r="A167">
        <v>117</v>
      </c>
      <c r="B167">
        <v>218</v>
      </c>
      <c r="D167">
        <f>VLOOKUP(B167,Sheet2!$C$4:$D$31,2,FALSE)</f>
        <v>0.65</v>
      </c>
      <c r="E167">
        <v>0.9747863247863241</v>
      </c>
      <c r="F167">
        <v>0.65893472918903095</v>
      </c>
    </row>
    <row r="168" spans="1:6" x14ac:dyDescent="0.35">
      <c r="A168">
        <v>117</v>
      </c>
      <c r="B168">
        <v>251</v>
      </c>
      <c r="D168">
        <f>VLOOKUP(B168,Sheet2!$C$4:$D$31,2,FALSE)</f>
        <v>0.91</v>
      </c>
      <c r="E168">
        <v>0.99042735042735008</v>
      </c>
      <c r="F168">
        <v>0.66100067776281723</v>
      </c>
    </row>
    <row r="169" spans="1:6" x14ac:dyDescent="0.35">
      <c r="A169">
        <v>117</v>
      </c>
      <c r="B169">
        <v>305</v>
      </c>
      <c r="D169">
        <f>VLOOKUP(B169,Sheet2!$C$4:$D$31,2,FALSE)</f>
        <v>0.91</v>
      </c>
      <c r="E169">
        <v>0.99512820512820488</v>
      </c>
      <c r="F169">
        <v>0.69727667737760579</v>
      </c>
    </row>
    <row r="170" spans="1:6" hidden="1" x14ac:dyDescent="0.35">
      <c r="A170">
        <v>125</v>
      </c>
      <c r="B170">
        <v>22</v>
      </c>
      <c r="D170">
        <f>VLOOKUP(B170,Sheet2!$C$4:$D$31,2,FALSE)</f>
        <v>0.52</v>
      </c>
      <c r="E170">
        <v>0.66736000000000006</v>
      </c>
      <c r="F170">
        <v>0.40925717716837562</v>
      </c>
    </row>
    <row r="171" spans="1:6" hidden="1" x14ac:dyDescent="0.35">
      <c r="A171">
        <v>125</v>
      </c>
      <c r="B171">
        <v>27</v>
      </c>
      <c r="D171">
        <f>VLOOKUP(B171,Sheet2!$C$4:$D$31,2,FALSE)</f>
        <v>0.65</v>
      </c>
      <c r="E171">
        <v>0.64191999999999994</v>
      </c>
      <c r="F171">
        <v>0.45231588380624949</v>
      </c>
    </row>
    <row r="172" spans="1:6" x14ac:dyDescent="0.35">
      <c r="A172">
        <v>125</v>
      </c>
      <c r="B172">
        <v>38</v>
      </c>
      <c r="D172">
        <f>VLOOKUP(B172,Sheet2!$C$4:$D$31,2,FALSE)</f>
        <v>0.91</v>
      </c>
      <c r="E172">
        <v>0.69600000000000006</v>
      </c>
      <c r="F172">
        <v>0.50575437597736805</v>
      </c>
    </row>
    <row r="173" spans="1:6" hidden="1" x14ac:dyDescent="0.35">
      <c r="A173">
        <v>125</v>
      </c>
      <c r="B173">
        <v>41</v>
      </c>
      <c r="D173">
        <f>VLOOKUP(B173,Sheet2!$C$4:$D$31,2,FALSE)</f>
        <v>0.52</v>
      </c>
      <c r="E173">
        <v>0.68687999999999994</v>
      </c>
      <c r="F173">
        <v>0.5041980137666402</v>
      </c>
    </row>
    <row r="174" spans="1:6" hidden="1" x14ac:dyDescent="0.35">
      <c r="A174">
        <v>125</v>
      </c>
      <c r="B174">
        <v>51</v>
      </c>
      <c r="D174">
        <f>VLOOKUP(B174,Sheet2!$C$4:$D$31,2,FALSE)</f>
        <v>0.65</v>
      </c>
      <c r="E174">
        <v>0.71408000000000016</v>
      </c>
      <c r="F174">
        <v>0.52249475258071287</v>
      </c>
    </row>
    <row r="175" spans="1:6" hidden="1" x14ac:dyDescent="0.35">
      <c r="A175">
        <v>125</v>
      </c>
      <c r="B175">
        <v>66</v>
      </c>
      <c r="D175">
        <f>VLOOKUP(B175,Sheet2!$C$4:$D$31,2,FALSE)</f>
        <v>0.52</v>
      </c>
      <c r="E175">
        <v>0.70928000000000013</v>
      </c>
      <c r="F175">
        <v>0.53797190554361418</v>
      </c>
    </row>
    <row r="176" spans="1:6" x14ac:dyDescent="0.35">
      <c r="A176">
        <v>125</v>
      </c>
      <c r="B176">
        <v>72</v>
      </c>
      <c r="D176">
        <f>VLOOKUP(B176,Sheet2!$C$4:$D$31,2,FALSE)</f>
        <v>0.91</v>
      </c>
      <c r="E176">
        <v>0.69543999999999995</v>
      </c>
      <c r="F176">
        <v>0.56521679341765307</v>
      </c>
    </row>
    <row r="177" spans="1:6" hidden="1" x14ac:dyDescent="0.35">
      <c r="A177">
        <v>125</v>
      </c>
      <c r="B177">
        <v>83</v>
      </c>
      <c r="D177">
        <f>VLOOKUP(B177,Sheet2!$C$4:$D$31,2,FALSE)</f>
        <v>0.65</v>
      </c>
      <c r="E177">
        <v>0.74280000000000035</v>
      </c>
      <c r="F177">
        <v>0.57650201382760791</v>
      </c>
    </row>
    <row r="178" spans="1:6" hidden="1" x14ac:dyDescent="0.35">
      <c r="A178">
        <v>125</v>
      </c>
      <c r="B178">
        <v>90</v>
      </c>
      <c r="D178">
        <f>VLOOKUP(B178,Sheet2!$C$4:$D$31,2,FALSE)</f>
        <v>0.52</v>
      </c>
      <c r="E178">
        <v>0.72904000000000013</v>
      </c>
      <c r="F178">
        <v>0.57964780254685488</v>
      </c>
    </row>
    <row r="179" spans="1:6" hidden="1" x14ac:dyDescent="0.35">
      <c r="A179">
        <v>125</v>
      </c>
      <c r="B179">
        <v>113</v>
      </c>
      <c r="D179">
        <f>VLOOKUP(B179,Sheet2!$C$4:$D$31,2,FALSE)</f>
        <v>0.65</v>
      </c>
      <c r="E179">
        <v>0.79752000000000023</v>
      </c>
      <c r="F179">
        <v>0.62187731067349195</v>
      </c>
    </row>
    <row r="180" spans="1:6" x14ac:dyDescent="0.35">
      <c r="A180">
        <v>125</v>
      </c>
      <c r="B180">
        <v>116</v>
      </c>
      <c r="D180">
        <f>VLOOKUP(B180,Sheet2!$C$4:$D$31,2,FALSE)</f>
        <v>0.91</v>
      </c>
      <c r="E180">
        <v>0.77655999999999992</v>
      </c>
      <c r="F180">
        <v>0.61631382997672779</v>
      </c>
    </row>
    <row r="181" spans="1:6" hidden="1" x14ac:dyDescent="0.35">
      <c r="A181">
        <v>125</v>
      </c>
      <c r="B181">
        <v>122</v>
      </c>
      <c r="D181">
        <f>VLOOKUP(B181,Sheet2!$C$4:$D$31,2,FALSE)</f>
        <v>0.52</v>
      </c>
      <c r="E181">
        <v>0.75936000000000037</v>
      </c>
      <c r="F181">
        <v>0.59898387739067782</v>
      </c>
    </row>
    <row r="182" spans="1:6" hidden="1" x14ac:dyDescent="0.35">
      <c r="A182">
        <v>125</v>
      </c>
      <c r="B182">
        <v>144</v>
      </c>
      <c r="D182">
        <f>VLOOKUP(B182,Sheet2!$C$4:$D$31,2,FALSE)</f>
        <v>0.52</v>
      </c>
      <c r="E182">
        <v>0.83584000000000003</v>
      </c>
      <c r="F182">
        <v>0.63548442073941047</v>
      </c>
    </row>
    <row r="183" spans="1:6" hidden="1" x14ac:dyDescent="0.35">
      <c r="A183">
        <v>125</v>
      </c>
      <c r="B183">
        <v>153</v>
      </c>
      <c r="D183">
        <f>VLOOKUP(B183,Sheet2!$C$4:$D$31,2,FALSE)</f>
        <v>0.65</v>
      </c>
      <c r="E183">
        <v>0.85744000000000042</v>
      </c>
      <c r="F183">
        <v>0.63300984642768177</v>
      </c>
    </row>
    <row r="184" spans="1:6" x14ac:dyDescent="0.35">
      <c r="A184">
        <v>125</v>
      </c>
      <c r="B184">
        <v>158</v>
      </c>
      <c r="D184">
        <f>VLOOKUP(B184,Sheet2!$C$4:$D$31,2,FALSE)</f>
        <v>0.91</v>
      </c>
      <c r="E184">
        <v>0.80248000000000019</v>
      </c>
      <c r="F184">
        <v>0.62053319899559223</v>
      </c>
    </row>
    <row r="185" spans="1:6" hidden="1" x14ac:dyDescent="0.35">
      <c r="A185">
        <v>125</v>
      </c>
      <c r="B185">
        <v>174</v>
      </c>
      <c r="D185">
        <f>VLOOKUP(B185,Sheet2!$C$4:$D$31,2,FALSE)</f>
        <v>0.52</v>
      </c>
      <c r="E185">
        <v>0.89712000000000014</v>
      </c>
      <c r="F185">
        <v>0.66518355029122322</v>
      </c>
    </row>
    <row r="186" spans="1:6" hidden="1" x14ac:dyDescent="0.35">
      <c r="A186">
        <v>125</v>
      </c>
      <c r="B186">
        <v>180</v>
      </c>
      <c r="D186">
        <f>VLOOKUP(B186,Sheet2!$C$4:$D$31,2,FALSE)</f>
        <v>0.65</v>
      </c>
      <c r="E186">
        <v>0.87520000000000053</v>
      </c>
      <c r="F186">
        <v>0.65423734451745919</v>
      </c>
    </row>
    <row r="187" spans="1:6" x14ac:dyDescent="0.35">
      <c r="A187">
        <v>125</v>
      </c>
      <c r="B187">
        <v>214</v>
      </c>
      <c r="D187">
        <f>VLOOKUP(B187,Sheet2!$C$4:$D$31,2,FALSE)</f>
        <v>0.91</v>
      </c>
      <c r="E187">
        <v>0.90656000000000081</v>
      </c>
      <c r="F187">
        <v>0.68005865238478469</v>
      </c>
    </row>
    <row r="188" spans="1:6" hidden="1" x14ac:dyDescent="0.35">
      <c r="A188">
        <v>125</v>
      </c>
      <c r="B188">
        <v>218</v>
      </c>
      <c r="D188">
        <f>VLOOKUP(B188,Sheet2!$C$4:$D$31,2,FALSE)</f>
        <v>0.65</v>
      </c>
      <c r="E188">
        <v>0.9090400000000004</v>
      </c>
      <c r="F188">
        <v>0.66582217108027453</v>
      </c>
    </row>
    <row r="189" spans="1:6" x14ac:dyDescent="0.35">
      <c r="A189">
        <v>125</v>
      </c>
      <c r="B189">
        <v>251</v>
      </c>
      <c r="D189">
        <f>VLOOKUP(B189,Sheet2!$C$4:$D$31,2,FALSE)</f>
        <v>0.91</v>
      </c>
      <c r="E189">
        <v>0.84896000000000027</v>
      </c>
      <c r="F189">
        <v>0.64248945108444877</v>
      </c>
    </row>
    <row r="190" spans="1:6" x14ac:dyDescent="0.35">
      <c r="A190">
        <v>125</v>
      </c>
      <c r="B190">
        <v>305</v>
      </c>
      <c r="D190">
        <f>VLOOKUP(B190,Sheet2!$C$4:$D$31,2,FALSE)</f>
        <v>0.91</v>
      </c>
      <c r="E190">
        <v>0.91384000000000087</v>
      </c>
      <c r="F190">
        <v>0.68335405060404908</v>
      </c>
    </row>
    <row r="191" spans="1:6" hidden="1" x14ac:dyDescent="0.35">
      <c r="A191">
        <v>133</v>
      </c>
      <c r="B191">
        <v>22</v>
      </c>
      <c r="D191">
        <f>VLOOKUP(B191,Sheet2!$C$4:$D$31,2,FALSE)</f>
        <v>0.52</v>
      </c>
      <c r="E191">
        <v>0.65586466165413526</v>
      </c>
      <c r="F191">
        <v>0.44492502796936828</v>
      </c>
    </row>
    <row r="192" spans="1:6" hidden="1" x14ac:dyDescent="0.35">
      <c r="A192">
        <v>133</v>
      </c>
      <c r="B192">
        <v>27</v>
      </c>
      <c r="D192">
        <f>VLOOKUP(B192,Sheet2!$C$4:$D$31,2,FALSE)</f>
        <v>0.65</v>
      </c>
      <c r="E192">
        <v>0.66714285714285704</v>
      </c>
      <c r="F192">
        <v>0.46301026521291055</v>
      </c>
    </row>
    <row r="193" spans="1:6" x14ac:dyDescent="0.35">
      <c r="A193">
        <v>133</v>
      </c>
      <c r="B193">
        <v>38</v>
      </c>
      <c r="D193">
        <f>VLOOKUP(B193,Sheet2!$C$4:$D$31,2,FALSE)</f>
        <v>0.91</v>
      </c>
      <c r="E193">
        <v>0.6778195488721801</v>
      </c>
      <c r="F193">
        <v>0.49897890632471764</v>
      </c>
    </row>
    <row r="194" spans="1:6" hidden="1" x14ac:dyDescent="0.35">
      <c r="A194">
        <v>133</v>
      </c>
      <c r="B194">
        <v>41</v>
      </c>
      <c r="D194">
        <f>VLOOKUP(B194,Sheet2!$C$4:$D$31,2,FALSE)</f>
        <v>0.52</v>
      </c>
      <c r="E194">
        <v>0.66924812030075187</v>
      </c>
      <c r="F194">
        <v>0.52349323227245659</v>
      </c>
    </row>
    <row r="195" spans="1:6" hidden="1" x14ac:dyDescent="0.35">
      <c r="A195">
        <v>133</v>
      </c>
      <c r="B195">
        <v>51</v>
      </c>
      <c r="D195">
        <f>VLOOKUP(B195,Sheet2!$C$4:$D$31,2,FALSE)</f>
        <v>0.65</v>
      </c>
      <c r="E195">
        <v>0.7159398496240601</v>
      </c>
      <c r="F195">
        <v>0.54993337353155403</v>
      </c>
    </row>
    <row r="196" spans="1:6" hidden="1" x14ac:dyDescent="0.35">
      <c r="A196">
        <v>133</v>
      </c>
      <c r="B196">
        <v>66</v>
      </c>
      <c r="D196">
        <f>VLOOKUP(B196,Sheet2!$C$4:$D$31,2,FALSE)</f>
        <v>0.52</v>
      </c>
      <c r="E196">
        <v>0.72097744360902227</v>
      </c>
      <c r="F196">
        <v>0.54376590712397632</v>
      </c>
    </row>
    <row r="197" spans="1:6" x14ac:dyDescent="0.35">
      <c r="A197">
        <v>133</v>
      </c>
      <c r="B197">
        <v>72</v>
      </c>
      <c r="D197">
        <f>VLOOKUP(B197,Sheet2!$C$4:$D$31,2,FALSE)</f>
        <v>0.91</v>
      </c>
      <c r="E197">
        <v>0.78127819548872157</v>
      </c>
      <c r="F197">
        <v>0.58180651368245428</v>
      </c>
    </row>
    <row r="198" spans="1:6" hidden="1" x14ac:dyDescent="0.35">
      <c r="A198">
        <v>133</v>
      </c>
      <c r="B198">
        <v>83</v>
      </c>
      <c r="D198">
        <f>VLOOKUP(B198,Sheet2!$C$4:$D$31,2,FALSE)</f>
        <v>0.65</v>
      </c>
      <c r="E198">
        <v>0.76947368421052631</v>
      </c>
      <c r="F198">
        <v>0.59680968150951619</v>
      </c>
    </row>
    <row r="199" spans="1:6" hidden="1" x14ac:dyDescent="0.35">
      <c r="A199">
        <v>133</v>
      </c>
      <c r="B199">
        <v>90</v>
      </c>
      <c r="D199">
        <f>VLOOKUP(B199,Sheet2!$C$4:$D$31,2,FALSE)</f>
        <v>0.52</v>
      </c>
      <c r="E199">
        <v>0.76736842105263137</v>
      </c>
      <c r="F199">
        <v>0.59199565842473911</v>
      </c>
    </row>
    <row r="200" spans="1:6" hidden="1" x14ac:dyDescent="0.35">
      <c r="A200">
        <v>133</v>
      </c>
      <c r="B200">
        <v>113</v>
      </c>
      <c r="D200">
        <f>VLOOKUP(B200,Sheet2!$C$4:$D$31,2,FALSE)</f>
        <v>0.65</v>
      </c>
      <c r="E200">
        <v>0.78097744360902255</v>
      </c>
      <c r="F200">
        <v>0.61225168328616497</v>
      </c>
    </row>
    <row r="201" spans="1:6" x14ac:dyDescent="0.35">
      <c r="A201">
        <v>133</v>
      </c>
      <c r="B201">
        <v>116</v>
      </c>
      <c r="D201">
        <f>VLOOKUP(B201,Sheet2!$C$4:$D$31,2,FALSE)</f>
        <v>0.91</v>
      </c>
      <c r="E201">
        <v>0.7912030075187968</v>
      </c>
      <c r="F201">
        <v>0.62830164275547051</v>
      </c>
    </row>
    <row r="202" spans="1:6" hidden="1" x14ac:dyDescent="0.35">
      <c r="A202">
        <v>133</v>
      </c>
      <c r="B202">
        <v>122</v>
      </c>
      <c r="D202">
        <f>VLOOKUP(B202,Sheet2!$C$4:$D$31,2,FALSE)</f>
        <v>0.52</v>
      </c>
      <c r="E202">
        <v>0.81037593984962397</v>
      </c>
      <c r="F202">
        <v>0.62722072532606665</v>
      </c>
    </row>
    <row r="203" spans="1:6" hidden="1" x14ac:dyDescent="0.35">
      <c r="A203">
        <v>133</v>
      </c>
      <c r="B203">
        <v>144</v>
      </c>
      <c r="D203">
        <f>VLOOKUP(B203,Sheet2!$C$4:$D$31,2,FALSE)</f>
        <v>0.52</v>
      </c>
      <c r="E203">
        <v>0.78714285714285737</v>
      </c>
      <c r="F203">
        <v>0.60656752886751208</v>
      </c>
    </row>
    <row r="204" spans="1:6" hidden="1" x14ac:dyDescent="0.35">
      <c r="A204">
        <v>133</v>
      </c>
      <c r="B204">
        <v>153</v>
      </c>
      <c r="D204">
        <f>VLOOKUP(B204,Sheet2!$C$4:$D$31,2,FALSE)</f>
        <v>0.65</v>
      </c>
      <c r="E204">
        <v>0.84533834586466172</v>
      </c>
      <c r="F204">
        <v>0.62036269954167855</v>
      </c>
    </row>
    <row r="205" spans="1:6" x14ac:dyDescent="0.35">
      <c r="A205">
        <v>133</v>
      </c>
      <c r="B205">
        <v>158</v>
      </c>
      <c r="D205">
        <f>VLOOKUP(B205,Sheet2!$C$4:$D$31,2,FALSE)</f>
        <v>0.91</v>
      </c>
      <c r="E205">
        <v>0.84218045112781936</v>
      </c>
      <c r="F205">
        <v>0.65148008615568731</v>
      </c>
    </row>
    <row r="206" spans="1:6" hidden="1" x14ac:dyDescent="0.35">
      <c r="A206">
        <v>133</v>
      </c>
      <c r="B206">
        <v>174</v>
      </c>
      <c r="D206">
        <f>VLOOKUP(B206,Sheet2!$C$4:$D$31,2,FALSE)</f>
        <v>0.52</v>
      </c>
      <c r="E206">
        <v>0.85691729323308286</v>
      </c>
      <c r="F206">
        <v>0.64835587745905754</v>
      </c>
    </row>
    <row r="207" spans="1:6" hidden="1" x14ac:dyDescent="0.35">
      <c r="A207">
        <v>133</v>
      </c>
      <c r="B207">
        <v>180</v>
      </c>
      <c r="D207">
        <f>VLOOKUP(B207,Sheet2!$C$4:$D$31,2,FALSE)</f>
        <v>0.65</v>
      </c>
      <c r="E207">
        <v>0.87578947368421067</v>
      </c>
      <c r="F207">
        <v>0.64887525305640581</v>
      </c>
    </row>
    <row r="208" spans="1:6" x14ac:dyDescent="0.35">
      <c r="A208">
        <v>133</v>
      </c>
      <c r="B208">
        <v>214</v>
      </c>
      <c r="D208">
        <f>VLOOKUP(B208,Sheet2!$C$4:$D$31,2,FALSE)</f>
        <v>0.91</v>
      </c>
      <c r="E208">
        <v>0.90165413533834537</v>
      </c>
      <c r="F208">
        <v>0.66388219273629934</v>
      </c>
    </row>
    <row r="209" spans="1:6" hidden="1" x14ac:dyDescent="0.35">
      <c r="A209">
        <v>133</v>
      </c>
      <c r="B209">
        <v>218</v>
      </c>
      <c r="D209">
        <f>VLOOKUP(B209,Sheet2!$C$4:$D$31,2,FALSE)</f>
        <v>0.65</v>
      </c>
      <c r="E209">
        <v>0.90526315789473732</v>
      </c>
      <c r="F209">
        <v>0.66946325089507441</v>
      </c>
    </row>
    <row r="210" spans="1:6" x14ac:dyDescent="0.35">
      <c r="A210">
        <v>133</v>
      </c>
      <c r="B210">
        <v>251</v>
      </c>
      <c r="D210">
        <f>VLOOKUP(B210,Sheet2!$C$4:$D$31,2,FALSE)</f>
        <v>0.91</v>
      </c>
      <c r="E210">
        <v>0.89646616541353386</v>
      </c>
      <c r="F210">
        <v>0.66340866815687738</v>
      </c>
    </row>
    <row r="211" spans="1:6" x14ac:dyDescent="0.35">
      <c r="A211">
        <v>133</v>
      </c>
      <c r="B211">
        <v>305</v>
      </c>
      <c r="D211">
        <f>VLOOKUP(B211,Sheet2!$C$4:$D$31,2,FALSE)</f>
        <v>0.91</v>
      </c>
      <c r="E211">
        <v>0.93751879699248097</v>
      </c>
      <c r="F211">
        <v>0.67229899496098444</v>
      </c>
    </row>
  </sheetData>
  <autoFilter ref="A1:F211" xr:uid="{93816081-3616-4185-9A12-5BDD54B00EC9}">
    <filterColumn colId="3">
      <filters>
        <filter val="0.91"/>
      </filters>
    </filterColumn>
    <sortState xmlns:xlrd2="http://schemas.microsoft.com/office/spreadsheetml/2017/richdata2" ref="A2:F211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A8AB-8E5B-4182-A9F5-A99D9CE62D89}">
  <dimension ref="A1:G211"/>
  <sheetViews>
    <sheetView topLeftCell="A59" workbookViewId="0">
      <selection activeCell="D2" sqref="D2:D211"/>
    </sheetView>
  </sheetViews>
  <sheetFormatPr defaultRowHeight="14.5" x14ac:dyDescent="0.35"/>
  <cols>
    <col min="1" max="1" width="9.54296875" bestFit="1" customWidth="1"/>
    <col min="2" max="2" width="9" bestFit="1" customWidth="1"/>
    <col min="3" max="3" width="7.453125" bestFit="1" customWidth="1"/>
    <col min="4" max="4" width="15" bestFit="1" customWidth="1"/>
    <col min="5" max="5" width="4.81640625" bestFit="1" customWidth="1"/>
    <col min="6" max="6" width="17.81640625" bestFit="1" customWidth="1"/>
    <col min="7" max="7" width="24.54296875" bestFit="1" customWidth="1"/>
  </cols>
  <sheetData>
    <row r="1" spans="1:7" x14ac:dyDescent="0.35">
      <c r="A1" t="s">
        <v>115</v>
      </c>
      <c r="B1" t="s">
        <v>145</v>
      </c>
      <c r="C1" t="s">
        <v>146</v>
      </c>
      <c r="D1" t="s">
        <v>180</v>
      </c>
      <c r="E1" t="s">
        <v>147</v>
      </c>
      <c r="F1" t="s">
        <v>77</v>
      </c>
      <c r="G1" t="s">
        <v>78</v>
      </c>
    </row>
    <row r="2" spans="1:7" x14ac:dyDescent="0.35">
      <c r="A2">
        <v>60</v>
      </c>
      <c r="B2">
        <v>22</v>
      </c>
      <c r="C2" t="s">
        <v>80</v>
      </c>
      <c r="D2" s="6">
        <f>VLOOKUP(C2,CalcSheet!$P$3:$Q$9,2,FALSE)</f>
        <v>6.7199999999999996E-2</v>
      </c>
      <c r="E2">
        <v>0.52</v>
      </c>
      <c r="F2">
        <v>0.95766666666666667</v>
      </c>
      <c r="G2">
        <v>0.34339220305938312</v>
      </c>
    </row>
    <row r="3" spans="1:7" x14ac:dyDescent="0.35">
      <c r="A3">
        <v>60</v>
      </c>
      <c r="B3">
        <v>41</v>
      </c>
      <c r="C3" t="s">
        <v>81</v>
      </c>
      <c r="D3" s="6">
        <f>VLOOKUP(C3,CalcSheet!$P$3:$Q$9,2,FALSE)</f>
        <v>0.1429</v>
      </c>
      <c r="E3">
        <v>0.52</v>
      </c>
      <c r="F3">
        <v>0.98083333333333411</v>
      </c>
      <c r="G3">
        <v>0.41086006395964403</v>
      </c>
    </row>
    <row r="4" spans="1:7" x14ac:dyDescent="0.35">
      <c r="A4">
        <v>60</v>
      </c>
      <c r="B4">
        <v>66</v>
      </c>
      <c r="C4" t="s">
        <v>89</v>
      </c>
      <c r="D4" s="6">
        <f>VLOOKUP(C4,CalcSheet!$P$3:$Q$9,2,FALSE)</f>
        <v>0.1176</v>
      </c>
      <c r="E4">
        <v>0.52</v>
      </c>
      <c r="F4">
        <v>0.9871666666666673</v>
      </c>
      <c r="G4">
        <v>0.44646545033982382</v>
      </c>
    </row>
    <row r="5" spans="1:7" x14ac:dyDescent="0.35">
      <c r="A5">
        <v>60</v>
      </c>
      <c r="B5">
        <v>90</v>
      </c>
      <c r="C5" t="s">
        <v>83</v>
      </c>
      <c r="D5" s="6">
        <f>VLOOKUP(C5,CalcSheet!$P$3:$Q$9,2,FALSE)</f>
        <v>0.1176</v>
      </c>
      <c r="E5">
        <v>0.52</v>
      </c>
      <c r="F5">
        <v>0.98616666666666675</v>
      </c>
      <c r="G5">
        <v>0.4850497631092236</v>
      </c>
    </row>
    <row r="6" spans="1:7" x14ac:dyDescent="0.35">
      <c r="A6">
        <v>60</v>
      </c>
      <c r="B6">
        <v>122</v>
      </c>
      <c r="C6" t="s">
        <v>90</v>
      </c>
      <c r="D6" s="6">
        <f>VLOOKUP(C6,CalcSheet!$P$3:$Q$9,2,FALSE)</f>
        <v>0.23530000000000001</v>
      </c>
      <c r="E6">
        <v>0.52</v>
      </c>
      <c r="F6">
        <v>0.98950000000000005</v>
      </c>
      <c r="G6">
        <v>0.57948787822811509</v>
      </c>
    </row>
    <row r="7" spans="1:7" x14ac:dyDescent="0.35">
      <c r="A7">
        <v>60</v>
      </c>
      <c r="B7">
        <v>144</v>
      </c>
      <c r="C7" t="s">
        <v>85</v>
      </c>
      <c r="D7" s="6">
        <f>VLOOKUP(C7,CalcSheet!$P$3:$Q$9,2,FALSE)</f>
        <v>0.23530000000000001</v>
      </c>
      <c r="E7">
        <v>0.52</v>
      </c>
      <c r="F7">
        <v>0.99100000000000021</v>
      </c>
      <c r="G7">
        <v>0.5770009458542894</v>
      </c>
    </row>
    <row r="8" spans="1:7" x14ac:dyDescent="0.35">
      <c r="A8">
        <v>60</v>
      </c>
      <c r="B8">
        <v>174</v>
      </c>
      <c r="C8" t="s">
        <v>86</v>
      </c>
      <c r="D8" s="6">
        <f>VLOOKUP(C8,CalcSheet!$P$3:$Q$9,2,FALSE)</f>
        <v>8.4000000000000005E-2</v>
      </c>
      <c r="E8">
        <v>0.52</v>
      </c>
      <c r="F8">
        <v>0.9933333333333334</v>
      </c>
      <c r="G8">
        <v>0.59160181548434077</v>
      </c>
    </row>
    <row r="9" spans="1:7" x14ac:dyDescent="0.35">
      <c r="A9">
        <v>72</v>
      </c>
      <c r="B9">
        <v>22</v>
      </c>
      <c r="C9" t="s">
        <v>80</v>
      </c>
      <c r="D9" s="6">
        <f>VLOOKUP(C9,CalcSheet!$P$3:$Q$9,2,FALSE)</f>
        <v>6.7199999999999996E-2</v>
      </c>
      <c r="E9">
        <v>0.52</v>
      </c>
      <c r="F9">
        <v>0.97000000000000031</v>
      </c>
      <c r="G9">
        <v>0.36452615439459923</v>
      </c>
    </row>
    <row r="10" spans="1:7" x14ac:dyDescent="0.35">
      <c r="A10">
        <v>72</v>
      </c>
      <c r="B10">
        <v>41</v>
      </c>
      <c r="C10" t="s">
        <v>81</v>
      </c>
      <c r="D10" s="6">
        <f>VLOOKUP(C10,CalcSheet!$P$3:$Q$9,2,FALSE)</f>
        <v>0.1429</v>
      </c>
      <c r="E10">
        <v>0.52</v>
      </c>
      <c r="F10">
        <v>0.98458333333333381</v>
      </c>
      <c r="G10">
        <v>0.43182998685751628</v>
      </c>
    </row>
    <row r="11" spans="1:7" x14ac:dyDescent="0.35">
      <c r="A11">
        <v>72</v>
      </c>
      <c r="B11">
        <v>66</v>
      </c>
      <c r="C11" t="s">
        <v>89</v>
      </c>
      <c r="D11" s="6">
        <f>VLOOKUP(C11,CalcSheet!$P$3:$Q$9,2,FALSE)</f>
        <v>0.1176</v>
      </c>
      <c r="E11">
        <v>0.52</v>
      </c>
      <c r="F11">
        <v>0.98861111111111111</v>
      </c>
      <c r="G11">
        <v>0.47563831812121016</v>
      </c>
    </row>
    <row r="12" spans="1:7" x14ac:dyDescent="0.35">
      <c r="A12">
        <v>72</v>
      </c>
      <c r="B12">
        <v>90</v>
      </c>
      <c r="C12" t="s">
        <v>83</v>
      </c>
      <c r="D12" s="6">
        <f>VLOOKUP(C12,CalcSheet!$P$3:$Q$9,2,FALSE)</f>
        <v>0.1176</v>
      </c>
      <c r="E12">
        <v>0.52</v>
      </c>
      <c r="F12">
        <v>0.99583333333333346</v>
      </c>
      <c r="G12">
        <v>0.53430232825661617</v>
      </c>
    </row>
    <row r="13" spans="1:7" x14ac:dyDescent="0.35">
      <c r="A13">
        <v>72</v>
      </c>
      <c r="B13">
        <v>122</v>
      </c>
      <c r="C13" t="s">
        <v>90</v>
      </c>
      <c r="D13" s="6">
        <f>VLOOKUP(C13,CalcSheet!$P$3:$Q$9,2,FALSE)</f>
        <v>0.23530000000000001</v>
      </c>
      <c r="E13">
        <v>0.52</v>
      </c>
      <c r="F13">
        <v>0.98805555555555558</v>
      </c>
      <c r="G13">
        <v>0.60374434399902976</v>
      </c>
    </row>
    <row r="14" spans="1:7" x14ac:dyDescent="0.35">
      <c r="A14">
        <v>72</v>
      </c>
      <c r="B14">
        <v>144</v>
      </c>
      <c r="C14" t="s">
        <v>85</v>
      </c>
      <c r="D14" s="6">
        <f>VLOOKUP(C14,CalcSheet!$P$3:$Q$9,2,FALSE)</f>
        <v>0.23530000000000001</v>
      </c>
      <c r="E14">
        <v>0.52</v>
      </c>
      <c r="F14">
        <v>0.99708333333333343</v>
      </c>
      <c r="G14">
        <v>0.58204949901680936</v>
      </c>
    </row>
    <row r="15" spans="1:7" x14ac:dyDescent="0.35">
      <c r="A15">
        <v>72</v>
      </c>
      <c r="B15">
        <v>174</v>
      </c>
      <c r="C15" t="s">
        <v>86</v>
      </c>
      <c r="D15" s="6">
        <f>VLOOKUP(C15,CalcSheet!$P$3:$Q$9,2,FALSE)</f>
        <v>8.4000000000000005E-2</v>
      </c>
      <c r="E15">
        <v>0.52</v>
      </c>
      <c r="F15">
        <v>0.99708333333333343</v>
      </c>
      <c r="G15">
        <v>0.60963363371476376</v>
      </c>
    </row>
    <row r="16" spans="1:7" x14ac:dyDescent="0.35">
      <c r="A16">
        <v>81</v>
      </c>
      <c r="B16">
        <v>22</v>
      </c>
      <c r="C16" t="s">
        <v>80</v>
      </c>
      <c r="D16" s="6">
        <f>VLOOKUP(C16,CalcSheet!$P$3:$Q$9,2,FALSE)</f>
        <v>6.7199999999999996E-2</v>
      </c>
      <c r="E16">
        <v>0.52</v>
      </c>
      <c r="F16">
        <v>0.83925925925925926</v>
      </c>
      <c r="G16">
        <v>0.36713500787598641</v>
      </c>
    </row>
    <row r="17" spans="1:7" x14ac:dyDescent="0.35">
      <c r="A17">
        <v>81</v>
      </c>
      <c r="B17">
        <v>41</v>
      </c>
      <c r="C17" t="s">
        <v>81</v>
      </c>
      <c r="D17" s="6">
        <f>VLOOKUP(C17,CalcSheet!$P$3:$Q$9,2,FALSE)</f>
        <v>0.1429</v>
      </c>
      <c r="E17">
        <v>0.52</v>
      </c>
      <c r="F17">
        <v>0.87728395061728381</v>
      </c>
      <c r="G17">
        <v>0.39663020735599103</v>
      </c>
    </row>
    <row r="18" spans="1:7" x14ac:dyDescent="0.35">
      <c r="A18">
        <v>81</v>
      </c>
      <c r="B18">
        <v>66</v>
      </c>
      <c r="C18" t="s">
        <v>89</v>
      </c>
      <c r="D18" s="6">
        <f>VLOOKUP(C18,CalcSheet!$P$3:$Q$9,2,FALSE)</f>
        <v>0.1176</v>
      </c>
      <c r="E18">
        <v>0.52</v>
      </c>
      <c r="F18">
        <v>0.94160493827160496</v>
      </c>
      <c r="G18">
        <v>0.4330050921691459</v>
      </c>
    </row>
    <row r="19" spans="1:7" x14ac:dyDescent="0.35">
      <c r="A19">
        <v>81</v>
      </c>
      <c r="B19">
        <v>90</v>
      </c>
      <c r="C19" t="s">
        <v>83</v>
      </c>
      <c r="D19" s="6">
        <f>VLOOKUP(C19,CalcSheet!$P$3:$Q$9,2,FALSE)</f>
        <v>0.1176</v>
      </c>
      <c r="E19">
        <v>0.52</v>
      </c>
      <c r="F19">
        <v>0.96432098765432073</v>
      </c>
      <c r="G19">
        <v>0.49162734361037336</v>
      </c>
    </row>
    <row r="20" spans="1:7" x14ac:dyDescent="0.35">
      <c r="A20">
        <v>81</v>
      </c>
      <c r="B20">
        <v>122</v>
      </c>
      <c r="C20" t="s">
        <v>90</v>
      </c>
      <c r="D20" s="6">
        <f>VLOOKUP(C20,CalcSheet!$P$3:$Q$9,2,FALSE)</f>
        <v>0.23530000000000001</v>
      </c>
      <c r="E20">
        <v>0.52</v>
      </c>
      <c r="F20">
        <v>0.97172839506172826</v>
      </c>
      <c r="G20">
        <v>0.49319078389963317</v>
      </c>
    </row>
    <row r="21" spans="1:7" x14ac:dyDescent="0.35">
      <c r="A21">
        <v>81</v>
      </c>
      <c r="B21">
        <v>144</v>
      </c>
      <c r="C21" t="s">
        <v>85</v>
      </c>
      <c r="D21" s="6">
        <f>VLOOKUP(C21,CalcSheet!$P$3:$Q$9,2,FALSE)</f>
        <v>0.23530000000000001</v>
      </c>
      <c r="E21">
        <v>0.52</v>
      </c>
      <c r="F21">
        <v>0.98382716049382724</v>
      </c>
      <c r="G21">
        <v>0.51782616425386263</v>
      </c>
    </row>
    <row r="22" spans="1:7" x14ac:dyDescent="0.35">
      <c r="A22">
        <v>81</v>
      </c>
      <c r="B22">
        <v>174</v>
      </c>
      <c r="C22" t="s">
        <v>86</v>
      </c>
      <c r="D22" s="6">
        <f>VLOOKUP(C22,CalcSheet!$P$3:$Q$9,2,FALSE)</f>
        <v>8.4000000000000005E-2</v>
      </c>
      <c r="E22">
        <v>0.52</v>
      </c>
      <c r="F22">
        <v>0.98864197530864162</v>
      </c>
      <c r="G22">
        <v>0.54262320228973038</v>
      </c>
    </row>
    <row r="23" spans="1:7" x14ac:dyDescent="0.35">
      <c r="A23">
        <v>85</v>
      </c>
      <c r="B23">
        <v>22</v>
      </c>
      <c r="C23" t="s">
        <v>80</v>
      </c>
      <c r="D23" s="6">
        <f>VLOOKUP(C23,CalcSheet!$P$3:$Q$9,2,FALSE)</f>
        <v>6.7199999999999996E-2</v>
      </c>
      <c r="E23">
        <v>0.52</v>
      </c>
      <c r="F23">
        <v>0.8050588235294116</v>
      </c>
      <c r="G23">
        <v>0.42616304700748875</v>
      </c>
    </row>
    <row r="24" spans="1:7" x14ac:dyDescent="0.35">
      <c r="A24">
        <v>85</v>
      </c>
      <c r="B24">
        <v>41</v>
      </c>
      <c r="C24" t="s">
        <v>81</v>
      </c>
      <c r="D24" s="6">
        <f>VLOOKUP(C24,CalcSheet!$P$3:$Q$9,2,FALSE)</f>
        <v>0.1429</v>
      </c>
      <c r="E24">
        <v>0.52</v>
      </c>
      <c r="F24">
        <v>0.86541176470588166</v>
      </c>
      <c r="G24">
        <v>0.46341867175209006</v>
      </c>
    </row>
    <row r="25" spans="1:7" x14ac:dyDescent="0.35">
      <c r="A25">
        <v>85</v>
      </c>
      <c r="B25">
        <v>66</v>
      </c>
      <c r="C25" t="s">
        <v>89</v>
      </c>
      <c r="D25" s="6">
        <f>VLOOKUP(C25,CalcSheet!$P$3:$Q$9,2,FALSE)</f>
        <v>0.1176</v>
      </c>
      <c r="E25">
        <v>0.52</v>
      </c>
      <c r="F25">
        <v>0.90929411764705803</v>
      </c>
      <c r="G25">
        <v>0.49552516415753617</v>
      </c>
    </row>
    <row r="26" spans="1:7" x14ac:dyDescent="0.35">
      <c r="A26">
        <v>85</v>
      </c>
      <c r="B26">
        <v>90</v>
      </c>
      <c r="C26" t="s">
        <v>83</v>
      </c>
      <c r="D26" s="6">
        <f>VLOOKUP(C26,CalcSheet!$P$3:$Q$9,2,FALSE)</f>
        <v>0.1176</v>
      </c>
      <c r="E26">
        <v>0.52</v>
      </c>
      <c r="F26">
        <v>0.9476470588235284</v>
      </c>
      <c r="G26">
        <v>0.49756643085005287</v>
      </c>
    </row>
    <row r="27" spans="1:7" x14ac:dyDescent="0.35">
      <c r="A27">
        <v>85</v>
      </c>
      <c r="B27">
        <v>122</v>
      </c>
      <c r="C27" t="s">
        <v>90</v>
      </c>
      <c r="D27" s="6">
        <f>VLOOKUP(C27,CalcSheet!$P$3:$Q$9,2,FALSE)</f>
        <v>0.23530000000000001</v>
      </c>
      <c r="E27">
        <v>0.52</v>
      </c>
      <c r="F27">
        <v>0.97247058823529353</v>
      </c>
      <c r="G27">
        <v>0.55849757613324902</v>
      </c>
    </row>
    <row r="28" spans="1:7" x14ac:dyDescent="0.35">
      <c r="A28">
        <v>85</v>
      </c>
      <c r="B28">
        <v>144</v>
      </c>
      <c r="C28" t="s">
        <v>85</v>
      </c>
      <c r="D28" s="6">
        <f>VLOOKUP(C28,CalcSheet!$P$3:$Q$9,2,FALSE)</f>
        <v>0.23530000000000001</v>
      </c>
      <c r="E28">
        <v>0.52</v>
      </c>
      <c r="F28">
        <v>0.98058823529411698</v>
      </c>
      <c r="G28">
        <v>0.55991182034957854</v>
      </c>
    </row>
    <row r="29" spans="1:7" x14ac:dyDescent="0.35">
      <c r="A29">
        <v>85</v>
      </c>
      <c r="B29">
        <v>174</v>
      </c>
      <c r="C29" t="s">
        <v>86</v>
      </c>
      <c r="D29" s="6">
        <f>VLOOKUP(C29,CalcSheet!$P$3:$Q$9,2,FALSE)</f>
        <v>8.4000000000000005E-2</v>
      </c>
      <c r="E29">
        <v>0.52</v>
      </c>
      <c r="F29">
        <v>0.98894117647058788</v>
      </c>
      <c r="G29">
        <v>0.59236949474687894</v>
      </c>
    </row>
    <row r="30" spans="1:7" x14ac:dyDescent="0.35">
      <c r="A30">
        <v>89</v>
      </c>
      <c r="B30">
        <v>22</v>
      </c>
      <c r="C30" t="s">
        <v>80</v>
      </c>
      <c r="D30" s="6">
        <f>VLOOKUP(C30,CalcSheet!$P$3:$Q$9,2,FALSE)</f>
        <v>6.7199999999999996E-2</v>
      </c>
      <c r="E30">
        <v>0.52</v>
      </c>
      <c r="F30">
        <v>0.81528089887640376</v>
      </c>
      <c r="G30">
        <v>0.42181993808944496</v>
      </c>
    </row>
    <row r="31" spans="1:7" x14ac:dyDescent="0.35">
      <c r="A31">
        <v>89</v>
      </c>
      <c r="B31">
        <v>41</v>
      </c>
      <c r="C31" t="s">
        <v>81</v>
      </c>
      <c r="D31" s="6">
        <f>VLOOKUP(C31,CalcSheet!$P$3:$Q$9,2,FALSE)</f>
        <v>0.1429</v>
      </c>
      <c r="E31">
        <v>0.52</v>
      </c>
      <c r="F31">
        <v>0.85910112359550583</v>
      </c>
      <c r="G31">
        <v>0.46269103601291073</v>
      </c>
    </row>
    <row r="32" spans="1:7" x14ac:dyDescent="0.35">
      <c r="A32">
        <v>89</v>
      </c>
      <c r="B32">
        <v>66</v>
      </c>
      <c r="C32" t="s">
        <v>89</v>
      </c>
      <c r="D32" s="6">
        <f>VLOOKUP(C32,CalcSheet!$P$3:$Q$9,2,FALSE)</f>
        <v>0.1176</v>
      </c>
      <c r="E32">
        <v>0.52</v>
      </c>
      <c r="F32">
        <v>0.87988764044943824</v>
      </c>
      <c r="G32">
        <v>0.49023351245019525</v>
      </c>
    </row>
    <row r="33" spans="1:7" x14ac:dyDescent="0.35">
      <c r="A33">
        <v>89</v>
      </c>
      <c r="B33">
        <v>90</v>
      </c>
      <c r="C33" t="s">
        <v>83</v>
      </c>
      <c r="D33" s="6">
        <f>VLOOKUP(C33,CalcSheet!$P$3:$Q$9,2,FALSE)</f>
        <v>0.1176</v>
      </c>
      <c r="E33">
        <v>0.52</v>
      </c>
      <c r="F33">
        <v>0.93280898876404561</v>
      </c>
      <c r="G33">
        <v>0.53522051260888581</v>
      </c>
    </row>
    <row r="34" spans="1:7" x14ac:dyDescent="0.35">
      <c r="A34">
        <v>89</v>
      </c>
      <c r="B34">
        <v>122</v>
      </c>
      <c r="C34" t="s">
        <v>90</v>
      </c>
      <c r="D34" s="6">
        <f>VLOOKUP(C34,CalcSheet!$P$3:$Q$9,2,FALSE)</f>
        <v>0.23530000000000001</v>
      </c>
      <c r="E34">
        <v>0.52</v>
      </c>
      <c r="F34">
        <v>0.963820224719102</v>
      </c>
      <c r="G34">
        <v>0.54833289717346623</v>
      </c>
    </row>
    <row r="35" spans="1:7" x14ac:dyDescent="0.35">
      <c r="A35">
        <v>89</v>
      </c>
      <c r="B35">
        <v>144</v>
      </c>
      <c r="C35" t="s">
        <v>85</v>
      </c>
      <c r="D35" s="6">
        <f>VLOOKUP(C35,CalcSheet!$P$3:$Q$9,2,FALSE)</f>
        <v>0.23530000000000001</v>
      </c>
      <c r="E35">
        <v>0.52</v>
      </c>
      <c r="F35">
        <v>0.97719101123595553</v>
      </c>
      <c r="G35">
        <v>0.57517302763937528</v>
      </c>
    </row>
    <row r="36" spans="1:7" x14ac:dyDescent="0.35">
      <c r="A36">
        <v>89</v>
      </c>
      <c r="B36">
        <v>174</v>
      </c>
      <c r="C36" t="s">
        <v>86</v>
      </c>
      <c r="D36" s="6">
        <f>VLOOKUP(C36,CalcSheet!$P$3:$Q$9,2,FALSE)</f>
        <v>8.4000000000000005E-2</v>
      </c>
      <c r="E36">
        <v>0.52</v>
      </c>
      <c r="F36">
        <v>0.99078651685393282</v>
      </c>
      <c r="G36">
        <v>0.60662406753917797</v>
      </c>
    </row>
    <row r="37" spans="1:7" x14ac:dyDescent="0.35">
      <c r="A37">
        <v>100</v>
      </c>
      <c r="B37">
        <v>22</v>
      </c>
      <c r="C37" t="s">
        <v>80</v>
      </c>
      <c r="D37" s="6">
        <f>VLOOKUP(C37,CalcSheet!$P$3:$Q$9,2,FALSE)</f>
        <v>6.7199999999999996E-2</v>
      </c>
      <c r="E37">
        <v>0.52</v>
      </c>
      <c r="F37">
        <v>0.7168000000000001</v>
      </c>
      <c r="G37">
        <v>0.42665838375609311</v>
      </c>
    </row>
    <row r="38" spans="1:7" x14ac:dyDescent="0.35">
      <c r="A38">
        <v>100</v>
      </c>
      <c r="B38">
        <v>41</v>
      </c>
      <c r="C38" t="s">
        <v>81</v>
      </c>
      <c r="D38" s="6">
        <f>VLOOKUP(C38,CalcSheet!$P$3:$Q$9,2,FALSE)</f>
        <v>0.1429</v>
      </c>
      <c r="E38">
        <v>0.52</v>
      </c>
      <c r="F38">
        <v>0.75430000000000019</v>
      </c>
      <c r="G38">
        <v>0.469201356706134</v>
      </c>
    </row>
    <row r="39" spans="1:7" x14ac:dyDescent="0.35">
      <c r="A39">
        <v>100</v>
      </c>
      <c r="B39">
        <v>66</v>
      </c>
      <c r="C39" t="s">
        <v>89</v>
      </c>
      <c r="D39" s="6">
        <f>VLOOKUP(C39,CalcSheet!$P$3:$Q$9,2,FALSE)</f>
        <v>0.1176</v>
      </c>
      <c r="E39">
        <v>0.52</v>
      </c>
      <c r="F39">
        <v>0.79760000000000031</v>
      </c>
      <c r="G39">
        <v>0.49850580545824669</v>
      </c>
    </row>
    <row r="40" spans="1:7" x14ac:dyDescent="0.35">
      <c r="A40">
        <v>100</v>
      </c>
      <c r="B40">
        <v>90</v>
      </c>
      <c r="C40" t="s">
        <v>83</v>
      </c>
      <c r="D40" s="6">
        <f>VLOOKUP(C40,CalcSheet!$P$3:$Q$9,2,FALSE)</f>
        <v>0.1176</v>
      </c>
      <c r="E40">
        <v>0.52</v>
      </c>
      <c r="F40">
        <v>0.81759999999999988</v>
      </c>
      <c r="G40">
        <v>0.52842344983261647</v>
      </c>
    </row>
    <row r="41" spans="1:7" x14ac:dyDescent="0.35">
      <c r="A41">
        <v>100</v>
      </c>
      <c r="B41">
        <v>122</v>
      </c>
      <c r="C41" t="s">
        <v>90</v>
      </c>
      <c r="D41" s="6">
        <f>VLOOKUP(C41,CalcSheet!$P$3:$Q$9,2,FALSE)</f>
        <v>0.23530000000000001</v>
      </c>
      <c r="E41">
        <v>0.52</v>
      </c>
      <c r="F41">
        <v>0.87909999999999999</v>
      </c>
      <c r="G41">
        <v>0.53812047826104703</v>
      </c>
    </row>
    <row r="42" spans="1:7" x14ac:dyDescent="0.35">
      <c r="A42">
        <v>100</v>
      </c>
      <c r="B42">
        <v>144</v>
      </c>
      <c r="C42" t="s">
        <v>85</v>
      </c>
      <c r="D42" s="6">
        <f>VLOOKUP(C42,CalcSheet!$P$3:$Q$9,2,FALSE)</f>
        <v>0.23530000000000001</v>
      </c>
      <c r="E42">
        <v>0.52</v>
      </c>
      <c r="F42">
        <v>0.96849999999999992</v>
      </c>
      <c r="G42">
        <v>0.59485916342367728</v>
      </c>
    </row>
    <row r="43" spans="1:7" x14ac:dyDescent="0.35">
      <c r="A43">
        <v>100</v>
      </c>
      <c r="B43">
        <v>174</v>
      </c>
      <c r="C43" t="s">
        <v>86</v>
      </c>
      <c r="D43" s="6">
        <f>VLOOKUP(C43,CalcSheet!$P$3:$Q$9,2,FALSE)</f>
        <v>8.4000000000000005E-2</v>
      </c>
      <c r="E43">
        <v>0.52</v>
      </c>
      <c r="F43">
        <v>0.93389999999999973</v>
      </c>
      <c r="G43">
        <v>0.56979333705096702</v>
      </c>
    </row>
    <row r="44" spans="1:7" x14ac:dyDescent="0.35">
      <c r="A44">
        <v>106</v>
      </c>
      <c r="B44">
        <v>22</v>
      </c>
      <c r="C44" t="s">
        <v>80</v>
      </c>
      <c r="D44" s="6">
        <f>VLOOKUP(C44,CalcSheet!$P$3:$Q$9,2,FALSE)</f>
        <v>6.7199999999999996E-2</v>
      </c>
      <c r="E44">
        <v>0.52</v>
      </c>
      <c r="F44">
        <v>0.73509433962264159</v>
      </c>
      <c r="G44">
        <v>0.39912538800487246</v>
      </c>
    </row>
    <row r="45" spans="1:7" x14ac:dyDescent="0.35">
      <c r="A45">
        <v>106</v>
      </c>
      <c r="B45">
        <v>41</v>
      </c>
      <c r="C45" t="s">
        <v>81</v>
      </c>
      <c r="D45" s="6">
        <f>VLOOKUP(C45,CalcSheet!$P$3:$Q$9,2,FALSE)</f>
        <v>0.1429</v>
      </c>
      <c r="E45">
        <v>0.52</v>
      </c>
      <c r="F45">
        <v>0.78622641509433966</v>
      </c>
      <c r="G45">
        <v>0.43780016212402278</v>
      </c>
    </row>
    <row r="46" spans="1:7" x14ac:dyDescent="0.35">
      <c r="A46">
        <v>106</v>
      </c>
      <c r="B46">
        <v>66</v>
      </c>
      <c r="C46" t="s">
        <v>89</v>
      </c>
      <c r="D46" s="6">
        <f>VLOOKUP(C46,CalcSheet!$P$3:$Q$9,2,FALSE)</f>
        <v>0.1176</v>
      </c>
      <c r="E46">
        <v>0.52</v>
      </c>
      <c r="F46">
        <v>0.76330188679245281</v>
      </c>
      <c r="G46">
        <v>0.55305434962144295</v>
      </c>
    </row>
    <row r="47" spans="1:7" x14ac:dyDescent="0.35">
      <c r="A47">
        <v>106</v>
      </c>
      <c r="B47">
        <v>90</v>
      </c>
      <c r="C47" t="s">
        <v>83</v>
      </c>
      <c r="D47" s="6">
        <f>VLOOKUP(C47,CalcSheet!$P$3:$Q$9,2,FALSE)</f>
        <v>0.1176</v>
      </c>
      <c r="E47">
        <v>0.52</v>
      </c>
      <c r="F47">
        <v>0.8161320754716983</v>
      </c>
      <c r="G47">
        <v>0.55145704520049887</v>
      </c>
    </row>
    <row r="48" spans="1:7" x14ac:dyDescent="0.35">
      <c r="A48">
        <v>106</v>
      </c>
      <c r="B48">
        <v>122</v>
      </c>
      <c r="C48" t="s">
        <v>90</v>
      </c>
      <c r="D48" s="6">
        <f>VLOOKUP(C48,CalcSheet!$P$3:$Q$9,2,FALSE)</f>
        <v>0.23530000000000001</v>
      </c>
      <c r="E48">
        <v>0.52</v>
      </c>
      <c r="F48">
        <v>0.87594339622641504</v>
      </c>
      <c r="G48">
        <v>0.61850498036574386</v>
      </c>
    </row>
    <row r="49" spans="1:7" x14ac:dyDescent="0.35">
      <c r="A49">
        <v>106</v>
      </c>
      <c r="B49">
        <v>144</v>
      </c>
      <c r="C49" t="s">
        <v>85</v>
      </c>
      <c r="D49" s="6">
        <f>VLOOKUP(C49,CalcSheet!$P$3:$Q$9,2,FALSE)</f>
        <v>0.23530000000000001</v>
      </c>
      <c r="E49">
        <v>0.52</v>
      </c>
      <c r="F49">
        <v>0.86990566037735828</v>
      </c>
      <c r="G49">
        <v>0.61006962448585</v>
      </c>
    </row>
    <row r="50" spans="1:7" x14ac:dyDescent="0.35">
      <c r="A50">
        <v>106</v>
      </c>
      <c r="B50">
        <v>174</v>
      </c>
      <c r="C50" t="s">
        <v>86</v>
      </c>
      <c r="D50" s="6">
        <f>VLOOKUP(C50,CalcSheet!$P$3:$Q$9,2,FALSE)</f>
        <v>8.4000000000000005E-2</v>
      </c>
      <c r="E50">
        <v>0.52</v>
      </c>
      <c r="F50">
        <v>0.88839622641509397</v>
      </c>
      <c r="G50">
        <v>0.60728107019549826</v>
      </c>
    </row>
    <row r="51" spans="1:7" x14ac:dyDescent="0.35">
      <c r="A51">
        <v>117</v>
      </c>
      <c r="B51">
        <v>22</v>
      </c>
      <c r="C51" t="s">
        <v>80</v>
      </c>
      <c r="D51" s="6">
        <f>VLOOKUP(C51,CalcSheet!$P$3:$Q$9,2,FALSE)</f>
        <v>6.7199999999999996E-2</v>
      </c>
      <c r="E51">
        <v>0.52</v>
      </c>
      <c r="F51">
        <v>0.76128205128205095</v>
      </c>
      <c r="G51">
        <v>0.4597381868422129</v>
      </c>
    </row>
    <row r="52" spans="1:7" x14ac:dyDescent="0.35">
      <c r="A52">
        <v>117</v>
      </c>
      <c r="B52">
        <v>41</v>
      </c>
      <c r="C52" t="s">
        <v>81</v>
      </c>
      <c r="D52" s="6">
        <f>VLOOKUP(C52,CalcSheet!$P$3:$Q$9,2,FALSE)</f>
        <v>0.1429</v>
      </c>
      <c r="E52">
        <v>0.52</v>
      </c>
      <c r="F52">
        <v>0.79829059829059767</v>
      </c>
      <c r="G52">
        <v>0.49477188550763079</v>
      </c>
    </row>
    <row r="53" spans="1:7" x14ac:dyDescent="0.35">
      <c r="A53">
        <v>117</v>
      </c>
      <c r="B53">
        <v>66</v>
      </c>
      <c r="C53" t="s">
        <v>89</v>
      </c>
      <c r="D53" s="6">
        <f>VLOOKUP(C53,CalcSheet!$P$3:$Q$9,2,FALSE)</f>
        <v>0.1176</v>
      </c>
      <c r="E53">
        <v>0.52</v>
      </c>
      <c r="F53">
        <v>0.8456410256410245</v>
      </c>
      <c r="G53">
        <v>0.55489261059641815</v>
      </c>
    </row>
    <row r="54" spans="1:7" x14ac:dyDescent="0.35">
      <c r="A54">
        <v>117</v>
      </c>
      <c r="B54">
        <v>90</v>
      </c>
      <c r="C54" t="s">
        <v>83</v>
      </c>
      <c r="D54" s="6">
        <f>VLOOKUP(C54,CalcSheet!$P$3:$Q$9,2,FALSE)</f>
        <v>0.1176</v>
      </c>
      <c r="E54">
        <v>0.52</v>
      </c>
      <c r="F54">
        <v>0.87863247863247773</v>
      </c>
      <c r="G54">
        <v>0.57371880872704106</v>
      </c>
    </row>
    <row r="55" spans="1:7" x14ac:dyDescent="0.35">
      <c r="A55">
        <v>117</v>
      </c>
      <c r="B55">
        <v>122</v>
      </c>
      <c r="C55" t="s">
        <v>90</v>
      </c>
      <c r="D55" s="6">
        <f>VLOOKUP(C55,CalcSheet!$P$3:$Q$9,2,FALSE)</f>
        <v>0.23530000000000001</v>
      </c>
      <c r="E55">
        <v>0.52</v>
      </c>
      <c r="F55">
        <v>0.92923076923076819</v>
      </c>
      <c r="G55">
        <v>0.57331607708582222</v>
      </c>
    </row>
    <row r="56" spans="1:7" x14ac:dyDescent="0.35">
      <c r="A56">
        <v>117</v>
      </c>
      <c r="B56">
        <v>144</v>
      </c>
      <c r="C56" t="s">
        <v>85</v>
      </c>
      <c r="D56" s="6">
        <f>VLOOKUP(C56,CalcSheet!$P$3:$Q$9,2,FALSE)</f>
        <v>0.23530000000000001</v>
      </c>
      <c r="E56">
        <v>0.52</v>
      </c>
      <c r="F56">
        <v>0.9322222222222214</v>
      </c>
      <c r="G56">
        <v>0.63755420390039685</v>
      </c>
    </row>
    <row r="57" spans="1:7" x14ac:dyDescent="0.35">
      <c r="A57">
        <v>117</v>
      </c>
      <c r="B57">
        <v>174</v>
      </c>
      <c r="C57" t="s">
        <v>86</v>
      </c>
      <c r="D57" s="6">
        <f>VLOOKUP(C57,CalcSheet!$P$3:$Q$9,2,FALSE)</f>
        <v>8.4000000000000005E-2</v>
      </c>
      <c r="E57">
        <v>0.52</v>
      </c>
      <c r="F57">
        <v>0.9604273504273495</v>
      </c>
      <c r="G57">
        <v>0.61956210272507184</v>
      </c>
    </row>
    <row r="58" spans="1:7" x14ac:dyDescent="0.35">
      <c r="A58">
        <v>125</v>
      </c>
      <c r="B58">
        <v>22</v>
      </c>
      <c r="C58" t="s">
        <v>80</v>
      </c>
      <c r="D58" s="6">
        <f>VLOOKUP(C58,CalcSheet!$P$3:$Q$9,2,FALSE)</f>
        <v>6.7199999999999996E-2</v>
      </c>
      <c r="E58">
        <v>0.52</v>
      </c>
      <c r="F58">
        <v>0.66736000000000006</v>
      </c>
      <c r="G58">
        <v>0.40925717716837562</v>
      </c>
    </row>
    <row r="59" spans="1:7" x14ac:dyDescent="0.35">
      <c r="A59">
        <v>125</v>
      </c>
      <c r="B59">
        <v>41</v>
      </c>
      <c r="C59" t="s">
        <v>81</v>
      </c>
      <c r="D59" s="6">
        <f>VLOOKUP(C59,CalcSheet!$P$3:$Q$9,2,FALSE)</f>
        <v>0.1429</v>
      </c>
      <c r="E59">
        <v>0.52</v>
      </c>
      <c r="F59">
        <v>0.68687999999999994</v>
      </c>
      <c r="G59">
        <v>0.5041980137666402</v>
      </c>
    </row>
    <row r="60" spans="1:7" x14ac:dyDescent="0.35">
      <c r="A60">
        <v>125</v>
      </c>
      <c r="B60">
        <v>66</v>
      </c>
      <c r="C60" t="s">
        <v>89</v>
      </c>
      <c r="D60" s="6">
        <f>VLOOKUP(C60,CalcSheet!$P$3:$Q$9,2,FALSE)</f>
        <v>0.1176</v>
      </c>
      <c r="E60">
        <v>0.52</v>
      </c>
      <c r="F60">
        <v>0.70928000000000013</v>
      </c>
      <c r="G60">
        <v>0.53797190554361418</v>
      </c>
    </row>
    <row r="61" spans="1:7" x14ac:dyDescent="0.35">
      <c r="A61">
        <v>125</v>
      </c>
      <c r="B61">
        <v>90</v>
      </c>
      <c r="C61" t="s">
        <v>83</v>
      </c>
      <c r="D61" s="6">
        <f>VLOOKUP(C61,CalcSheet!$P$3:$Q$9,2,FALSE)</f>
        <v>0.1176</v>
      </c>
      <c r="E61">
        <v>0.52</v>
      </c>
      <c r="F61">
        <v>0.72904000000000013</v>
      </c>
      <c r="G61">
        <v>0.57964780254685488</v>
      </c>
    </row>
    <row r="62" spans="1:7" x14ac:dyDescent="0.35">
      <c r="A62">
        <v>125</v>
      </c>
      <c r="B62">
        <v>122</v>
      </c>
      <c r="C62" t="s">
        <v>90</v>
      </c>
      <c r="D62" s="6">
        <f>VLOOKUP(C62,CalcSheet!$P$3:$Q$9,2,FALSE)</f>
        <v>0.23530000000000001</v>
      </c>
      <c r="E62">
        <v>0.52</v>
      </c>
      <c r="F62">
        <v>0.75936000000000037</v>
      </c>
      <c r="G62">
        <v>0.59898387739067782</v>
      </c>
    </row>
    <row r="63" spans="1:7" x14ac:dyDescent="0.35">
      <c r="A63">
        <v>125</v>
      </c>
      <c r="B63">
        <v>144</v>
      </c>
      <c r="C63" t="s">
        <v>85</v>
      </c>
      <c r="D63" s="6">
        <f>VLOOKUP(C63,CalcSheet!$P$3:$Q$9,2,FALSE)</f>
        <v>0.23530000000000001</v>
      </c>
      <c r="E63">
        <v>0.52</v>
      </c>
      <c r="F63">
        <v>0.83584000000000003</v>
      </c>
      <c r="G63">
        <v>0.63548442073941047</v>
      </c>
    </row>
    <row r="64" spans="1:7" x14ac:dyDescent="0.35">
      <c r="A64">
        <v>125</v>
      </c>
      <c r="B64">
        <v>174</v>
      </c>
      <c r="C64" t="s">
        <v>86</v>
      </c>
      <c r="D64" s="6">
        <f>VLOOKUP(C64,CalcSheet!$P$3:$Q$9,2,FALSE)</f>
        <v>8.4000000000000005E-2</v>
      </c>
      <c r="E64">
        <v>0.52</v>
      </c>
      <c r="F64">
        <v>0.89712000000000014</v>
      </c>
      <c r="G64">
        <v>0.66518355029122322</v>
      </c>
    </row>
    <row r="65" spans="1:7" x14ac:dyDescent="0.35">
      <c r="A65">
        <v>133</v>
      </c>
      <c r="B65">
        <v>22</v>
      </c>
      <c r="C65" t="s">
        <v>80</v>
      </c>
      <c r="D65" s="6">
        <f>VLOOKUP(C65,CalcSheet!$P$3:$Q$9,2,FALSE)</f>
        <v>6.7199999999999996E-2</v>
      </c>
      <c r="E65">
        <v>0.52</v>
      </c>
      <c r="F65">
        <v>0.65586466165413526</v>
      </c>
      <c r="G65">
        <v>0.44492502796936828</v>
      </c>
    </row>
    <row r="66" spans="1:7" x14ac:dyDescent="0.35">
      <c r="A66">
        <v>133</v>
      </c>
      <c r="B66">
        <v>41</v>
      </c>
      <c r="C66" t="s">
        <v>81</v>
      </c>
      <c r="D66" s="6">
        <f>VLOOKUP(C66,CalcSheet!$P$3:$Q$9,2,FALSE)</f>
        <v>0.1429</v>
      </c>
      <c r="E66">
        <v>0.52</v>
      </c>
      <c r="F66">
        <v>0.66924812030075187</v>
      </c>
      <c r="G66">
        <v>0.52349323227245659</v>
      </c>
    </row>
    <row r="67" spans="1:7" x14ac:dyDescent="0.35">
      <c r="A67">
        <v>133</v>
      </c>
      <c r="B67">
        <v>66</v>
      </c>
      <c r="C67" t="s">
        <v>89</v>
      </c>
      <c r="D67" s="6">
        <f>VLOOKUP(C67,CalcSheet!$P$3:$Q$9,2,FALSE)</f>
        <v>0.1176</v>
      </c>
      <c r="E67">
        <v>0.52</v>
      </c>
      <c r="F67">
        <v>0.72097744360902227</v>
      </c>
      <c r="G67">
        <v>0.54376590712397632</v>
      </c>
    </row>
    <row r="68" spans="1:7" x14ac:dyDescent="0.35">
      <c r="A68">
        <v>133</v>
      </c>
      <c r="B68">
        <v>90</v>
      </c>
      <c r="C68" t="s">
        <v>83</v>
      </c>
      <c r="D68" s="6">
        <f>VLOOKUP(C68,CalcSheet!$P$3:$Q$9,2,FALSE)</f>
        <v>0.1176</v>
      </c>
      <c r="E68">
        <v>0.52</v>
      </c>
      <c r="F68">
        <v>0.76736842105263137</v>
      </c>
      <c r="G68">
        <v>0.59199565842473911</v>
      </c>
    </row>
    <row r="69" spans="1:7" x14ac:dyDescent="0.35">
      <c r="A69">
        <v>133</v>
      </c>
      <c r="B69">
        <v>122</v>
      </c>
      <c r="C69" t="s">
        <v>90</v>
      </c>
      <c r="D69" s="6">
        <f>VLOOKUP(C69,CalcSheet!$P$3:$Q$9,2,FALSE)</f>
        <v>0.23530000000000001</v>
      </c>
      <c r="E69">
        <v>0.52</v>
      </c>
      <c r="F69">
        <v>0.81037593984962397</v>
      </c>
      <c r="G69">
        <v>0.62722072532606665</v>
      </c>
    </row>
    <row r="70" spans="1:7" x14ac:dyDescent="0.35">
      <c r="A70">
        <v>133</v>
      </c>
      <c r="B70">
        <v>144</v>
      </c>
      <c r="C70" t="s">
        <v>85</v>
      </c>
      <c r="D70" s="6">
        <f>VLOOKUP(C70,CalcSheet!$P$3:$Q$9,2,FALSE)</f>
        <v>0.23530000000000001</v>
      </c>
      <c r="E70">
        <v>0.52</v>
      </c>
      <c r="F70">
        <v>0.78714285714285737</v>
      </c>
      <c r="G70">
        <v>0.60656752886751208</v>
      </c>
    </row>
    <row r="71" spans="1:7" x14ac:dyDescent="0.35">
      <c r="A71">
        <v>133</v>
      </c>
      <c r="B71">
        <v>174</v>
      </c>
      <c r="C71" t="s">
        <v>86</v>
      </c>
      <c r="D71" s="6">
        <f>VLOOKUP(C71,CalcSheet!$P$3:$Q$9,2,FALSE)</f>
        <v>8.4000000000000005E-2</v>
      </c>
      <c r="E71">
        <v>0.52</v>
      </c>
      <c r="F71">
        <v>0.85691729323308286</v>
      </c>
      <c r="G71">
        <v>0.64835587745905754</v>
      </c>
    </row>
    <row r="72" spans="1:7" x14ac:dyDescent="0.35">
      <c r="A72">
        <v>60</v>
      </c>
      <c r="B72">
        <v>27</v>
      </c>
      <c r="C72" t="s">
        <v>80</v>
      </c>
      <c r="D72" s="6">
        <f>VLOOKUP(C72,CalcSheet!$P$3:$Q$9,2,FALSE)</f>
        <v>6.7199999999999996E-2</v>
      </c>
      <c r="E72">
        <v>0.65</v>
      </c>
      <c r="F72">
        <v>0.98350000000000037</v>
      </c>
      <c r="G72">
        <v>0.37501321548972988</v>
      </c>
    </row>
    <row r="73" spans="1:7" x14ac:dyDescent="0.35">
      <c r="A73">
        <v>60</v>
      </c>
      <c r="B73">
        <v>51</v>
      </c>
      <c r="C73" t="s">
        <v>81</v>
      </c>
      <c r="D73" s="6">
        <f>VLOOKUP(C73,CalcSheet!$P$3:$Q$9,2,FALSE)</f>
        <v>0.1429</v>
      </c>
      <c r="E73">
        <v>0.65</v>
      </c>
      <c r="F73">
        <v>0.98933333333333351</v>
      </c>
      <c r="G73">
        <v>0.40702007426115344</v>
      </c>
    </row>
    <row r="74" spans="1:7" x14ac:dyDescent="0.35">
      <c r="A74">
        <v>60</v>
      </c>
      <c r="B74">
        <v>83</v>
      </c>
      <c r="C74" t="s">
        <v>89</v>
      </c>
      <c r="D74" s="6">
        <f>VLOOKUP(C74,CalcSheet!$P$3:$Q$9,2,FALSE)</f>
        <v>0.1176</v>
      </c>
      <c r="E74">
        <v>0.65</v>
      </c>
      <c r="F74">
        <v>0.98400000000000043</v>
      </c>
      <c r="G74">
        <v>0.53931721448587366</v>
      </c>
    </row>
    <row r="75" spans="1:7" x14ac:dyDescent="0.35">
      <c r="A75">
        <v>60</v>
      </c>
      <c r="B75">
        <v>113</v>
      </c>
      <c r="C75" t="s">
        <v>83</v>
      </c>
      <c r="D75" s="6">
        <f>VLOOKUP(C75,CalcSheet!$P$3:$Q$9,2,FALSE)</f>
        <v>0.1176</v>
      </c>
      <c r="E75">
        <v>0.65</v>
      </c>
      <c r="F75">
        <v>0.98483333333333323</v>
      </c>
      <c r="G75">
        <v>0.53102209292156399</v>
      </c>
    </row>
    <row r="76" spans="1:7" x14ac:dyDescent="0.35">
      <c r="A76">
        <v>60</v>
      </c>
      <c r="B76">
        <v>153</v>
      </c>
      <c r="C76" t="s">
        <v>90</v>
      </c>
      <c r="D76" s="6">
        <f>VLOOKUP(C76,CalcSheet!$P$3:$Q$9,2,FALSE)</f>
        <v>0.23530000000000001</v>
      </c>
      <c r="E76">
        <v>0.65</v>
      </c>
      <c r="F76">
        <v>0.99083333333333357</v>
      </c>
      <c r="G76">
        <v>0.57753311658497963</v>
      </c>
    </row>
    <row r="77" spans="1:7" x14ac:dyDescent="0.35">
      <c r="A77">
        <v>60</v>
      </c>
      <c r="B77">
        <v>180</v>
      </c>
      <c r="C77" t="s">
        <v>85</v>
      </c>
      <c r="D77" s="6">
        <f>VLOOKUP(C77,CalcSheet!$P$3:$Q$9,2,FALSE)</f>
        <v>0.23530000000000001</v>
      </c>
      <c r="E77">
        <v>0.65</v>
      </c>
      <c r="F77">
        <v>0.99400000000000022</v>
      </c>
      <c r="G77">
        <v>0.58063347144348043</v>
      </c>
    </row>
    <row r="78" spans="1:7" x14ac:dyDescent="0.35">
      <c r="A78">
        <v>60</v>
      </c>
      <c r="B78">
        <v>218</v>
      </c>
      <c r="C78" t="s">
        <v>86</v>
      </c>
      <c r="D78" s="6">
        <f>VLOOKUP(C78,CalcSheet!$P$3:$Q$9,2,FALSE)</f>
        <v>8.4000000000000005E-2</v>
      </c>
      <c r="E78">
        <v>0.65</v>
      </c>
      <c r="F78">
        <v>0.99916666666666676</v>
      </c>
      <c r="G78">
        <v>0.5958361581920909</v>
      </c>
    </row>
    <row r="79" spans="1:7" x14ac:dyDescent="0.35">
      <c r="A79">
        <v>72</v>
      </c>
      <c r="B79">
        <v>27</v>
      </c>
      <c r="C79" t="s">
        <v>80</v>
      </c>
      <c r="D79" s="6">
        <f>VLOOKUP(C79,CalcSheet!$P$3:$Q$9,2,FALSE)</f>
        <v>6.7199999999999996E-2</v>
      </c>
      <c r="E79">
        <v>0.65</v>
      </c>
      <c r="F79">
        <v>0.97347222222222296</v>
      </c>
      <c r="G79">
        <v>0.39932415327610049</v>
      </c>
    </row>
    <row r="80" spans="1:7" x14ac:dyDescent="0.35">
      <c r="A80">
        <v>72</v>
      </c>
      <c r="B80">
        <v>51</v>
      </c>
      <c r="C80" t="s">
        <v>81</v>
      </c>
      <c r="D80" s="6">
        <f>VLOOKUP(C80,CalcSheet!$P$3:$Q$9,2,FALSE)</f>
        <v>0.1429</v>
      </c>
      <c r="E80">
        <v>0.65</v>
      </c>
      <c r="F80">
        <v>0.99041666666666717</v>
      </c>
      <c r="G80">
        <v>0.4532911973784674</v>
      </c>
    </row>
    <row r="81" spans="1:7" x14ac:dyDescent="0.35">
      <c r="A81">
        <v>72</v>
      </c>
      <c r="B81">
        <v>83</v>
      </c>
      <c r="C81" t="s">
        <v>89</v>
      </c>
      <c r="D81" s="6">
        <f>VLOOKUP(C81,CalcSheet!$P$3:$Q$9,2,FALSE)</f>
        <v>0.1176</v>
      </c>
      <c r="E81">
        <v>0.65</v>
      </c>
      <c r="F81">
        <v>0.99097222222222248</v>
      </c>
      <c r="G81">
        <v>0.52465947689760695</v>
      </c>
    </row>
    <row r="82" spans="1:7" x14ac:dyDescent="0.35">
      <c r="A82">
        <v>72</v>
      </c>
      <c r="B82">
        <v>113</v>
      </c>
      <c r="C82" t="s">
        <v>83</v>
      </c>
      <c r="D82" s="6">
        <f>VLOOKUP(C82,CalcSheet!$P$3:$Q$9,2,FALSE)</f>
        <v>0.1176</v>
      </c>
      <c r="E82">
        <v>0.65</v>
      </c>
      <c r="F82">
        <v>0.99569444444444444</v>
      </c>
      <c r="G82">
        <v>0.56422009198913248</v>
      </c>
    </row>
    <row r="83" spans="1:7" x14ac:dyDescent="0.35">
      <c r="A83">
        <v>72</v>
      </c>
      <c r="B83">
        <v>153</v>
      </c>
      <c r="C83" t="s">
        <v>90</v>
      </c>
      <c r="D83" s="6">
        <f>VLOOKUP(C83,CalcSheet!$P$3:$Q$9,2,FALSE)</f>
        <v>0.23530000000000001</v>
      </c>
      <c r="E83">
        <v>0.65</v>
      </c>
      <c r="F83">
        <v>0.99583333333333324</v>
      </c>
      <c r="G83">
        <v>0.60887650221378853</v>
      </c>
    </row>
    <row r="84" spans="1:7" x14ac:dyDescent="0.35">
      <c r="A84">
        <v>72</v>
      </c>
      <c r="B84">
        <v>180</v>
      </c>
      <c r="C84" t="s">
        <v>85</v>
      </c>
      <c r="D84" s="6">
        <f>VLOOKUP(C84,CalcSheet!$P$3:$Q$9,2,FALSE)</f>
        <v>0.23530000000000001</v>
      </c>
      <c r="E84">
        <v>0.65</v>
      </c>
      <c r="F84">
        <v>0.99875000000000014</v>
      </c>
      <c r="G84">
        <v>0.5973755023748637</v>
      </c>
    </row>
    <row r="85" spans="1:7" x14ac:dyDescent="0.35">
      <c r="A85">
        <v>72</v>
      </c>
      <c r="B85">
        <v>218</v>
      </c>
      <c r="C85" t="s">
        <v>86</v>
      </c>
      <c r="D85" s="6">
        <f>VLOOKUP(C85,CalcSheet!$P$3:$Q$9,2,FALSE)</f>
        <v>8.4000000000000005E-2</v>
      </c>
      <c r="E85">
        <v>0.65</v>
      </c>
      <c r="F85">
        <v>0.99958333333333338</v>
      </c>
      <c r="G85">
        <v>0.61386473429951705</v>
      </c>
    </row>
    <row r="86" spans="1:7" x14ac:dyDescent="0.35">
      <c r="A86">
        <v>81</v>
      </c>
      <c r="B86">
        <v>27</v>
      </c>
      <c r="C86" t="s">
        <v>80</v>
      </c>
      <c r="D86" s="6">
        <f>VLOOKUP(C86,CalcSheet!$P$3:$Q$9,2,FALSE)</f>
        <v>6.7199999999999996E-2</v>
      </c>
      <c r="E86">
        <v>0.65</v>
      </c>
      <c r="F86">
        <v>0.85222222222222244</v>
      </c>
      <c r="G86">
        <v>0.3812963980260296</v>
      </c>
    </row>
    <row r="87" spans="1:7" x14ac:dyDescent="0.35">
      <c r="A87">
        <v>81</v>
      </c>
      <c r="B87">
        <v>51</v>
      </c>
      <c r="C87" t="s">
        <v>81</v>
      </c>
      <c r="D87" s="6">
        <f>VLOOKUP(C87,CalcSheet!$P$3:$Q$9,2,FALSE)</f>
        <v>0.1429</v>
      </c>
      <c r="E87">
        <v>0.65</v>
      </c>
      <c r="F87">
        <v>0.93123456790123438</v>
      </c>
      <c r="G87">
        <v>0.44610325375342536</v>
      </c>
    </row>
    <row r="88" spans="1:7" x14ac:dyDescent="0.35">
      <c r="A88">
        <v>81</v>
      </c>
      <c r="B88">
        <v>83</v>
      </c>
      <c r="C88" t="s">
        <v>89</v>
      </c>
      <c r="D88" s="6">
        <f>VLOOKUP(C88,CalcSheet!$P$3:$Q$9,2,FALSE)</f>
        <v>0.1176</v>
      </c>
      <c r="E88">
        <v>0.65</v>
      </c>
      <c r="F88">
        <v>0.94839506172839549</v>
      </c>
      <c r="G88">
        <v>0.473204695250727</v>
      </c>
    </row>
    <row r="89" spans="1:7" x14ac:dyDescent="0.35">
      <c r="A89">
        <v>81</v>
      </c>
      <c r="B89">
        <v>113</v>
      </c>
      <c r="C89" t="s">
        <v>83</v>
      </c>
      <c r="D89" s="6">
        <f>VLOOKUP(C89,CalcSheet!$P$3:$Q$9,2,FALSE)</f>
        <v>0.1176</v>
      </c>
      <c r="E89">
        <v>0.65</v>
      </c>
      <c r="F89">
        <v>0.96753086419753098</v>
      </c>
      <c r="G89">
        <v>0.49196384025699663</v>
      </c>
    </row>
    <row r="90" spans="1:7" x14ac:dyDescent="0.35">
      <c r="A90">
        <v>81</v>
      </c>
      <c r="B90">
        <v>153</v>
      </c>
      <c r="C90" t="s">
        <v>90</v>
      </c>
      <c r="D90" s="6">
        <f>VLOOKUP(C90,CalcSheet!$P$3:$Q$9,2,FALSE)</f>
        <v>0.23530000000000001</v>
      </c>
      <c r="E90">
        <v>0.65</v>
      </c>
      <c r="F90">
        <v>0.97827160493827181</v>
      </c>
      <c r="G90">
        <v>0.53580714616623049</v>
      </c>
    </row>
    <row r="91" spans="1:7" x14ac:dyDescent="0.35">
      <c r="A91">
        <v>81</v>
      </c>
      <c r="B91">
        <v>180</v>
      </c>
      <c r="C91" t="s">
        <v>85</v>
      </c>
      <c r="D91" s="6">
        <f>VLOOKUP(C91,CalcSheet!$P$3:$Q$9,2,FALSE)</f>
        <v>0.23530000000000001</v>
      </c>
      <c r="E91">
        <v>0.65</v>
      </c>
      <c r="F91">
        <v>0.9865432098765432</v>
      </c>
      <c r="G91">
        <v>0.54184240029757491</v>
      </c>
    </row>
    <row r="92" spans="1:7" x14ac:dyDescent="0.35">
      <c r="A92">
        <v>81</v>
      </c>
      <c r="B92">
        <v>218</v>
      </c>
      <c r="C92" t="s">
        <v>86</v>
      </c>
      <c r="D92" s="6">
        <f>VLOOKUP(C92,CalcSheet!$P$3:$Q$9,2,FALSE)</f>
        <v>8.4000000000000005E-2</v>
      </c>
      <c r="E92">
        <v>0.65</v>
      </c>
      <c r="F92">
        <v>0.99259259259259247</v>
      </c>
      <c r="G92">
        <v>0.55866150481414234</v>
      </c>
    </row>
    <row r="93" spans="1:7" x14ac:dyDescent="0.35">
      <c r="A93">
        <v>85</v>
      </c>
      <c r="B93">
        <v>27</v>
      </c>
      <c r="C93" t="s">
        <v>80</v>
      </c>
      <c r="D93" s="6">
        <f>VLOOKUP(C93,CalcSheet!$P$3:$Q$9,2,FALSE)</f>
        <v>6.7199999999999996E-2</v>
      </c>
      <c r="E93">
        <v>0.65</v>
      </c>
      <c r="F93">
        <v>0.82847058823529363</v>
      </c>
      <c r="G93">
        <v>0.44258927218185951</v>
      </c>
    </row>
    <row r="94" spans="1:7" x14ac:dyDescent="0.35">
      <c r="A94">
        <v>85</v>
      </c>
      <c r="B94">
        <v>51</v>
      </c>
      <c r="C94" t="s">
        <v>81</v>
      </c>
      <c r="D94" s="6">
        <f>VLOOKUP(C94,CalcSheet!$P$3:$Q$9,2,FALSE)</f>
        <v>0.1429</v>
      </c>
      <c r="E94">
        <v>0.65</v>
      </c>
      <c r="F94">
        <v>0.88776470588235212</v>
      </c>
      <c r="G94">
        <v>0.47163251552169894</v>
      </c>
    </row>
    <row r="95" spans="1:7" x14ac:dyDescent="0.35">
      <c r="A95">
        <v>85</v>
      </c>
      <c r="B95">
        <v>83</v>
      </c>
      <c r="C95" t="s">
        <v>89</v>
      </c>
      <c r="D95" s="6">
        <f>VLOOKUP(C95,CalcSheet!$P$3:$Q$9,2,FALSE)</f>
        <v>0.1176</v>
      </c>
      <c r="E95">
        <v>0.65</v>
      </c>
      <c r="F95">
        <v>0.93211764705882261</v>
      </c>
      <c r="G95">
        <v>0.51795641278040894</v>
      </c>
    </row>
    <row r="96" spans="1:7" x14ac:dyDescent="0.35">
      <c r="A96">
        <v>85</v>
      </c>
      <c r="B96">
        <v>113</v>
      </c>
      <c r="C96" t="s">
        <v>83</v>
      </c>
      <c r="D96" s="6">
        <f>VLOOKUP(C96,CalcSheet!$P$3:$Q$9,2,FALSE)</f>
        <v>0.1176</v>
      </c>
      <c r="E96">
        <v>0.65</v>
      </c>
      <c r="F96">
        <v>0.98141176470588165</v>
      </c>
      <c r="G96">
        <v>0.52954335979787048</v>
      </c>
    </row>
    <row r="97" spans="1:7" x14ac:dyDescent="0.35">
      <c r="A97">
        <v>85</v>
      </c>
      <c r="B97">
        <v>153</v>
      </c>
      <c r="C97" t="s">
        <v>90</v>
      </c>
      <c r="D97" s="6">
        <f>VLOOKUP(C97,CalcSheet!$P$3:$Q$9,2,FALSE)</f>
        <v>0.23530000000000001</v>
      </c>
      <c r="E97">
        <v>0.65</v>
      </c>
      <c r="F97">
        <v>0.98364705882352865</v>
      </c>
      <c r="G97">
        <v>0.55697393267569251</v>
      </c>
    </row>
    <row r="98" spans="1:7" x14ac:dyDescent="0.35">
      <c r="A98">
        <v>85</v>
      </c>
      <c r="B98">
        <v>180</v>
      </c>
      <c r="C98" t="s">
        <v>85</v>
      </c>
      <c r="D98" s="6">
        <f>VLOOKUP(C98,CalcSheet!$P$3:$Q$9,2,FALSE)</f>
        <v>0.23530000000000001</v>
      </c>
      <c r="E98">
        <v>0.65</v>
      </c>
      <c r="F98">
        <v>0.97211764705882275</v>
      </c>
      <c r="G98">
        <v>0.55223479574192824</v>
      </c>
    </row>
    <row r="99" spans="1:7" x14ac:dyDescent="0.35">
      <c r="A99">
        <v>85</v>
      </c>
      <c r="B99">
        <v>218</v>
      </c>
      <c r="C99" t="s">
        <v>86</v>
      </c>
      <c r="D99" s="6">
        <f>VLOOKUP(C99,CalcSheet!$P$3:$Q$9,2,FALSE)</f>
        <v>8.4000000000000005E-2</v>
      </c>
      <c r="E99">
        <v>0.65</v>
      </c>
      <c r="F99">
        <v>0.98894117647058766</v>
      </c>
      <c r="G99">
        <v>0.59685432771987301</v>
      </c>
    </row>
    <row r="100" spans="1:7" x14ac:dyDescent="0.35">
      <c r="A100">
        <v>89</v>
      </c>
      <c r="B100">
        <v>27</v>
      </c>
      <c r="C100" t="s">
        <v>80</v>
      </c>
      <c r="D100" s="6">
        <f>VLOOKUP(C100,CalcSheet!$P$3:$Q$9,2,FALSE)</f>
        <v>6.7199999999999996E-2</v>
      </c>
      <c r="E100">
        <v>0.65</v>
      </c>
      <c r="F100">
        <v>0.83382022471910089</v>
      </c>
      <c r="G100">
        <v>0.43764306752932319</v>
      </c>
    </row>
    <row r="101" spans="1:7" x14ac:dyDescent="0.35">
      <c r="A101">
        <v>89</v>
      </c>
      <c r="B101">
        <v>51</v>
      </c>
      <c r="C101" t="s">
        <v>81</v>
      </c>
      <c r="D101" s="6">
        <f>VLOOKUP(C101,CalcSheet!$P$3:$Q$9,2,FALSE)</f>
        <v>0.1429</v>
      </c>
      <c r="E101">
        <v>0.65</v>
      </c>
      <c r="F101">
        <v>0.864157303370787</v>
      </c>
      <c r="G101">
        <v>0.4780011456183636</v>
      </c>
    </row>
    <row r="102" spans="1:7" x14ac:dyDescent="0.35">
      <c r="A102">
        <v>89</v>
      </c>
      <c r="B102">
        <v>83</v>
      </c>
      <c r="C102" t="s">
        <v>89</v>
      </c>
      <c r="D102" s="6">
        <f>VLOOKUP(C102,CalcSheet!$P$3:$Q$9,2,FALSE)</f>
        <v>0.1176</v>
      </c>
      <c r="E102">
        <v>0.65</v>
      </c>
      <c r="F102">
        <v>0.92426966292134882</v>
      </c>
      <c r="G102">
        <v>0.53610202296624831</v>
      </c>
    </row>
    <row r="103" spans="1:7" x14ac:dyDescent="0.35">
      <c r="A103">
        <v>89</v>
      </c>
      <c r="B103">
        <v>113</v>
      </c>
      <c r="C103" t="s">
        <v>83</v>
      </c>
      <c r="D103" s="6">
        <f>VLOOKUP(C103,CalcSheet!$P$3:$Q$9,2,FALSE)</f>
        <v>0.1176</v>
      </c>
      <c r="E103">
        <v>0.65</v>
      </c>
      <c r="F103">
        <v>0.95662921348314667</v>
      </c>
      <c r="G103">
        <v>0.55827195711292465</v>
      </c>
    </row>
    <row r="104" spans="1:7" x14ac:dyDescent="0.35">
      <c r="A104">
        <v>89</v>
      </c>
      <c r="B104">
        <v>153</v>
      </c>
      <c r="C104" t="s">
        <v>90</v>
      </c>
      <c r="D104" s="6">
        <f>VLOOKUP(C104,CalcSheet!$P$3:$Q$9,2,FALSE)</f>
        <v>0.23530000000000001</v>
      </c>
      <c r="E104">
        <v>0.65</v>
      </c>
      <c r="F104">
        <v>0.98539325842696657</v>
      </c>
      <c r="G104">
        <v>0.58211351776522169</v>
      </c>
    </row>
    <row r="105" spans="1:7" x14ac:dyDescent="0.35">
      <c r="A105">
        <v>89</v>
      </c>
      <c r="B105">
        <v>180</v>
      </c>
      <c r="C105" t="s">
        <v>85</v>
      </c>
      <c r="D105" s="6">
        <f>VLOOKUP(C105,CalcSheet!$P$3:$Q$9,2,FALSE)</f>
        <v>0.23530000000000001</v>
      </c>
      <c r="E105">
        <v>0.65</v>
      </c>
      <c r="F105">
        <v>0.97775280898876471</v>
      </c>
      <c r="G105">
        <v>0.58159831845071219</v>
      </c>
    </row>
    <row r="106" spans="1:7" x14ac:dyDescent="0.35">
      <c r="A106">
        <v>89</v>
      </c>
      <c r="B106">
        <v>218</v>
      </c>
      <c r="C106" t="s">
        <v>86</v>
      </c>
      <c r="D106" s="6">
        <f>VLOOKUP(C106,CalcSheet!$P$3:$Q$9,2,FALSE)</f>
        <v>8.4000000000000005E-2</v>
      </c>
      <c r="E106">
        <v>0.65</v>
      </c>
      <c r="F106">
        <v>0.98977528089887667</v>
      </c>
      <c r="G106">
        <v>0.6111697109079065</v>
      </c>
    </row>
    <row r="107" spans="1:7" x14ac:dyDescent="0.35">
      <c r="A107">
        <v>100</v>
      </c>
      <c r="B107">
        <v>27</v>
      </c>
      <c r="C107" t="s">
        <v>80</v>
      </c>
      <c r="D107" s="6">
        <f>VLOOKUP(C107,CalcSheet!$P$3:$Q$9,2,FALSE)</f>
        <v>6.7199999999999996E-2</v>
      </c>
      <c r="E107">
        <v>0.65</v>
      </c>
      <c r="F107">
        <v>0.76059999999999983</v>
      </c>
      <c r="G107">
        <v>0.44332196154488313</v>
      </c>
    </row>
    <row r="108" spans="1:7" x14ac:dyDescent="0.35">
      <c r="A108">
        <v>100</v>
      </c>
      <c r="B108">
        <v>51</v>
      </c>
      <c r="C108" t="s">
        <v>81</v>
      </c>
      <c r="D108" s="6">
        <f>VLOOKUP(C108,CalcSheet!$P$3:$Q$9,2,FALSE)</f>
        <v>0.1429</v>
      </c>
      <c r="E108">
        <v>0.65</v>
      </c>
      <c r="F108">
        <v>0.78069999999999995</v>
      </c>
      <c r="G108">
        <v>0.48100996928278356</v>
      </c>
    </row>
    <row r="109" spans="1:7" x14ac:dyDescent="0.35">
      <c r="A109">
        <v>100</v>
      </c>
      <c r="B109">
        <v>83</v>
      </c>
      <c r="C109" t="s">
        <v>89</v>
      </c>
      <c r="D109" s="6">
        <f>VLOOKUP(C109,CalcSheet!$P$3:$Q$9,2,FALSE)</f>
        <v>0.1176</v>
      </c>
      <c r="E109">
        <v>0.65</v>
      </c>
      <c r="F109">
        <v>0.81119999999999981</v>
      </c>
      <c r="G109">
        <v>0.5185446019953327</v>
      </c>
    </row>
    <row r="110" spans="1:7" x14ac:dyDescent="0.35">
      <c r="A110">
        <v>100</v>
      </c>
      <c r="B110">
        <v>113</v>
      </c>
      <c r="C110" t="s">
        <v>83</v>
      </c>
      <c r="D110" s="6">
        <f>VLOOKUP(C110,CalcSheet!$P$3:$Q$9,2,FALSE)</f>
        <v>0.1176</v>
      </c>
      <c r="E110">
        <v>0.65</v>
      </c>
      <c r="F110">
        <v>0.92390000000000028</v>
      </c>
      <c r="G110">
        <v>0.56331714217019135</v>
      </c>
    </row>
    <row r="111" spans="1:7" x14ac:dyDescent="0.35">
      <c r="A111">
        <v>100</v>
      </c>
      <c r="B111">
        <v>153</v>
      </c>
      <c r="C111" t="s">
        <v>90</v>
      </c>
      <c r="D111" s="6">
        <f>VLOOKUP(C111,CalcSheet!$P$3:$Q$9,2,FALSE)</f>
        <v>0.23530000000000001</v>
      </c>
      <c r="E111">
        <v>0.65</v>
      </c>
      <c r="F111">
        <v>0.97189999999999943</v>
      </c>
      <c r="G111">
        <v>0.59317383094748888</v>
      </c>
    </row>
    <row r="112" spans="1:7" x14ac:dyDescent="0.35">
      <c r="A112">
        <v>100</v>
      </c>
      <c r="B112">
        <v>180</v>
      </c>
      <c r="C112" t="s">
        <v>85</v>
      </c>
      <c r="D112" s="6">
        <f>VLOOKUP(C112,CalcSheet!$P$3:$Q$9,2,FALSE)</f>
        <v>0.23530000000000001</v>
      </c>
      <c r="E112">
        <v>0.65</v>
      </c>
      <c r="F112">
        <v>0.94370000000000009</v>
      </c>
      <c r="G112">
        <v>0.56304688149523263</v>
      </c>
    </row>
    <row r="113" spans="1:7" x14ac:dyDescent="0.35">
      <c r="A113">
        <v>100</v>
      </c>
      <c r="B113">
        <v>218</v>
      </c>
      <c r="C113" t="s">
        <v>86</v>
      </c>
      <c r="D113" s="6">
        <f>VLOOKUP(C113,CalcSheet!$P$3:$Q$9,2,FALSE)</f>
        <v>8.4000000000000005E-2</v>
      </c>
      <c r="E113">
        <v>0.65</v>
      </c>
      <c r="F113">
        <v>0.98729999999999984</v>
      </c>
      <c r="G113">
        <v>0.6310598615088856</v>
      </c>
    </row>
    <row r="114" spans="1:7" x14ac:dyDescent="0.35">
      <c r="A114">
        <v>106</v>
      </c>
      <c r="B114">
        <v>27</v>
      </c>
      <c r="C114" t="s">
        <v>80</v>
      </c>
      <c r="D114" s="6">
        <f>VLOOKUP(C114,CalcSheet!$P$3:$Q$9,2,FALSE)</f>
        <v>6.7199999999999996E-2</v>
      </c>
      <c r="E114">
        <v>0.65</v>
      </c>
      <c r="F114">
        <v>0.74716981132075455</v>
      </c>
      <c r="G114">
        <v>0.42610506895525602</v>
      </c>
    </row>
    <row r="115" spans="1:7" x14ac:dyDescent="0.35">
      <c r="A115">
        <v>106</v>
      </c>
      <c r="B115">
        <v>51</v>
      </c>
      <c r="C115" t="s">
        <v>81</v>
      </c>
      <c r="D115" s="6">
        <f>VLOOKUP(C115,CalcSheet!$P$3:$Q$9,2,FALSE)</f>
        <v>0.1429</v>
      </c>
      <c r="E115">
        <v>0.65</v>
      </c>
      <c r="F115">
        <v>0.76471698113207542</v>
      </c>
      <c r="G115">
        <v>0.49555008228953257</v>
      </c>
    </row>
    <row r="116" spans="1:7" x14ac:dyDescent="0.35">
      <c r="A116">
        <v>106</v>
      </c>
      <c r="B116">
        <v>83</v>
      </c>
      <c r="C116" t="s">
        <v>89</v>
      </c>
      <c r="D116" s="6">
        <f>VLOOKUP(C116,CalcSheet!$P$3:$Q$9,2,FALSE)</f>
        <v>0.1176</v>
      </c>
      <c r="E116">
        <v>0.65</v>
      </c>
      <c r="F116">
        <v>0.77971698113207566</v>
      </c>
      <c r="G116">
        <v>0.56984074406827656</v>
      </c>
    </row>
    <row r="117" spans="1:7" x14ac:dyDescent="0.35">
      <c r="A117">
        <v>106</v>
      </c>
      <c r="B117">
        <v>113</v>
      </c>
      <c r="C117" t="s">
        <v>83</v>
      </c>
      <c r="D117" s="6">
        <f>VLOOKUP(C117,CalcSheet!$P$3:$Q$9,2,FALSE)</f>
        <v>0.1176</v>
      </c>
      <c r="E117">
        <v>0.65</v>
      </c>
      <c r="F117">
        <v>0.85254716981132073</v>
      </c>
      <c r="G117">
        <v>0.60449028618122225</v>
      </c>
    </row>
    <row r="118" spans="1:7" x14ac:dyDescent="0.35">
      <c r="A118">
        <v>106</v>
      </c>
      <c r="B118">
        <v>153</v>
      </c>
      <c r="C118" t="s">
        <v>90</v>
      </c>
      <c r="D118" s="6">
        <f>VLOOKUP(C118,CalcSheet!$P$3:$Q$9,2,FALSE)</f>
        <v>0.23530000000000001</v>
      </c>
      <c r="E118">
        <v>0.65</v>
      </c>
      <c r="F118">
        <v>0.87820754716981131</v>
      </c>
      <c r="G118">
        <v>0.61284896778054576</v>
      </c>
    </row>
    <row r="119" spans="1:7" x14ac:dyDescent="0.35">
      <c r="A119">
        <v>106</v>
      </c>
      <c r="B119">
        <v>180</v>
      </c>
      <c r="C119" t="s">
        <v>85</v>
      </c>
      <c r="D119" s="6">
        <f>VLOOKUP(C119,CalcSheet!$P$3:$Q$9,2,FALSE)</f>
        <v>0.23530000000000001</v>
      </c>
      <c r="E119">
        <v>0.65</v>
      </c>
      <c r="F119">
        <v>0.89981132075471693</v>
      </c>
      <c r="G119">
        <v>0.62710140585457541</v>
      </c>
    </row>
    <row r="120" spans="1:7" x14ac:dyDescent="0.35">
      <c r="A120">
        <v>106</v>
      </c>
      <c r="B120">
        <v>218</v>
      </c>
      <c r="C120" t="s">
        <v>86</v>
      </c>
      <c r="D120" s="6">
        <f>VLOOKUP(C120,CalcSheet!$P$3:$Q$9,2,FALSE)</f>
        <v>8.4000000000000005E-2</v>
      </c>
      <c r="E120">
        <v>0.65</v>
      </c>
      <c r="F120">
        <v>0.96188679245283015</v>
      </c>
      <c r="G120">
        <v>0.62812491671488546</v>
      </c>
    </row>
    <row r="121" spans="1:7" x14ac:dyDescent="0.35">
      <c r="A121">
        <v>117</v>
      </c>
      <c r="B121">
        <v>27</v>
      </c>
      <c r="C121" t="s">
        <v>80</v>
      </c>
      <c r="D121" s="6">
        <f>VLOOKUP(C121,CalcSheet!$P$3:$Q$9,2,FALSE)</f>
        <v>6.7199999999999996E-2</v>
      </c>
      <c r="E121">
        <v>0.65</v>
      </c>
      <c r="F121">
        <v>0.78145299145299119</v>
      </c>
      <c r="G121">
        <v>0.4716908412863639</v>
      </c>
    </row>
    <row r="122" spans="1:7" x14ac:dyDescent="0.35">
      <c r="A122">
        <v>117</v>
      </c>
      <c r="B122">
        <v>51</v>
      </c>
      <c r="C122" t="s">
        <v>81</v>
      </c>
      <c r="D122" s="6">
        <f>VLOOKUP(C122,CalcSheet!$P$3:$Q$9,2,FALSE)</f>
        <v>0.1429</v>
      </c>
      <c r="E122">
        <v>0.65</v>
      </c>
      <c r="F122">
        <v>0.83427350427350377</v>
      </c>
      <c r="G122">
        <v>0.51496149129275748</v>
      </c>
    </row>
    <row r="123" spans="1:7" x14ac:dyDescent="0.35">
      <c r="A123">
        <v>117</v>
      </c>
      <c r="B123">
        <v>83</v>
      </c>
      <c r="C123" t="s">
        <v>89</v>
      </c>
      <c r="D123" s="6">
        <f>VLOOKUP(C123,CalcSheet!$P$3:$Q$9,2,FALSE)</f>
        <v>0.1176</v>
      </c>
      <c r="E123">
        <v>0.65</v>
      </c>
      <c r="F123">
        <v>0.85102564102564049</v>
      </c>
      <c r="G123">
        <v>0.55023672310435467</v>
      </c>
    </row>
    <row r="124" spans="1:7" x14ac:dyDescent="0.35">
      <c r="A124">
        <v>117</v>
      </c>
      <c r="B124">
        <v>113</v>
      </c>
      <c r="C124" t="s">
        <v>83</v>
      </c>
      <c r="D124" s="6">
        <f>VLOOKUP(C124,CalcSheet!$P$3:$Q$9,2,FALSE)</f>
        <v>0.1176</v>
      </c>
      <c r="E124">
        <v>0.65</v>
      </c>
      <c r="F124">
        <v>0.90837606837606744</v>
      </c>
      <c r="G124">
        <v>0.58208528423083106</v>
      </c>
    </row>
    <row r="125" spans="1:7" x14ac:dyDescent="0.35">
      <c r="A125">
        <v>117</v>
      </c>
      <c r="B125">
        <v>153</v>
      </c>
      <c r="C125" t="s">
        <v>90</v>
      </c>
      <c r="D125" s="6">
        <f>VLOOKUP(C125,CalcSheet!$P$3:$Q$9,2,FALSE)</f>
        <v>0.23530000000000001</v>
      </c>
      <c r="E125">
        <v>0.65</v>
      </c>
      <c r="F125">
        <v>0.92598290598290522</v>
      </c>
      <c r="G125">
        <v>0.58398136803214173</v>
      </c>
    </row>
    <row r="126" spans="1:7" x14ac:dyDescent="0.35">
      <c r="A126">
        <v>117</v>
      </c>
      <c r="B126">
        <v>180</v>
      </c>
      <c r="C126" t="s">
        <v>85</v>
      </c>
      <c r="D126" s="6">
        <f>VLOOKUP(C126,CalcSheet!$P$3:$Q$9,2,FALSE)</f>
        <v>0.23530000000000001</v>
      </c>
      <c r="E126">
        <v>0.65</v>
      </c>
      <c r="F126">
        <v>0.96931623931623845</v>
      </c>
      <c r="G126">
        <v>0.63622784884086292</v>
      </c>
    </row>
    <row r="127" spans="1:7" x14ac:dyDescent="0.35">
      <c r="A127">
        <v>117</v>
      </c>
      <c r="B127">
        <v>218</v>
      </c>
      <c r="C127" t="s">
        <v>86</v>
      </c>
      <c r="D127" s="6">
        <f>VLOOKUP(C127,CalcSheet!$P$3:$Q$9,2,FALSE)</f>
        <v>8.4000000000000005E-2</v>
      </c>
      <c r="E127">
        <v>0.65</v>
      </c>
      <c r="F127">
        <v>0.9747863247863241</v>
      </c>
      <c r="G127">
        <v>0.65893472918903095</v>
      </c>
    </row>
    <row r="128" spans="1:7" x14ac:dyDescent="0.35">
      <c r="A128">
        <v>125</v>
      </c>
      <c r="B128">
        <v>27</v>
      </c>
      <c r="C128" t="s">
        <v>80</v>
      </c>
      <c r="D128" s="6">
        <f>VLOOKUP(C128,CalcSheet!$P$3:$Q$9,2,FALSE)</f>
        <v>6.7199999999999996E-2</v>
      </c>
      <c r="E128">
        <v>0.65</v>
      </c>
      <c r="F128">
        <v>0.64191999999999994</v>
      </c>
      <c r="G128">
        <v>0.45231588380624949</v>
      </c>
    </row>
    <row r="129" spans="1:7" x14ac:dyDescent="0.35">
      <c r="A129">
        <v>125</v>
      </c>
      <c r="B129">
        <v>51</v>
      </c>
      <c r="C129" t="s">
        <v>81</v>
      </c>
      <c r="D129" s="6">
        <f>VLOOKUP(C129,CalcSheet!$P$3:$Q$9,2,FALSE)</f>
        <v>0.1429</v>
      </c>
      <c r="E129">
        <v>0.65</v>
      </c>
      <c r="F129">
        <v>0.71408000000000016</v>
      </c>
      <c r="G129">
        <v>0.52249475258071287</v>
      </c>
    </row>
    <row r="130" spans="1:7" x14ac:dyDescent="0.35">
      <c r="A130">
        <v>125</v>
      </c>
      <c r="B130">
        <v>83</v>
      </c>
      <c r="C130" t="s">
        <v>89</v>
      </c>
      <c r="D130" s="6">
        <f>VLOOKUP(C130,CalcSheet!$P$3:$Q$9,2,FALSE)</f>
        <v>0.1176</v>
      </c>
      <c r="E130">
        <v>0.65</v>
      </c>
      <c r="F130">
        <v>0.74280000000000035</v>
      </c>
      <c r="G130">
        <v>0.57650201382760791</v>
      </c>
    </row>
    <row r="131" spans="1:7" x14ac:dyDescent="0.35">
      <c r="A131">
        <v>125</v>
      </c>
      <c r="B131">
        <v>113</v>
      </c>
      <c r="C131" t="s">
        <v>83</v>
      </c>
      <c r="D131" s="6">
        <f>VLOOKUP(C131,CalcSheet!$P$3:$Q$9,2,FALSE)</f>
        <v>0.1176</v>
      </c>
      <c r="E131">
        <v>0.65</v>
      </c>
      <c r="F131">
        <v>0.79752000000000023</v>
      </c>
      <c r="G131">
        <v>0.62187731067349195</v>
      </c>
    </row>
    <row r="132" spans="1:7" x14ac:dyDescent="0.35">
      <c r="A132">
        <v>125</v>
      </c>
      <c r="B132">
        <v>153</v>
      </c>
      <c r="C132" t="s">
        <v>90</v>
      </c>
      <c r="D132" s="6">
        <f>VLOOKUP(C132,CalcSheet!$P$3:$Q$9,2,FALSE)</f>
        <v>0.23530000000000001</v>
      </c>
      <c r="E132">
        <v>0.65</v>
      </c>
      <c r="F132">
        <v>0.85744000000000042</v>
      </c>
      <c r="G132">
        <v>0.63300984642768177</v>
      </c>
    </row>
    <row r="133" spans="1:7" x14ac:dyDescent="0.35">
      <c r="A133">
        <v>125</v>
      </c>
      <c r="B133">
        <v>180</v>
      </c>
      <c r="C133" t="s">
        <v>85</v>
      </c>
      <c r="D133" s="6">
        <f>VLOOKUP(C133,CalcSheet!$P$3:$Q$9,2,FALSE)</f>
        <v>0.23530000000000001</v>
      </c>
      <c r="E133">
        <v>0.65</v>
      </c>
      <c r="F133">
        <v>0.87520000000000053</v>
      </c>
      <c r="G133">
        <v>0.65423734451745919</v>
      </c>
    </row>
    <row r="134" spans="1:7" x14ac:dyDescent="0.35">
      <c r="A134">
        <v>125</v>
      </c>
      <c r="B134">
        <v>218</v>
      </c>
      <c r="C134" t="s">
        <v>86</v>
      </c>
      <c r="D134" s="6">
        <f>VLOOKUP(C134,CalcSheet!$P$3:$Q$9,2,FALSE)</f>
        <v>8.4000000000000005E-2</v>
      </c>
      <c r="E134">
        <v>0.65</v>
      </c>
      <c r="F134">
        <v>0.9090400000000004</v>
      </c>
      <c r="G134">
        <v>0.66582217108027453</v>
      </c>
    </row>
    <row r="135" spans="1:7" x14ac:dyDescent="0.35">
      <c r="A135">
        <v>133</v>
      </c>
      <c r="B135">
        <v>27</v>
      </c>
      <c r="C135" t="s">
        <v>80</v>
      </c>
      <c r="D135" s="6">
        <f>VLOOKUP(C135,CalcSheet!$P$3:$Q$9,2,FALSE)</f>
        <v>6.7199999999999996E-2</v>
      </c>
      <c r="E135">
        <v>0.65</v>
      </c>
      <c r="F135">
        <v>0.66714285714285704</v>
      </c>
      <c r="G135">
        <v>0.46301026521291055</v>
      </c>
    </row>
    <row r="136" spans="1:7" x14ac:dyDescent="0.35">
      <c r="A136">
        <v>133</v>
      </c>
      <c r="B136">
        <v>51</v>
      </c>
      <c r="C136" t="s">
        <v>81</v>
      </c>
      <c r="D136" s="6">
        <f>VLOOKUP(C136,CalcSheet!$P$3:$Q$9,2,FALSE)</f>
        <v>0.1429</v>
      </c>
      <c r="E136">
        <v>0.65</v>
      </c>
      <c r="F136">
        <v>0.7159398496240601</v>
      </c>
      <c r="G136">
        <v>0.54993337353155403</v>
      </c>
    </row>
    <row r="137" spans="1:7" x14ac:dyDescent="0.35">
      <c r="A137">
        <v>133</v>
      </c>
      <c r="B137">
        <v>83</v>
      </c>
      <c r="C137" t="s">
        <v>89</v>
      </c>
      <c r="D137" s="6">
        <f>VLOOKUP(C137,CalcSheet!$P$3:$Q$9,2,FALSE)</f>
        <v>0.1176</v>
      </c>
      <c r="E137">
        <v>0.65</v>
      </c>
      <c r="F137">
        <v>0.76947368421052631</v>
      </c>
      <c r="G137">
        <v>0.59680968150951619</v>
      </c>
    </row>
    <row r="138" spans="1:7" x14ac:dyDescent="0.35">
      <c r="A138">
        <v>133</v>
      </c>
      <c r="B138">
        <v>113</v>
      </c>
      <c r="C138" t="s">
        <v>83</v>
      </c>
      <c r="D138" s="6">
        <f>VLOOKUP(C138,CalcSheet!$P$3:$Q$9,2,FALSE)</f>
        <v>0.1176</v>
      </c>
      <c r="E138">
        <v>0.65</v>
      </c>
      <c r="F138">
        <v>0.78097744360902255</v>
      </c>
      <c r="G138">
        <v>0.61225168328616497</v>
      </c>
    </row>
    <row r="139" spans="1:7" x14ac:dyDescent="0.35">
      <c r="A139">
        <v>133</v>
      </c>
      <c r="B139">
        <v>153</v>
      </c>
      <c r="C139" t="s">
        <v>90</v>
      </c>
      <c r="D139" s="6">
        <f>VLOOKUP(C139,CalcSheet!$P$3:$Q$9,2,FALSE)</f>
        <v>0.23530000000000001</v>
      </c>
      <c r="E139">
        <v>0.65</v>
      </c>
      <c r="F139">
        <v>0.84533834586466172</v>
      </c>
      <c r="G139">
        <v>0.62036269954167855</v>
      </c>
    </row>
    <row r="140" spans="1:7" x14ac:dyDescent="0.35">
      <c r="A140">
        <v>133</v>
      </c>
      <c r="B140">
        <v>180</v>
      </c>
      <c r="C140" t="s">
        <v>85</v>
      </c>
      <c r="D140" s="6">
        <f>VLOOKUP(C140,CalcSheet!$P$3:$Q$9,2,FALSE)</f>
        <v>0.23530000000000001</v>
      </c>
      <c r="E140">
        <v>0.65</v>
      </c>
      <c r="F140">
        <v>0.87578947368421067</v>
      </c>
      <c r="G140">
        <v>0.64887525305640581</v>
      </c>
    </row>
    <row r="141" spans="1:7" x14ac:dyDescent="0.35">
      <c r="A141">
        <v>133</v>
      </c>
      <c r="B141">
        <v>218</v>
      </c>
      <c r="C141" t="s">
        <v>86</v>
      </c>
      <c r="D141" s="6">
        <f>VLOOKUP(C141,CalcSheet!$P$3:$Q$9,2,FALSE)</f>
        <v>8.4000000000000005E-2</v>
      </c>
      <c r="E141">
        <v>0.65</v>
      </c>
      <c r="F141">
        <v>0.90526315789473732</v>
      </c>
      <c r="G141">
        <v>0.66946325089507441</v>
      </c>
    </row>
    <row r="142" spans="1:7" x14ac:dyDescent="0.35">
      <c r="A142">
        <v>60</v>
      </c>
      <c r="B142">
        <v>38</v>
      </c>
      <c r="C142" t="s">
        <v>80</v>
      </c>
      <c r="D142" s="6">
        <f>VLOOKUP(C142,CalcSheet!$P$3:$Q$9,2,FALSE)</f>
        <v>6.7199999999999996E-2</v>
      </c>
      <c r="E142">
        <v>0.91</v>
      </c>
      <c r="F142">
        <v>0.98200000000000065</v>
      </c>
      <c r="G142">
        <v>0.37306355881199338</v>
      </c>
    </row>
    <row r="143" spans="1:7" x14ac:dyDescent="0.35">
      <c r="A143">
        <v>60</v>
      </c>
      <c r="B143">
        <v>72</v>
      </c>
      <c r="C143" t="s">
        <v>81</v>
      </c>
      <c r="D143" s="6">
        <f>VLOOKUP(C143,CalcSheet!$P$3:$Q$9,2,FALSE)</f>
        <v>0.1429</v>
      </c>
      <c r="E143">
        <v>0.91</v>
      </c>
      <c r="F143">
        <v>0.98566666666666691</v>
      </c>
      <c r="G143">
        <v>0.48087593245403837</v>
      </c>
    </row>
    <row r="144" spans="1:7" x14ac:dyDescent="0.35">
      <c r="A144">
        <v>60</v>
      </c>
      <c r="B144">
        <v>116</v>
      </c>
      <c r="C144" t="s">
        <v>89</v>
      </c>
      <c r="D144" s="6">
        <f>VLOOKUP(C144,CalcSheet!$P$3:$Q$9,2,FALSE)</f>
        <v>0.1176</v>
      </c>
      <c r="E144">
        <v>0.91</v>
      </c>
      <c r="F144">
        <v>0.99400000000000022</v>
      </c>
      <c r="G144">
        <v>0.50154193710459671</v>
      </c>
    </row>
    <row r="145" spans="1:7" x14ac:dyDescent="0.35">
      <c r="A145">
        <v>60</v>
      </c>
      <c r="B145">
        <v>158</v>
      </c>
      <c r="C145" t="s">
        <v>83</v>
      </c>
      <c r="D145" s="6">
        <f>VLOOKUP(C145,CalcSheet!$P$3:$Q$9,2,FALSE)</f>
        <v>0.1176</v>
      </c>
      <c r="E145">
        <v>0.91</v>
      </c>
      <c r="F145">
        <v>0.99416666666666675</v>
      </c>
      <c r="G145">
        <v>0.59311862360060463</v>
      </c>
    </row>
    <row r="146" spans="1:7" x14ac:dyDescent="0.35">
      <c r="A146">
        <v>60</v>
      </c>
      <c r="B146">
        <v>214</v>
      </c>
      <c r="C146" t="s">
        <v>90</v>
      </c>
      <c r="D146" s="6">
        <f>VLOOKUP(C146,CalcSheet!$P$3:$Q$9,2,FALSE)</f>
        <v>0.23530000000000001</v>
      </c>
      <c r="E146">
        <v>0.91</v>
      </c>
      <c r="F146">
        <v>0.99850000000000005</v>
      </c>
      <c r="G146">
        <v>0.63192081899664376</v>
      </c>
    </row>
    <row r="147" spans="1:7" x14ac:dyDescent="0.35">
      <c r="A147">
        <v>60</v>
      </c>
      <c r="B147">
        <v>251</v>
      </c>
      <c r="C147" t="s">
        <v>85</v>
      </c>
      <c r="D147" s="6">
        <f>VLOOKUP(C147,CalcSheet!$P$3:$Q$9,2,FALSE)</f>
        <v>0.23530000000000001</v>
      </c>
      <c r="E147">
        <v>0.91</v>
      </c>
      <c r="F147">
        <v>0.99983333333333335</v>
      </c>
      <c r="G147">
        <v>0.66444350282485809</v>
      </c>
    </row>
    <row r="148" spans="1:7" x14ac:dyDescent="0.35">
      <c r="A148">
        <v>60</v>
      </c>
      <c r="B148">
        <v>305</v>
      </c>
      <c r="C148" t="s">
        <v>86</v>
      </c>
      <c r="D148" s="6">
        <f>VLOOKUP(C148,CalcSheet!$P$3:$Q$9,2,FALSE)</f>
        <v>8.4000000000000005E-2</v>
      </c>
      <c r="E148">
        <v>0.91</v>
      </c>
      <c r="F148">
        <v>0.99950000000000006</v>
      </c>
      <c r="G148">
        <v>0.64731638418079041</v>
      </c>
    </row>
    <row r="149" spans="1:7" x14ac:dyDescent="0.35">
      <c r="A149">
        <v>72</v>
      </c>
      <c r="B149">
        <v>38</v>
      </c>
      <c r="C149" t="s">
        <v>80</v>
      </c>
      <c r="D149" s="6">
        <f>VLOOKUP(C149,CalcSheet!$P$3:$Q$9,2,FALSE)</f>
        <v>6.7199999999999996E-2</v>
      </c>
      <c r="E149">
        <v>0.91</v>
      </c>
      <c r="F149">
        <v>0.97888888888888947</v>
      </c>
      <c r="G149">
        <v>0.41669600918796007</v>
      </c>
    </row>
    <row r="150" spans="1:7" x14ac:dyDescent="0.35">
      <c r="A150">
        <v>72</v>
      </c>
      <c r="B150">
        <v>72</v>
      </c>
      <c r="C150" t="s">
        <v>81</v>
      </c>
      <c r="D150" s="6">
        <f>VLOOKUP(C150,CalcSheet!$P$3:$Q$9,2,FALSE)</f>
        <v>0.1429</v>
      </c>
      <c r="E150">
        <v>0.91</v>
      </c>
      <c r="F150">
        <v>0.9869444444444444</v>
      </c>
      <c r="G150">
        <v>0.49398835852059153</v>
      </c>
    </row>
    <row r="151" spans="1:7" x14ac:dyDescent="0.35">
      <c r="A151">
        <v>72</v>
      </c>
      <c r="B151">
        <v>116</v>
      </c>
      <c r="C151" t="s">
        <v>89</v>
      </c>
      <c r="D151" s="6">
        <f>VLOOKUP(C151,CalcSheet!$P$3:$Q$9,2,FALSE)</f>
        <v>0.1176</v>
      </c>
      <c r="E151">
        <v>0.91</v>
      </c>
      <c r="F151">
        <v>0.99763888888888896</v>
      </c>
      <c r="G151">
        <v>0.56072304095767622</v>
      </c>
    </row>
    <row r="152" spans="1:7" x14ac:dyDescent="0.35">
      <c r="A152">
        <v>72</v>
      </c>
      <c r="B152">
        <v>158</v>
      </c>
      <c r="C152" t="s">
        <v>83</v>
      </c>
      <c r="D152" s="6">
        <f>VLOOKUP(C152,CalcSheet!$P$3:$Q$9,2,FALSE)</f>
        <v>0.1176</v>
      </c>
      <c r="E152">
        <v>0.91</v>
      </c>
      <c r="F152">
        <v>0.99597222222222215</v>
      </c>
      <c r="G152">
        <v>0.63664309241483164</v>
      </c>
    </row>
    <row r="153" spans="1:7" x14ac:dyDescent="0.35">
      <c r="A153">
        <v>72</v>
      </c>
      <c r="B153">
        <v>214</v>
      </c>
      <c r="C153" t="s">
        <v>90</v>
      </c>
      <c r="D153" s="6">
        <f>VLOOKUP(C153,CalcSheet!$P$3:$Q$9,2,FALSE)</f>
        <v>0.23530000000000001</v>
      </c>
      <c r="E153">
        <v>0.91</v>
      </c>
      <c r="F153">
        <v>0.99958333333333327</v>
      </c>
      <c r="G153">
        <v>0.60844806763285064</v>
      </c>
    </row>
    <row r="154" spans="1:7" x14ac:dyDescent="0.35">
      <c r="A154">
        <v>72</v>
      </c>
      <c r="B154">
        <v>251</v>
      </c>
      <c r="C154" t="s">
        <v>85</v>
      </c>
      <c r="D154" s="6">
        <f>VLOOKUP(C154,CalcSheet!$P$3:$Q$9,2,FALSE)</f>
        <v>0.23530000000000001</v>
      </c>
      <c r="E154">
        <v>0.91</v>
      </c>
      <c r="F154">
        <v>0.99972222222222229</v>
      </c>
      <c r="G154">
        <v>0.63294841269841218</v>
      </c>
    </row>
    <row r="155" spans="1:7" x14ac:dyDescent="0.35">
      <c r="A155">
        <v>72</v>
      </c>
      <c r="B155">
        <v>305</v>
      </c>
      <c r="C155" t="s">
        <v>86</v>
      </c>
      <c r="D155" s="6">
        <f>VLOOKUP(C155,CalcSheet!$P$3:$Q$9,2,FALSE)</f>
        <v>8.4000000000000005E-2</v>
      </c>
      <c r="E155">
        <v>0.91</v>
      </c>
      <c r="F155">
        <v>1</v>
      </c>
      <c r="G155">
        <v>0.69430555555555529</v>
      </c>
    </row>
    <row r="156" spans="1:7" x14ac:dyDescent="0.35">
      <c r="A156">
        <v>81</v>
      </c>
      <c r="B156">
        <v>38</v>
      </c>
      <c r="C156" t="s">
        <v>80</v>
      </c>
      <c r="D156" s="6">
        <f>VLOOKUP(C156,CalcSheet!$P$3:$Q$9,2,FALSE)</f>
        <v>6.7199999999999996E-2</v>
      </c>
      <c r="E156">
        <v>0.91</v>
      </c>
      <c r="F156">
        <v>0.89716049382716068</v>
      </c>
      <c r="G156">
        <v>0.42250834022132672</v>
      </c>
    </row>
    <row r="157" spans="1:7" x14ac:dyDescent="0.35">
      <c r="A157">
        <v>81</v>
      </c>
      <c r="B157">
        <v>72</v>
      </c>
      <c r="C157" t="s">
        <v>81</v>
      </c>
      <c r="D157" s="6">
        <f>VLOOKUP(C157,CalcSheet!$P$3:$Q$9,2,FALSE)</f>
        <v>0.1429</v>
      </c>
      <c r="E157">
        <v>0.91</v>
      </c>
      <c r="F157">
        <v>0.94432098765432082</v>
      </c>
      <c r="G157">
        <v>0.46600729802406904</v>
      </c>
    </row>
    <row r="158" spans="1:7" x14ac:dyDescent="0.35">
      <c r="A158">
        <v>81</v>
      </c>
      <c r="B158">
        <v>116</v>
      </c>
      <c r="C158" t="s">
        <v>89</v>
      </c>
      <c r="D158" s="6">
        <f>VLOOKUP(C158,CalcSheet!$P$3:$Q$9,2,FALSE)</f>
        <v>0.1176</v>
      </c>
      <c r="E158">
        <v>0.91</v>
      </c>
      <c r="F158">
        <v>0.97172839506172826</v>
      </c>
      <c r="G158">
        <v>0.49305785031442118</v>
      </c>
    </row>
    <row r="159" spans="1:7" x14ac:dyDescent="0.35">
      <c r="A159">
        <v>81</v>
      </c>
      <c r="B159">
        <v>158</v>
      </c>
      <c r="C159" t="s">
        <v>83</v>
      </c>
      <c r="D159" s="6">
        <f>VLOOKUP(C159,CalcSheet!$P$3:$Q$9,2,FALSE)</f>
        <v>0.1176</v>
      </c>
      <c r="E159">
        <v>0.91</v>
      </c>
      <c r="F159">
        <v>0.986913580246914</v>
      </c>
      <c r="G159">
        <v>0.53145270076071771</v>
      </c>
    </row>
    <row r="160" spans="1:7" x14ac:dyDescent="0.35">
      <c r="A160">
        <v>81</v>
      </c>
      <c r="B160">
        <v>214</v>
      </c>
      <c r="C160" t="s">
        <v>90</v>
      </c>
      <c r="D160" s="6">
        <f>VLOOKUP(C160,CalcSheet!$P$3:$Q$9,2,FALSE)</f>
        <v>0.23530000000000001</v>
      </c>
      <c r="E160">
        <v>0.91</v>
      </c>
      <c r="F160">
        <v>0.99049382716049361</v>
      </c>
      <c r="G160">
        <v>0.56095114219126552</v>
      </c>
    </row>
    <row r="161" spans="1:7" x14ac:dyDescent="0.35">
      <c r="A161">
        <v>81</v>
      </c>
      <c r="B161">
        <v>251</v>
      </c>
      <c r="C161" t="s">
        <v>85</v>
      </c>
      <c r="D161" s="6">
        <f>VLOOKUP(C161,CalcSheet!$P$3:$Q$9,2,FALSE)</f>
        <v>0.23530000000000001</v>
      </c>
      <c r="E161">
        <v>0.91</v>
      </c>
      <c r="F161">
        <v>0.9941975308641976</v>
      </c>
      <c r="G161">
        <v>0.57149102649630068</v>
      </c>
    </row>
    <row r="162" spans="1:7" x14ac:dyDescent="0.35">
      <c r="A162">
        <v>81</v>
      </c>
      <c r="B162">
        <v>305</v>
      </c>
      <c r="C162" t="s">
        <v>86</v>
      </c>
      <c r="D162" s="6">
        <f>VLOOKUP(C162,CalcSheet!$P$3:$Q$9,2,FALSE)</f>
        <v>8.4000000000000005E-2</v>
      </c>
      <c r="E162">
        <v>0.91</v>
      </c>
      <c r="F162">
        <v>0.99567901234567879</v>
      </c>
      <c r="G162">
        <v>0.59183519426599607</v>
      </c>
    </row>
    <row r="163" spans="1:7" x14ac:dyDescent="0.35">
      <c r="A163">
        <v>85</v>
      </c>
      <c r="B163">
        <v>38</v>
      </c>
      <c r="C163" t="s">
        <v>80</v>
      </c>
      <c r="D163" s="6">
        <f>VLOOKUP(C163,CalcSheet!$P$3:$Q$9,2,FALSE)</f>
        <v>6.7199999999999996E-2</v>
      </c>
      <c r="E163">
        <v>0.91</v>
      </c>
      <c r="F163">
        <v>0.87235294117646944</v>
      </c>
      <c r="G163">
        <v>0.47262303452730614</v>
      </c>
    </row>
    <row r="164" spans="1:7" x14ac:dyDescent="0.35">
      <c r="A164">
        <v>85</v>
      </c>
      <c r="B164">
        <v>72</v>
      </c>
      <c r="C164" t="s">
        <v>81</v>
      </c>
      <c r="D164" s="6">
        <f>VLOOKUP(C164,CalcSheet!$P$3:$Q$9,2,FALSE)</f>
        <v>0.1429</v>
      </c>
      <c r="E164">
        <v>0.91</v>
      </c>
      <c r="F164">
        <v>0.93611764705882283</v>
      </c>
      <c r="G164">
        <v>0.50916315482988883</v>
      </c>
    </row>
    <row r="165" spans="1:7" x14ac:dyDescent="0.35">
      <c r="A165">
        <v>85</v>
      </c>
      <c r="B165">
        <v>116</v>
      </c>
      <c r="C165" t="s">
        <v>89</v>
      </c>
      <c r="D165" s="6">
        <f>VLOOKUP(C165,CalcSheet!$P$3:$Q$9,2,FALSE)</f>
        <v>0.1176</v>
      </c>
      <c r="E165">
        <v>0.91</v>
      </c>
      <c r="F165">
        <v>0.97882352941176354</v>
      </c>
      <c r="G165">
        <v>0.53267603897088212</v>
      </c>
    </row>
    <row r="166" spans="1:7" x14ac:dyDescent="0.35">
      <c r="A166">
        <v>85</v>
      </c>
      <c r="B166">
        <v>158</v>
      </c>
      <c r="C166" t="s">
        <v>83</v>
      </c>
      <c r="D166" s="6">
        <f>VLOOKUP(C166,CalcSheet!$P$3:$Q$9,2,FALSE)</f>
        <v>0.1176</v>
      </c>
      <c r="E166">
        <v>0.91</v>
      </c>
      <c r="F166">
        <v>0.97847058823529298</v>
      </c>
      <c r="G166">
        <v>0.54233244166593664</v>
      </c>
    </row>
    <row r="167" spans="1:7" x14ac:dyDescent="0.35">
      <c r="A167">
        <v>85</v>
      </c>
      <c r="B167">
        <v>214</v>
      </c>
      <c r="C167" t="s">
        <v>90</v>
      </c>
      <c r="D167" s="6">
        <f>VLOOKUP(C167,CalcSheet!$P$3:$Q$9,2,FALSE)</f>
        <v>0.23530000000000001</v>
      </c>
      <c r="E167">
        <v>0.91</v>
      </c>
      <c r="F167">
        <v>0.99035294117646944</v>
      </c>
      <c r="G167">
        <v>0.5650896061877031</v>
      </c>
    </row>
    <row r="168" spans="1:7" x14ac:dyDescent="0.35">
      <c r="A168">
        <v>85</v>
      </c>
      <c r="B168">
        <v>251</v>
      </c>
      <c r="C168" t="s">
        <v>85</v>
      </c>
      <c r="D168" s="6">
        <f>VLOOKUP(C168,CalcSheet!$P$3:$Q$9,2,FALSE)</f>
        <v>0.23530000000000001</v>
      </c>
      <c r="E168">
        <v>0.91</v>
      </c>
      <c r="F168">
        <v>0.99211764705882333</v>
      </c>
      <c r="G168">
        <v>0.61940685821534514</v>
      </c>
    </row>
    <row r="169" spans="1:7" x14ac:dyDescent="0.35">
      <c r="A169">
        <v>85</v>
      </c>
      <c r="B169">
        <v>305</v>
      </c>
      <c r="C169" t="s">
        <v>86</v>
      </c>
      <c r="D169" s="6">
        <f>VLOOKUP(C169,CalcSheet!$P$3:$Q$9,2,FALSE)</f>
        <v>8.4000000000000005E-2</v>
      </c>
      <c r="E169">
        <v>0.91</v>
      </c>
      <c r="F169">
        <v>0.99341176470588211</v>
      </c>
      <c r="G169">
        <v>0.63689337659754885</v>
      </c>
    </row>
    <row r="170" spans="1:7" x14ac:dyDescent="0.35">
      <c r="A170">
        <v>89</v>
      </c>
      <c r="B170">
        <v>38</v>
      </c>
      <c r="C170" t="s">
        <v>80</v>
      </c>
      <c r="D170" s="6">
        <f>VLOOKUP(C170,CalcSheet!$P$3:$Q$9,2,FALSE)</f>
        <v>6.7199999999999996E-2</v>
      </c>
      <c r="E170">
        <v>0.91</v>
      </c>
      <c r="F170">
        <v>0.87325842696629241</v>
      </c>
      <c r="G170">
        <v>0.46003442240281361</v>
      </c>
    </row>
    <row r="171" spans="1:7" x14ac:dyDescent="0.35">
      <c r="A171">
        <v>89</v>
      </c>
      <c r="B171">
        <v>72</v>
      </c>
      <c r="C171" t="s">
        <v>81</v>
      </c>
      <c r="D171" s="6">
        <f>VLOOKUP(C171,CalcSheet!$P$3:$Q$9,2,FALSE)</f>
        <v>0.1429</v>
      </c>
      <c r="E171">
        <v>0.91</v>
      </c>
      <c r="F171">
        <v>0.92505617977528143</v>
      </c>
      <c r="G171">
        <v>0.52050418783481855</v>
      </c>
    </row>
    <row r="172" spans="1:7" x14ac:dyDescent="0.35">
      <c r="A172">
        <v>89</v>
      </c>
      <c r="B172">
        <v>116</v>
      </c>
      <c r="C172" t="s">
        <v>89</v>
      </c>
      <c r="D172" s="6">
        <f>VLOOKUP(C172,CalcSheet!$P$3:$Q$9,2,FALSE)</f>
        <v>0.1176</v>
      </c>
      <c r="E172">
        <v>0.91</v>
      </c>
      <c r="F172">
        <v>0.9553932584269671</v>
      </c>
      <c r="G172">
        <v>0.56288665720936149</v>
      </c>
    </row>
    <row r="173" spans="1:7" x14ac:dyDescent="0.35">
      <c r="A173">
        <v>89</v>
      </c>
      <c r="B173">
        <v>158</v>
      </c>
      <c r="C173" t="s">
        <v>83</v>
      </c>
      <c r="D173" s="6">
        <f>VLOOKUP(C173,CalcSheet!$P$3:$Q$9,2,FALSE)</f>
        <v>0.1176</v>
      </c>
      <c r="E173">
        <v>0.91</v>
      </c>
      <c r="F173">
        <v>0.97595505617977596</v>
      </c>
      <c r="G173">
        <v>0.57856800040545298</v>
      </c>
    </row>
    <row r="174" spans="1:7" x14ac:dyDescent="0.35">
      <c r="A174">
        <v>89</v>
      </c>
      <c r="B174">
        <v>214</v>
      </c>
      <c r="C174" t="s">
        <v>90</v>
      </c>
      <c r="D174" s="6">
        <f>VLOOKUP(C174,CalcSheet!$P$3:$Q$9,2,FALSE)</f>
        <v>0.23530000000000001</v>
      </c>
      <c r="E174">
        <v>0.91</v>
      </c>
      <c r="F174">
        <v>0.99000000000000032</v>
      </c>
      <c r="G174">
        <v>0.60881609605768516</v>
      </c>
    </row>
    <row r="175" spans="1:7" x14ac:dyDescent="0.35">
      <c r="A175">
        <v>89</v>
      </c>
      <c r="B175">
        <v>251</v>
      </c>
      <c r="C175" t="s">
        <v>85</v>
      </c>
      <c r="D175" s="6">
        <f>VLOOKUP(C175,CalcSheet!$P$3:$Q$9,2,FALSE)</f>
        <v>0.23530000000000001</v>
      </c>
      <c r="E175">
        <v>0.91</v>
      </c>
      <c r="F175">
        <v>0.99168539325842719</v>
      </c>
      <c r="G175">
        <v>0.61164590522268059</v>
      </c>
    </row>
    <row r="176" spans="1:7" x14ac:dyDescent="0.35">
      <c r="A176">
        <v>89</v>
      </c>
      <c r="B176">
        <v>305</v>
      </c>
      <c r="C176" t="s">
        <v>86</v>
      </c>
      <c r="D176" s="6">
        <f>VLOOKUP(C176,CalcSheet!$P$3:$Q$9,2,FALSE)</f>
        <v>8.4000000000000005E-2</v>
      </c>
      <c r="E176">
        <v>0.91</v>
      </c>
      <c r="F176">
        <v>0.99337078651685418</v>
      </c>
      <c r="G176">
        <v>0.6232002122238981</v>
      </c>
    </row>
    <row r="177" spans="1:7" x14ac:dyDescent="0.35">
      <c r="A177">
        <v>100</v>
      </c>
      <c r="B177">
        <v>38</v>
      </c>
      <c r="C177" t="s">
        <v>80</v>
      </c>
      <c r="D177" s="6">
        <f>VLOOKUP(C177,CalcSheet!$P$3:$Q$9,2,FALSE)</f>
        <v>6.7199999999999996E-2</v>
      </c>
      <c r="E177">
        <v>0.91</v>
      </c>
      <c r="F177">
        <v>0.73720000000000008</v>
      </c>
      <c r="G177">
        <v>0.44274880509018189</v>
      </c>
    </row>
    <row r="178" spans="1:7" x14ac:dyDescent="0.35">
      <c r="A178">
        <v>100</v>
      </c>
      <c r="B178">
        <v>72</v>
      </c>
      <c r="C178" t="s">
        <v>81</v>
      </c>
      <c r="D178" s="6">
        <f>VLOOKUP(C178,CalcSheet!$P$3:$Q$9,2,FALSE)</f>
        <v>0.1429</v>
      </c>
      <c r="E178">
        <v>0.91</v>
      </c>
      <c r="F178">
        <v>0.8137000000000002</v>
      </c>
      <c r="G178">
        <v>0.50259292802426214</v>
      </c>
    </row>
    <row r="179" spans="1:7" x14ac:dyDescent="0.35">
      <c r="A179">
        <v>100</v>
      </c>
      <c r="B179">
        <v>116</v>
      </c>
      <c r="C179" t="s">
        <v>89</v>
      </c>
      <c r="D179" s="6">
        <f>VLOOKUP(C179,CalcSheet!$P$3:$Q$9,2,FALSE)</f>
        <v>0.1176</v>
      </c>
      <c r="E179">
        <v>0.91</v>
      </c>
      <c r="F179">
        <v>0.9514999999999999</v>
      </c>
      <c r="G179">
        <v>0.58226612286071966</v>
      </c>
    </row>
    <row r="180" spans="1:7" x14ac:dyDescent="0.35">
      <c r="A180">
        <v>100</v>
      </c>
      <c r="B180">
        <v>158</v>
      </c>
      <c r="C180" t="s">
        <v>83</v>
      </c>
      <c r="D180" s="6">
        <f>VLOOKUP(C180,CalcSheet!$P$3:$Q$9,2,FALSE)</f>
        <v>0.1176</v>
      </c>
      <c r="E180">
        <v>0.91</v>
      </c>
      <c r="F180">
        <v>0.97579999999999956</v>
      </c>
      <c r="G180">
        <v>0.58852717257279241</v>
      </c>
    </row>
    <row r="181" spans="1:7" x14ac:dyDescent="0.35">
      <c r="A181">
        <v>100</v>
      </c>
      <c r="B181">
        <v>214</v>
      </c>
      <c r="C181" t="s">
        <v>90</v>
      </c>
      <c r="D181" s="6">
        <f>VLOOKUP(C181,CalcSheet!$P$3:$Q$9,2,FALSE)</f>
        <v>0.23530000000000001</v>
      </c>
      <c r="E181">
        <v>0.91</v>
      </c>
      <c r="F181">
        <v>0.99079999999999968</v>
      </c>
      <c r="G181">
        <v>0.63191527264174963</v>
      </c>
    </row>
    <row r="182" spans="1:7" x14ac:dyDescent="0.35">
      <c r="A182">
        <v>100</v>
      </c>
      <c r="B182">
        <v>251</v>
      </c>
      <c r="C182" t="s">
        <v>85</v>
      </c>
      <c r="D182" s="6">
        <f>VLOOKUP(C182,CalcSheet!$P$3:$Q$9,2,FALSE)</f>
        <v>0.23530000000000001</v>
      </c>
      <c r="E182">
        <v>0.91</v>
      </c>
      <c r="F182">
        <v>0.99430000000000007</v>
      </c>
      <c r="G182">
        <v>0.62460526293192653</v>
      </c>
    </row>
    <row r="183" spans="1:7" x14ac:dyDescent="0.35">
      <c r="A183">
        <v>100</v>
      </c>
      <c r="B183">
        <v>305</v>
      </c>
      <c r="C183" t="s">
        <v>86</v>
      </c>
      <c r="D183" s="6">
        <f>VLOOKUP(C183,CalcSheet!$P$3:$Q$9,2,FALSE)</f>
        <v>8.4000000000000005E-2</v>
      </c>
      <c r="E183">
        <v>0.91</v>
      </c>
      <c r="F183">
        <v>0.99399999999999977</v>
      </c>
      <c r="G183">
        <v>0.6437177307137083</v>
      </c>
    </row>
    <row r="184" spans="1:7" x14ac:dyDescent="0.35">
      <c r="A184">
        <v>106</v>
      </c>
      <c r="B184">
        <v>38</v>
      </c>
      <c r="C184" t="s">
        <v>80</v>
      </c>
      <c r="D184" s="6">
        <f>VLOOKUP(C184,CalcSheet!$P$3:$Q$9,2,FALSE)</f>
        <v>6.7199999999999996E-2</v>
      </c>
      <c r="E184">
        <v>0.91</v>
      </c>
      <c r="F184">
        <v>0.77915094339622681</v>
      </c>
      <c r="G184">
        <v>0.4498295820978187</v>
      </c>
    </row>
    <row r="185" spans="1:7" x14ac:dyDescent="0.35">
      <c r="A185">
        <v>106</v>
      </c>
      <c r="B185">
        <v>72</v>
      </c>
      <c r="C185" t="s">
        <v>81</v>
      </c>
      <c r="D185" s="6">
        <f>VLOOKUP(C185,CalcSheet!$P$3:$Q$9,2,FALSE)</f>
        <v>0.1429</v>
      </c>
      <c r="E185">
        <v>0.91</v>
      </c>
      <c r="F185">
        <v>0.83396226415094366</v>
      </c>
      <c r="G185">
        <v>0.54383445486383908</v>
      </c>
    </row>
    <row r="186" spans="1:7" x14ac:dyDescent="0.35">
      <c r="A186">
        <v>106</v>
      </c>
      <c r="B186">
        <v>116</v>
      </c>
      <c r="C186" t="s">
        <v>89</v>
      </c>
      <c r="D186" s="6">
        <f>VLOOKUP(C186,CalcSheet!$P$3:$Q$9,2,FALSE)</f>
        <v>0.1176</v>
      </c>
      <c r="E186">
        <v>0.91</v>
      </c>
      <c r="F186">
        <v>0.84886792452830173</v>
      </c>
      <c r="G186">
        <v>0.59208680754897969</v>
      </c>
    </row>
    <row r="187" spans="1:7" x14ac:dyDescent="0.35">
      <c r="A187">
        <v>106</v>
      </c>
      <c r="B187">
        <v>158</v>
      </c>
      <c r="C187" t="s">
        <v>83</v>
      </c>
      <c r="D187" s="6">
        <f>VLOOKUP(C187,CalcSheet!$P$3:$Q$9,2,FALSE)</f>
        <v>0.1176</v>
      </c>
      <c r="E187">
        <v>0.91</v>
      </c>
      <c r="F187">
        <v>0.82509433962264211</v>
      </c>
      <c r="G187">
        <v>0.61077579245080205</v>
      </c>
    </row>
    <row r="188" spans="1:7" x14ac:dyDescent="0.35">
      <c r="A188">
        <v>106</v>
      </c>
      <c r="B188">
        <v>214</v>
      </c>
      <c r="C188" t="s">
        <v>90</v>
      </c>
      <c r="D188" s="6">
        <f>VLOOKUP(C188,CalcSheet!$P$3:$Q$9,2,FALSE)</f>
        <v>0.23530000000000001</v>
      </c>
      <c r="E188">
        <v>0.91</v>
      </c>
      <c r="F188">
        <v>0.97330188679245255</v>
      </c>
      <c r="G188">
        <v>0.63743126963194019</v>
      </c>
    </row>
    <row r="189" spans="1:7" x14ac:dyDescent="0.35">
      <c r="A189">
        <v>106</v>
      </c>
      <c r="B189">
        <v>251</v>
      </c>
      <c r="C189" t="s">
        <v>85</v>
      </c>
      <c r="D189" s="6">
        <f>VLOOKUP(C189,CalcSheet!$P$3:$Q$9,2,FALSE)</f>
        <v>0.23530000000000001</v>
      </c>
      <c r="E189">
        <v>0.91</v>
      </c>
      <c r="F189">
        <v>0.98160377358490503</v>
      </c>
      <c r="G189">
        <v>0.64403721199102337</v>
      </c>
    </row>
    <row r="190" spans="1:7" x14ac:dyDescent="0.35">
      <c r="A190">
        <v>106</v>
      </c>
      <c r="B190">
        <v>305</v>
      </c>
      <c r="C190" t="s">
        <v>86</v>
      </c>
      <c r="D190" s="6">
        <f>VLOOKUP(C190,CalcSheet!$P$3:$Q$9,2,FALSE)</f>
        <v>8.4000000000000005E-2</v>
      </c>
      <c r="E190">
        <v>0.91</v>
      </c>
      <c r="F190">
        <v>0.95264150943396186</v>
      </c>
      <c r="G190">
        <v>0.62693224414483284</v>
      </c>
    </row>
    <row r="191" spans="1:7" x14ac:dyDescent="0.35">
      <c r="A191">
        <v>117</v>
      </c>
      <c r="B191">
        <v>38</v>
      </c>
      <c r="C191" t="s">
        <v>80</v>
      </c>
      <c r="D191" s="6">
        <f>VLOOKUP(C191,CalcSheet!$P$3:$Q$9,2,FALSE)</f>
        <v>6.7199999999999996E-2</v>
      </c>
      <c r="E191">
        <v>0.91</v>
      </c>
      <c r="F191">
        <v>0.81632478632478578</v>
      </c>
      <c r="G191">
        <v>0.49055184773778826</v>
      </c>
    </row>
    <row r="192" spans="1:7" x14ac:dyDescent="0.35">
      <c r="A192">
        <v>117</v>
      </c>
      <c r="B192">
        <v>72</v>
      </c>
      <c r="C192" t="s">
        <v>81</v>
      </c>
      <c r="D192" s="6">
        <f>VLOOKUP(C192,CalcSheet!$P$3:$Q$9,2,FALSE)</f>
        <v>0.1429</v>
      </c>
      <c r="E192">
        <v>0.91</v>
      </c>
      <c r="F192">
        <v>0.88700854700854659</v>
      </c>
      <c r="G192">
        <v>0.5609691747376403</v>
      </c>
    </row>
    <row r="193" spans="1:7" x14ac:dyDescent="0.35">
      <c r="A193">
        <v>117</v>
      </c>
      <c r="B193">
        <v>116</v>
      </c>
      <c r="C193" t="s">
        <v>89</v>
      </c>
      <c r="D193" s="6">
        <f>VLOOKUP(C193,CalcSheet!$P$3:$Q$9,2,FALSE)</f>
        <v>0.1176</v>
      </c>
      <c r="E193">
        <v>0.91</v>
      </c>
      <c r="F193">
        <v>0.92854700854700778</v>
      </c>
      <c r="G193">
        <v>0.60002102582438821</v>
      </c>
    </row>
    <row r="194" spans="1:7" x14ac:dyDescent="0.35">
      <c r="A194">
        <v>117</v>
      </c>
      <c r="B194">
        <v>158</v>
      </c>
      <c r="C194" t="s">
        <v>83</v>
      </c>
      <c r="D194" s="6">
        <f>VLOOKUP(C194,CalcSheet!$P$3:$Q$9,2,FALSE)</f>
        <v>0.1176</v>
      </c>
      <c r="E194">
        <v>0.91</v>
      </c>
      <c r="F194">
        <v>0.94735042735042641</v>
      </c>
      <c r="G194">
        <v>0.62738449444872502</v>
      </c>
    </row>
    <row r="195" spans="1:7" x14ac:dyDescent="0.35">
      <c r="A195">
        <v>117</v>
      </c>
      <c r="B195">
        <v>214</v>
      </c>
      <c r="C195" t="s">
        <v>90</v>
      </c>
      <c r="D195" s="6">
        <f>VLOOKUP(C195,CalcSheet!$P$3:$Q$9,2,FALSE)</f>
        <v>0.23530000000000001</v>
      </c>
      <c r="E195">
        <v>0.91</v>
      </c>
      <c r="F195">
        <v>0.97743589743589676</v>
      </c>
      <c r="G195">
        <v>0.65774439173581745</v>
      </c>
    </row>
    <row r="196" spans="1:7" x14ac:dyDescent="0.35">
      <c r="A196">
        <v>117</v>
      </c>
      <c r="B196">
        <v>251</v>
      </c>
      <c r="C196" t="s">
        <v>85</v>
      </c>
      <c r="D196" s="6">
        <f>VLOOKUP(C196,CalcSheet!$P$3:$Q$9,2,FALSE)</f>
        <v>0.23530000000000001</v>
      </c>
      <c r="E196">
        <v>0.91</v>
      </c>
      <c r="F196">
        <v>0.99042735042735008</v>
      </c>
      <c r="G196">
        <v>0.66100067776281723</v>
      </c>
    </row>
    <row r="197" spans="1:7" x14ac:dyDescent="0.35">
      <c r="A197">
        <v>117</v>
      </c>
      <c r="B197">
        <v>305</v>
      </c>
      <c r="C197" t="s">
        <v>86</v>
      </c>
      <c r="D197" s="6">
        <f>VLOOKUP(C197,CalcSheet!$P$3:$Q$9,2,FALSE)</f>
        <v>8.4000000000000005E-2</v>
      </c>
      <c r="E197">
        <v>0.91</v>
      </c>
      <c r="F197">
        <v>0.99512820512820488</v>
      </c>
      <c r="G197">
        <v>0.69727667737760579</v>
      </c>
    </row>
    <row r="198" spans="1:7" x14ac:dyDescent="0.35">
      <c r="A198">
        <v>125</v>
      </c>
      <c r="B198">
        <v>38</v>
      </c>
      <c r="C198" t="s">
        <v>80</v>
      </c>
      <c r="D198" s="6">
        <f>VLOOKUP(C198,CalcSheet!$P$3:$Q$9,2,FALSE)</f>
        <v>6.7199999999999996E-2</v>
      </c>
      <c r="E198">
        <v>0.91</v>
      </c>
      <c r="F198">
        <v>0.69600000000000006</v>
      </c>
      <c r="G198">
        <v>0.50575437597736805</v>
      </c>
    </row>
    <row r="199" spans="1:7" x14ac:dyDescent="0.35">
      <c r="A199">
        <v>125</v>
      </c>
      <c r="B199">
        <v>72</v>
      </c>
      <c r="C199" t="s">
        <v>81</v>
      </c>
      <c r="D199" s="6">
        <f>VLOOKUP(C199,CalcSheet!$P$3:$Q$9,2,FALSE)</f>
        <v>0.1429</v>
      </c>
      <c r="E199">
        <v>0.91</v>
      </c>
      <c r="F199">
        <v>0.69543999999999995</v>
      </c>
      <c r="G199">
        <v>0.56521679341765307</v>
      </c>
    </row>
    <row r="200" spans="1:7" x14ac:dyDescent="0.35">
      <c r="A200">
        <v>125</v>
      </c>
      <c r="B200">
        <v>116</v>
      </c>
      <c r="C200" t="s">
        <v>89</v>
      </c>
      <c r="D200" s="6">
        <f>VLOOKUP(C200,CalcSheet!$P$3:$Q$9,2,FALSE)</f>
        <v>0.1176</v>
      </c>
      <c r="E200">
        <v>0.91</v>
      </c>
      <c r="F200">
        <v>0.77655999999999992</v>
      </c>
      <c r="G200">
        <v>0.61631382997672779</v>
      </c>
    </row>
    <row r="201" spans="1:7" x14ac:dyDescent="0.35">
      <c r="A201">
        <v>125</v>
      </c>
      <c r="B201">
        <v>158</v>
      </c>
      <c r="C201" t="s">
        <v>83</v>
      </c>
      <c r="D201" s="6">
        <f>VLOOKUP(C201,CalcSheet!$P$3:$Q$9,2,FALSE)</f>
        <v>0.1176</v>
      </c>
      <c r="E201">
        <v>0.91</v>
      </c>
      <c r="F201">
        <v>0.80248000000000019</v>
      </c>
      <c r="G201">
        <v>0.62053319899559223</v>
      </c>
    </row>
    <row r="202" spans="1:7" x14ac:dyDescent="0.35">
      <c r="A202">
        <v>125</v>
      </c>
      <c r="B202">
        <v>214</v>
      </c>
      <c r="C202" t="s">
        <v>90</v>
      </c>
      <c r="D202" s="6">
        <f>VLOOKUP(C202,CalcSheet!$P$3:$Q$9,2,FALSE)</f>
        <v>0.23530000000000001</v>
      </c>
      <c r="E202">
        <v>0.91</v>
      </c>
      <c r="F202">
        <v>0.90656000000000081</v>
      </c>
      <c r="G202">
        <v>0.68005865238478469</v>
      </c>
    </row>
    <row r="203" spans="1:7" x14ac:dyDescent="0.35">
      <c r="A203">
        <v>125</v>
      </c>
      <c r="B203">
        <v>251</v>
      </c>
      <c r="C203" t="s">
        <v>85</v>
      </c>
      <c r="D203" s="6">
        <f>VLOOKUP(C203,CalcSheet!$P$3:$Q$9,2,FALSE)</f>
        <v>0.23530000000000001</v>
      </c>
      <c r="E203">
        <v>0.91</v>
      </c>
      <c r="F203">
        <v>0.84896000000000027</v>
      </c>
      <c r="G203">
        <v>0.64248945108444877</v>
      </c>
    </row>
    <row r="204" spans="1:7" x14ac:dyDescent="0.35">
      <c r="A204">
        <v>125</v>
      </c>
      <c r="B204">
        <v>305</v>
      </c>
      <c r="C204" t="s">
        <v>86</v>
      </c>
      <c r="D204" s="6">
        <f>VLOOKUP(C204,CalcSheet!$P$3:$Q$9,2,FALSE)</f>
        <v>8.4000000000000005E-2</v>
      </c>
      <c r="E204">
        <v>0.91</v>
      </c>
      <c r="F204">
        <v>0.91384000000000087</v>
      </c>
      <c r="G204">
        <v>0.68335405060404908</v>
      </c>
    </row>
    <row r="205" spans="1:7" x14ac:dyDescent="0.35">
      <c r="A205">
        <v>133</v>
      </c>
      <c r="B205">
        <v>38</v>
      </c>
      <c r="C205" t="s">
        <v>80</v>
      </c>
      <c r="D205" s="6">
        <f>VLOOKUP(C205,CalcSheet!$P$3:$Q$9,2,FALSE)</f>
        <v>6.7199999999999996E-2</v>
      </c>
      <c r="E205">
        <v>0.91</v>
      </c>
      <c r="F205">
        <v>0.6778195488721801</v>
      </c>
      <c r="G205">
        <v>0.49897890632471764</v>
      </c>
    </row>
    <row r="206" spans="1:7" x14ac:dyDescent="0.35">
      <c r="A206">
        <v>133</v>
      </c>
      <c r="B206">
        <v>72</v>
      </c>
      <c r="C206" t="s">
        <v>81</v>
      </c>
      <c r="D206" s="6">
        <f>VLOOKUP(C206,CalcSheet!$P$3:$Q$9,2,FALSE)</f>
        <v>0.1429</v>
      </c>
      <c r="E206">
        <v>0.91</v>
      </c>
      <c r="F206">
        <v>0.78127819548872157</v>
      </c>
      <c r="G206">
        <v>0.58180651368245428</v>
      </c>
    </row>
    <row r="207" spans="1:7" x14ac:dyDescent="0.35">
      <c r="A207">
        <v>133</v>
      </c>
      <c r="B207">
        <v>116</v>
      </c>
      <c r="C207" t="s">
        <v>89</v>
      </c>
      <c r="D207" s="6">
        <f>VLOOKUP(C207,CalcSheet!$P$3:$Q$9,2,FALSE)</f>
        <v>0.1176</v>
      </c>
      <c r="E207">
        <v>0.91</v>
      </c>
      <c r="F207">
        <v>0.7912030075187968</v>
      </c>
      <c r="G207">
        <v>0.62830164275547051</v>
      </c>
    </row>
    <row r="208" spans="1:7" x14ac:dyDescent="0.35">
      <c r="A208">
        <v>133</v>
      </c>
      <c r="B208">
        <v>158</v>
      </c>
      <c r="C208" t="s">
        <v>83</v>
      </c>
      <c r="D208" s="6">
        <f>VLOOKUP(C208,CalcSheet!$P$3:$Q$9,2,FALSE)</f>
        <v>0.1176</v>
      </c>
      <c r="E208">
        <v>0.91</v>
      </c>
      <c r="F208">
        <v>0.84218045112781936</v>
      </c>
      <c r="G208">
        <v>0.65148008615568731</v>
      </c>
    </row>
    <row r="209" spans="1:7" x14ac:dyDescent="0.35">
      <c r="A209">
        <v>133</v>
      </c>
      <c r="B209">
        <v>214</v>
      </c>
      <c r="C209" t="s">
        <v>90</v>
      </c>
      <c r="D209" s="6">
        <f>VLOOKUP(C209,CalcSheet!$P$3:$Q$9,2,FALSE)</f>
        <v>0.23530000000000001</v>
      </c>
      <c r="E209">
        <v>0.91</v>
      </c>
      <c r="F209">
        <v>0.90165413533834537</v>
      </c>
      <c r="G209">
        <v>0.66388219273629934</v>
      </c>
    </row>
    <row r="210" spans="1:7" x14ac:dyDescent="0.35">
      <c r="A210">
        <v>133</v>
      </c>
      <c r="B210">
        <v>251</v>
      </c>
      <c r="C210" t="s">
        <v>85</v>
      </c>
      <c r="D210" s="6">
        <f>VLOOKUP(C210,CalcSheet!$P$3:$Q$9,2,FALSE)</f>
        <v>0.23530000000000001</v>
      </c>
      <c r="E210">
        <v>0.91</v>
      </c>
      <c r="F210">
        <v>0.89646616541353386</v>
      </c>
      <c r="G210">
        <v>0.66340866815687738</v>
      </c>
    </row>
    <row r="211" spans="1:7" x14ac:dyDescent="0.35">
      <c r="A211">
        <v>133</v>
      </c>
      <c r="B211">
        <v>305</v>
      </c>
      <c r="C211" t="s">
        <v>86</v>
      </c>
      <c r="D211" s="6">
        <f>VLOOKUP(C211,CalcSheet!$P$3:$Q$9,2,FALSE)</f>
        <v>8.4000000000000005E-2</v>
      </c>
      <c r="E211">
        <v>0.91</v>
      </c>
      <c r="F211">
        <v>0.93751879699248097</v>
      </c>
      <c r="G211">
        <v>0.67229899496098444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6769-C9F1-4256-999C-5DCA8C44F601}">
  <dimension ref="A1:J37"/>
  <sheetViews>
    <sheetView workbookViewId="0">
      <selection activeCell="A21" sqref="A21:J26"/>
    </sheetView>
  </sheetViews>
  <sheetFormatPr defaultRowHeight="14.5" x14ac:dyDescent="0.35"/>
  <cols>
    <col min="1" max="1" width="4.6328125" bestFit="1" customWidth="1"/>
    <col min="2" max="2" width="12.453125" bestFit="1" customWidth="1"/>
    <col min="3" max="3" width="17.453125" bestFit="1" customWidth="1"/>
    <col min="4" max="4" width="17.26953125" bestFit="1" customWidth="1"/>
    <col min="5" max="5" width="17.453125" bestFit="1" customWidth="1"/>
    <col min="6" max="6" width="17.26953125" bestFit="1" customWidth="1"/>
    <col min="7" max="7" width="17.453125" bestFit="1" customWidth="1"/>
    <col min="8" max="8" width="17.26953125" bestFit="1" customWidth="1"/>
    <col min="9" max="9" width="17.453125" bestFit="1" customWidth="1"/>
    <col min="10" max="10" width="17.26953125" bestFit="1" customWidth="1"/>
  </cols>
  <sheetData>
    <row r="1" spans="1:10" x14ac:dyDescent="0.35">
      <c r="A1" t="s">
        <v>11</v>
      </c>
      <c r="B1" t="s">
        <v>10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 x14ac:dyDescent="0.35">
      <c r="A2">
        <v>1</v>
      </c>
      <c r="B2">
        <v>2.557784565378892</v>
      </c>
      <c r="C2">
        <v>-9.9416246589286033</v>
      </c>
      <c r="D2">
        <v>-3.9532037458601508</v>
      </c>
      <c r="E2">
        <v>-10.334119951101677</v>
      </c>
      <c r="F2">
        <v>-4.3456990380332172</v>
      </c>
      <c r="G2">
        <v>-10.72661524327475</v>
      </c>
      <c r="H2">
        <v>-4.7381943302062872</v>
      </c>
      <c r="I2">
        <v>-11.11911053544781</v>
      </c>
      <c r="J2">
        <v>-5.1306896223793501</v>
      </c>
    </row>
    <row r="3" spans="1:10" x14ac:dyDescent="0.35">
      <c r="A3">
        <v>2</v>
      </c>
      <c r="B3">
        <v>2.0794449493162137</v>
      </c>
      <c r="C3">
        <v>-1.1852120463107241</v>
      </c>
      <c r="D3">
        <v>0.66394644093500155</v>
      </c>
      <c r="E3">
        <v>-1.5598666433850177</v>
      </c>
      <c r="F3">
        <v>0.2892918438607115</v>
      </c>
      <c r="G3">
        <v>-1.9345212404593148</v>
      </c>
      <c r="H3">
        <v>-8.536275321358211E-2</v>
      </c>
      <c r="I3">
        <v>-2.3091758375336013</v>
      </c>
      <c r="J3">
        <v>-0.46001735028787216</v>
      </c>
    </row>
    <row r="4" spans="1:10" x14ac:dyDescent="0.35">
      <c r="A4">
        <v>3</v>
      </c>
      <c r="B4">
        <v>1.6429337827134241</v>
      </c>
      <c r="C4">
        <v>1.389500053968914</v>
      </c>
      <c r="D4">
        <v>1.9283014883215184</v>
      </c>
      <c r="E4">
        <v>1.0316048977449863</v>
      </c>
      <c r="F4">
        <v>1.5704063320975929</v>
      </c>
      <c r="G4">
        <v>0.67370974152105612</v>
      </c>
      <c r="H4">
        <v>1.2125111758736651</v>
      </c>
      <c r="I4">
        <v>0.31581458529713302</v>
      </c>
      <c r="J4">
        <v>0.85461601964973966</v>
      </c>
    </row>
    <row r="5" spans="1:10" x14ac:dyDescent="0.35">
      <c r="A5">
        <v>4</v>
      </c>
      <c r="B5">
        <v>1.2448867581261691</v>
      </c>
      <c r="C5">
        <v>2.4468213502189315</v>
      </c>
      <c r="D5">
        <v>2.3777604552030134</v>
      </c>
      <c r="E5">
        <v>2.1046781024775321</v>
      </c>
      <c r="F5">
        <v>2.0356172074616152</v>
      </c>
      <c r="G5">
        <v>1.7625348547361304</v>
      </c>
      <c r="H5">
        <v>1.6934739597202153</v>
      </c>
      <c r="I5">
        <v>1.4203916069947349</v>
      </c>
      <c r="J5">
        <v>1.3513307119788172</v>
      </c>
    </row>
    <row r="6" spans="1:10" x14ac:dyDescent="0.35">
      <c r="A6">
        <v>5</v>
      </c>
      <c r="B6">
        <v>0.88220606848214378</v>
      </c>
      <c r="C6">
        <v>2.9173802405273475</v>
      </c>
      <c r="D6">
        <v>2.5180137275834329</v>
      </c>
      <c r="E6">
        <v>2.5900497291898978</v>
      </c>
      <c r="F6">
        <v>2.1906832162459851</v>
      </c>
      <c r="G6">
        <v>2.2627192178524469</v>
      </c>
      <c r="H6">
        <v>1.8633527049085352</v>
      </c>
      <c r="I6">
        <v>1.9353887065150002</v>
      </c>
      <c r="J6">
        <v>1.536022193571086</v>
      </c>
    </row>
    <row r="11" spans="1:10" x14ac:dyDescent="0.35">
      <c r="A11" t="s">
        <v>11</v>
      </c>
      <c r="B11" t="s">
        <v>10</v>
      </c>
      <c r="C11" t="s">
        <v>130</v>
      </c>
      <c r="D11" t="s">
        <v>131</v>
      </c>
      <c r="E11" t="s">
        <v>132</v>
      </c>
      <c r="F11" t="s">
        <v>133</v>
      </c>
      <c r="G11" t="s">
        <v>134</v>
      </c>
      <c r="H11" t="s">
        <v>135</v>
      </c>
      <c r="I11" t="s">
        <v>136</v>
      </c>
      <c r="J11" t="s">
        <v>137</v>
      </c>
    </row>
    <row r="12" spans="1:10" x14ac:dyDescent="0.35">
      <c r="A12">
        <v>1</v>
      </c>
      <c r="B12">
        <v>2.557784565378892</v>
      </c>
      <c r="C12">
        <v>-6.8066573485252135</v>
      </c>
      <c r="D12">
        <v>-0.81823643545676106</v>
      </c>
      <c r="E12">
        <v>-9.9416246589286033</v>
      </c>
      <c r="F12">
        <v>-3.9532037458601508</v>
      </c>
      <c r="G12">
        <v>-13.076591969331993</v>
      </c>
      <c r="H12">
        <v>-7.0881710562635405</v>
      </c>
      <c r="I12">
        <v>-11.11911053544781</v>
      </c>
      <c r="J12">
        <v>-5.1306896223793501</v>
      </c>
    </row>
    <row r="13" spans="1:10" x14ac:dyDescent="0.35">
      <c r="A13">
        <v>2</v>
      </c>
      <c r="B13">
        <v>2.0794449493162137</v>
      </c>
      <c r="C13">
        <v>1.80725674998342</v>
      </c>
      <c r="D13">
        <v>3.6564152372291456</v>
      </c>
      <c r="E13">
        <v>-1.1852120463107241</v>
      </c>
      <c r="F13">
        <v>0.66394644093500155</v>
      </c>
      <c r="G13">
        <v>-4.1776808426048682</v>
      </c>
      <c r="H13">
        <v>-2.3285223553591408</v>
      </c>
      <c r="I13">
        <v>-2.3091758375336013</v>
      </c>
      <c r="J13">
        <v>-0.46001735028787216</v>
      </c>
    </row>
    <row r="14" spans="1:10" x14ac:dyDescent="0.35">
      <c r="A14">
        <v>3</v>
      </c>
      <c r="B14">
        <v>1.6429337827134241</v>
      </c>
      <c r="C14">
        <v>4.2481066097361913</v>
      </c>
      <c r="D14">
        <v>4.7869080440887961</v>
      </c>
      <c r="E14">
        <v>1.389500053968914</v>
      </c>
      <c r="F14">
        <v>1.9283014883215184</v>
      </c>
      <c r="G14">
        <v>-1.4691065017983636</v>
      </c>
      <c r="H14">
        <v>-0.93030506744575803</v>
      </c>
      <c r="I14">
        <v>0.31581458529713302</v>
      </c>
      <c r="J14">
        <v>0.85461601964973966</v>
      </c>
    </row>
    <row r="15" spans="1:10" x14ac:dyDescent="0.35">
      <c r="A15">
        <v>4</v>
      </c>
      <c r="B15">
        <v>1.2448867581261691</v>
      </c>
      <c r="C15">
        <v>5.1796131022065595</v>
      </c>
      <c r="D15">
        <v>5.11055220719064</v>
      </c>
      <c r="E15">
        <v>2.4468213502189315</v>
      </c>
      <c r="F15">
        <v>2.3777604552030134</v>
      </c>
      <c r="G15">
        <v>-0.28597040176869637</v>
      </c>
      <c r="H15">
        <v>-0.35503129678461409</v>
      </c>
      <c r="I15">
        <v>1.4203916069947349</v>
      </c>
      <c r="J15">
        <v>1.3513307119788172</v>
      </c>
    </row>
    <row r="16" spans="1:10" x14ac:dyDescent="0.35">
      <c r="A16">
        <v>5</v>
      </c>
      <c r="B16">
        <v>0.88220606848214378</v>
      </c>
      <c r="C16">
        <v>5.5318586131444816</v>
      </c>
      <c r="D16">
        <v>5.132492100200567</v>
      </c>
      <c r="E16">
        <v>2.9173802405273475</v>
      </c>
      <c r="F16">
        <v>2.5180137275834329</v>
      </c>
      <c r="G16">
        <v>0.30290186791021334</v>
      </c>
      <c r="H16">
        <v>-9.6464645033700697E-2</v>
      </c>
      <c r="I16">
        <v>1.9353887065150002</v>
      </c>
      <c r="J16">
        <v>1.536022193571086</v>
      </c>
    </row>
    <row r="21" spans="1:10" x14ac:dyDescent="0.35">
      <c r="A21" t="s">
        <v>11</v>
      </c>
      <c r="B21" t="s">
        <v>10</v>
      </c>
      <c r="C21" t="s">
        <v>172</v>
      </c>
      <c r="D21" t="s">
        <v>173</v>
      </c>
      <c r="E21" t="s">
        <v>174</v>
      </c>
      <c r="F21" t="s">
        <v>175</v>
      </c>
      <c r="G21" t="s">
        <v>138</v>
      </c>
      <c r="H21" t="s">
        <v>139</v>
      </c>
      <c r="I21" t="s">
        <v>176</v>
      </c>
      <c r="J21" t="s">
        <v>177</v>
      </c>
    </row>
    <row r="22" spans="1:10" x14ac:dyDescent="0.35">
      <c r="A22">
        <v>1</v>
      </c>
      <c r="B22">
        <v>2.557784565378892</v>
      </c>
      <c r="C22">
        <v>-10.09049332032825</v>
      </c>
      <c r="D22">
        <v>-4.1020724072597865</v>
      </c>
      <c r="E22">
        <v>-9.9492804712207885</v>
      </c>
      <c r="F22">
        <v>-3.9608595581523325</v>
      </c>
      <c r="G22">
        <v>-9.9416246589286033</v>
      </c>
      <c r="H22">
        <v>-3.9532037458601508</v>
      </c>
      <c r="I22">
        <v>-9.7715755550765664</v>
      </c>
      <c r="J22">
        <v>-3.7831546420081033</v>
      </c>
    </row>
    <row r="23" spans="1:10" x14ac:dyDescent="0.35">
      <c r="A23">
        <v>2</v>
      </c>
      <c r="B23">
        <v>2.0794449493162137</v>
      </c>
      <c r="C23">
        <v>-1.3273139503740214</v>
      </c>
      <c r="D23">
        <v>0.52184453687171128</v>
      </c>
      <c r="E23">
        <v>-1.192519867135081</v>
      </c>
      <c r="F23">
        <v>0.65663862011064644</v>
      </c>
      <c r="G23">
        <v>-1.1852120463107241</v>
      </c>
      <c r="H23">
        <v>0.66394644093500155</v>
      </c>
      <c r="I23">
        <v>-1.0228924471792311</v>
      </c>
      <c r="J23">
        <v>0.82626604006649984</v>
      </c>
    </row>
    <row r="24" spans="1:10" x14ac:dyDescent="0.35">
      <c r="A24">
        <v>3</v>
      </c>
      <c r="B24">
        <v>1.6429337827134241</v>
      </c>
      <c r="C24">
        <v>1.2537548007367334</v>
      </c>
      <c r="D24">
        <v>1.7925562350893429</v>
      </c>
      <c r="E24">
        <v>1.3825191342203951</v>
      </c>
      <c r="F24">
        <v>1.9213205685730006</v>
      </c>
      <c r="G24">
        <v>1.389500053968914</v>
      </c>
      <c r="H24">
        <v>1.9283014883215184</v>
      </c>
      <c r="I24">
        <v>1.54455860321141</v>
      </c>
      <c r="J24">
        <v>2.083360037564018</v>
      </c>
    </row>
    <row r="25" spans="1:10" x14ac:dyDescent="0.35">
      <c r="A25">
        <v>4</v>
      </c>
      <c r="B25">
        <v>1.2448867581261691</v>
      </c>
      <c r="C25">
        <v>2.3170506031198079</v>
      </c>
      <c r="D25">
        <v>2.2479897081038924</v>
      </c>
      <c r="E25">
        <v>2.4401476791355328</v>
      </c>
      <c r="F25">
        <v>2.3710867841196146</v>
      </c>
      <c r="G25">
        <v>2.4468213502189315</v>
      </c>
      <c r="H25">
        <v>2.3777604552030134</v>
      </c>
      <c r="I25">
        <v>2.5950553643018268</v>
      </c>
      <c r="J25">
        <v>2.5259944692859104</v>
      </c>
    </row>
    <row r="26" spans="1:10" x14ac:dyDescent="0.35">
      <c r="A26">
        <v>5</v>
      </c>
      <c r="B26">
        <v>0.88220606848214378</v>
      </c>
      <c r="C26">
        <v>2.7932277830844208</v>
      </c>
      <c r="D26">
        <v>2.3938612701405089</v>
      </c>
      <c r="E26">
        <v>2.9109954990991667</v>
      </c>
      <c r="F26">
        <v>2.5116289861552525</v>
      </c>
      <c r="G26">
        <v>2.9173802405273475</v>
      </c>
      <c r="H26">
        <v>2.5180137275834329</v>
      </c>
      <c r="I26">
        <v>3.0591966169944085</v>
      </c>
      <c r="J26">
        <v>2.6598301040504952</v>
      </c>
    </row>
    <row r="33" spans="4:6" x14ac:dyDescent="0.35">
      <c r="D33">
        <v>-1.1400471947560149</v>
      </c>
      <c r="E33">
        <v>-12.665010143080021</v>
      </c>
      <c r="F33">
        <v>-6.6765892300115581</v>
      </c>
    </row>
    <row r="34" spans="4:6" x14ac:dyDescent="0.35">
      <c r="D34">
        <v>-1.4503035489943805</v>
      </c>
      <c r="E34">
        <v>-3.7848072811825269</v>
      </c>
      <c r="F34">
        <v>-1.9356487939367941</v>
      </c>
    </row>
    <row r="35" spans="4:6" x14ac:dyDescent="0.35">
      <c r="D35">
        <v>-1.728918318125847</v>
      </c>
      <c r="E35">
        <v>-1.0938073709735576</v>
      </c>
      <c r="F35">
        <v>-0.55500593662094744</v>
      </c>
    </row>
    <row r="36" spans="4:6" x14ac:dyDescent="0.35">
      <c r="D36">
        <v>-1.978561250661607</v>
      </c>
      <c r="E36">
        <v>7.2810825811212787E-2</v>
      </c>
      <c r="F36">
        <v>3.749930795297729E-3</v>
      </c>
    </row>
    <row r="37" spans="4:6" x14ac:dyDescent="0.35">
      <c r="D37">
        <v>-2.2016861081177672</v>
      </c>
      <c r="E37">
        <v>0.64615003503690682</v>
      </c>
      <c r="F37">
        <v>0.24678352209299526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098F-52D5-4FC0-9F05-A69FE9DE7A8E}">
  <dimension ref="A1:S20"/>
  <sheetViews>
    <sheetView workbookViewId="0">
      <selection activeCell="P8" sqref="P8"/>
    </sheetView>
  </sheetViews>
  <sheetFormatPr defaultRowHeight="14.5" x14ac:dyDescent="0.35"/>
  <cols>
    <col min="1" max="1" width="4.6328125" bestFit="1" customWidth="1"/>
    <col min="2" max="2" width="11.81640625" bestFit="1" customWidth="1"/>
    <col min="3" max="3" width="17.7265625" bestFit="1" customWidth="1"/>
    <col min="4" max="7" width="11.81640625" bestFit="1" customWidth="1"/>
    <col min="14" max="14" width="17.7265625" bestFit="1" customWidth="1"/>
  </cols>
  <sheetData>
    <row r="1" spans="1:19" x14ac:dyDescent="0.35">
      <c r="A1" t="s">
        <v>11</v>
      </c>
      <c r="B1" t="s">
        <v>10</v>
      </c>
      <c r="C1" t="s">
        <v>91</v>
      </c>
      <c r="D1" t="s">
        <v>86</v>
      </c>
      <c r="E1" t="s">
        <v>99</v>
      </c>
      <c r="F1" t="s">
        <v>100</v>
      </c>
      <c r="G1" t="s">
        <v>101</v>
      </c>
      <c r="H1" t="s">
        <v>102</v>
      </c>
      <c r="L1" t="s">
        <v>11</v>
      </c>
      <c r="M1" t="s">
        <v>10</v>
      </c>
      <c r="N1" t="s">
        <v>92</v>
      </c>
      <c r="O1" t="s">
        <v>86</v>
      </c>
      <c r="P1" t="s">
        <v>99</v>
      </c>
      <c r="Q1" t="s">
        <v>100</v>
      </c>
      <c r="R1" t="s">
        <v>101</v>
      </c>
      <c r="S1" t="s">
        <v>102</v>
      </c>
    </row>
    <row r="2" spans="1:19" x14ac:dyDescent="0.35">
      <c r="A2">
        <v>1</v>
      </c>
      <c r="B2">
        <v>2.557784565378892</v>
      </c>
      <c r="C2">
        <v>-9.9416246589286033</v>
      </c>
      <c r="D2">
        <v>-10.692872324655738</v>
      </c>
      <c r="E2">
        <v>-12.534589715087314</v>
      </c>
      <c r="F2">
        <v>-14.322031805342178</v>
      </c>
      <c r="G2">
        <v>-15.00968144075317</v>
      </c>
      <c r="H2">
        <v>-15.689450780020998</v>
      </c>
      <c r="L2">
        <v>1</v>
      </c>
      <c r="M2">
        <v>2.557784565378892</v>
      </c>
      <c r="N2">
        <v>-3.9532037458601508</v>
      </c>
      <c r="O2">
        <v>-4.7044514115872822</v>
      </c>
      <c r="P2">
        <v>-6.5461688020188546</v>
      </c>
      <c r="Q2">
        <v>-8.3336108922737253</v>
      </c>
      <c r="R2">
        <v>-9.0212605276847171</v>
      </c>
      <c r="S2">
        <v>-9.7010298669525383</v>
      </c>
    </row>
    <row r="3" spans="1:19" x14ac:dyDescent="0.35">
      <c r="A3">
        <v>2</v>
      </c>
      <c r="B3">
        <v>2.0794449493162137</v>
      </c>
      <c r="C3">
        <v>-1.1852120463107241</v>
      </c>
      <c r="D3">
        <v>-1.9175208323560451</v>
      </c>
      <c r="E3">
        <v>-3.7181263777597398</v>
      </c>
      <c r="F3">
        <v>-5.4669236820856622</v>
      </c>
      <c r="G3">
        <v>-6.1446087539697096</v>
      </c>
      <c r="H3">
        <v>-6.814771724989825</v>
      </c>
      <c r="L3">
        <v>2</v>
      </c>
      <c r="M3">
        <v>2.0794449493162137</v>
      </c>
      <c r="N3">
        <v>0.66394644093500155</v>
      </c>
      <c r="O3">
        <v>-6.836234511031769E-2</v>
      </c>
      <c r="P3">
        <v>-1.8689678905140088</v>
      </c>
      <c r="Q3">
        <v>-3.6177651948399348</v>
      </c>
      <c r="R3">
        <v>-4.295450266723984</v>
      </c>
      <c r="S3">
        <v>-4.9656132377440958</v>
      </c>
    </row>
    <row r="4" spans="1:19" x14ac:dyDescent="0.35">
      <c r="A4">
        <v>3</v>
      </c>
      <c r="B4">
        <v>1.6429337827134241</v>
      </c>
      <c r="C4">
        <v>1.389500053968914</v>
      </c>
      <c r="D4">
        <v>0.67552159376864174</v>
      </c>
      <c r="E4">
        <v>-1.0849531718573548</v>
      </c>
      <c r="F4">
        <v>-2.7959372367712541</v>
      </c>
      <c r="G4">
        <v>-3.4635066981951232</v>
      </c>
      <c r="H4">
        <v>-4.1238905452294921</v>
      </c>
      <c r="L4">
        <v>3</v>
      </c>
      <c r="M4">
        <v>1.6429337827134241</v>
      </c>
      <c r="N4">
        <v>1.9283014883215184</v>
      </c>
      <c r="O4">
        <v>1.2143230281212471</v>
      </c>
      <c r="P4">
        <v>-0.5461517375047471</v>
      </c>
      <c r="Q4">
        <v>-2.2571358024186474</v>
      </c>
      <c r="R4">
        <v>-2.9247052638425188</v>
      </c>
      <c r="S4">
        <v>-3.5850891108768841</v>
      </c>
    </row>
    <row r="5" spans="1:19" x14ac:dyDescent="0.35">
      <c r="A5">
        <v>4</v>
      </c>
      <c r="B5">
        <v>1.2448867581261691</v>
      </c>
      <c r="C5">
        <v>2.4468213502189315</v>
      </c>
      <c r="D5">
        <v>1.750584632738081</v>
      </c>
      <c r="E5">
        <v>2.9266186362601587E-2</v>
      </c>
      <c r="F5">
        <v>-1.6447397753922708</v>
      </c>
      <c r="G5">
        <v>-2.3020830083115476</v>
      </c>
      <c r="H5">
        <v>-2.9525568846567358</v>
      </c>
      <c r="L5">
        <v>4</v>
      </c>
      <c r="M5">
        <v>1.2448867581261691</v>
      </c>
      <c r="N5">
        <v>2.3777604552030125</v>
      </c>
      <c r="O5">
        <v>1.6815237377221628</v>
      </c>
      <c r="P5">
        <v>-3.9794708653315247E-2</v>
      </c>
      <c r="Q5">
        <v>-1.7138006704081885</v>
      </c>
      <c r="R5">
        <v>-2.3711439033274671</v>
      </c>
      <c r="S5">
        <v>-3.0216177796726518</v>
      </c>
    </row>
    <row r="6" spans="1:19" x14ac:dyDescent="0.35">
      <c r="A6">
        <v>5</v>
      </c>
      <c r="B6">
        <v>0.88220606848214378</v>
      </c>
      <c r="C6">
        <v>2.9173802405273475</v>
      </c>
      <c r="D6">
        <v>2.2383161176133557</v>
      </c>
      <c r="E6">
        <v>0.55518822212839858</v>
      </c>
      <c r="F6">
        <v>-1.0826755335971399</v>
      </c>
      <c r="G6">
        <v>-1.7297181252252116</v>
      </c>
      <c r="H6">
        <v>-2.370188761934402</v>
      </c>
      <c r="L6">
        <v>5</v>
      </c>
      <c r="M6">
        <v>0.88220606848214378</v>
      </c>
      <c r="N6">
        <v>2.5180137275834324</v>
      </c>
      <c r="O6">
        <v>1.8389496046694416</v>
      </c>
      <c r="P6">
        <v>0.15582170918448526</v>
      </c>
      <c r="Q6">
        <v>-1.4820420465410535</v>
      </c>
      <c r="R6">
        <v>-2.1290846381691266</v>
      </c>
      <c r="S6">
        <v>-2.7695552748783143</v>
      </c>
    </row>
    <row r="7" spans="1:19" x14ac:dyDescent="0.35">
      <c r="A7">
        <v>6</v>
      </c>
      <c r="B7">
        <v>0.55203924884475819</v>
      </c>
      <c r="C7">
        <v>3.1097027496483101</v>
      </c>
      <c r="D7">
        <v>2.4472609722755569</v>
      </c>
      <c r="E7">
        <v>0.80136836680038981</v>
      </c>
      <c r="F7">
        <v>-0.80118734034273587</v>
      </c>
      <c r="G7">
        <v>-1.4378872364637918</v>
      </c>
      <c r="H7">
        <v>-2.0682949961678943</v>
      </c>
      <c r="L7">
        <v>6</v>
      </c>
      <c r="M7">
        <v>0.55203924884475819</v>
      </c>
      <c r="N7">
        <v>2.5162020214896077</v>
      </c>
      <c r="O7">
        <v>1.8537602441168557</v>
      </c>
      <c r="P7">
        <v>0.20786763864168969</v>
      </c>
      <c r="Q7">
        <v>-1.3946880685014367</v>
      </c>
      <c r="R7">
        <v>-2.0313879646224939</v>
      </c>
      <c r="S7">
        <v>-2.6617957243265935</v>
      </c>
    </row>
    <row r="8" spans="1:19" x14ac:dyDescent="0.35">
      <c r="A8">
        <v>7</v>
      </c>
      <c r="B8">
        <v>0.25175971113441775</v>
      </c>
      <c r="C8">
        <v>3.1547095532838663</v>
      </c>
      <c r="D8">
        <v>2.5083582374671911</v>
      </c>
      <c r="E8">
        <v>0.89875773819358806</v>
      </c>
      <c r="F8">
        <v>-0.66932013508175081</v>
      </c>
      <c r="G8">
        <v>-1.2956641383325671</v>
      </c>
      <c r="H8">
        <v>-1.9159794215497199</v>
      </c>
      <c r="L8">
        <v>7</v>
      </c>
      <c r="M8">
        <v>0.25175971113441775</v>
      </c>
      <c r="N8">
        <v>2.4428554480786628</v>
      </c>
      <c r="O8">
        <v>1.7965041322619879</v>
      </c>
      <c r="P8">
        <v>0.18690363298838619</v>
      </c>
      <c r="Q8">
        <v>-1.3811742402869531</v>
      </c>
      <c r="R8">
        <v>-2.0075182435377705</v>
      </c>
      <c r="S8">
        <v>-2.6278335267549218</v>
      </c>
    </row>
    <row r="13" spans="1:19" x14ac:dyDescent="0.35">
      <c r="A13" t="s">
        <v>11</v>
      </c>
      <c r="B13" t="s">
        <v>10</v>
      </c>
      <c r="C13" t="s">
        <v>91</v>
      </c>
      <c r="D13" t="s">
        <v>86</v>
      </c>
      <c r="E13" t="s">
        <v>99</v>
      </c>
      <c r="F13" t="s">
        <v>100</v>
      </c>
      <c r="G13" t="s">
        <v>101</v>
      </c>
      <c r="H13" t="s">
        <v>102</v>
      </c>
      <c r="L13" t="s">
        <v>11</v>
      </c>
      <c r="M13" t="s">
        <v>10</v>
      </c>
      <c r="N13" t="s">
        <v>92</v>
      </c>
      <c r="O13" t="s">
        <v>86</v>
      </c>
      <c r="P13" t="s">
        <v>99</v>
      </c>
      <c r="Q13" t="s">
        <v>100</v>
      </c>
      <c r="R13" t="s">
        <v>101</v>
      </c>
      <c r="S13" t="s">
        <v>102</v>
      </c>
    </row>
    <row r="14" spans="1:19" x14ac:dyDescent="0.35">
      <c r="A14">
        <v>1</v>
      </c>
      <c r="B14">
        <v>2.557784565378892</v>
      </c>
      <c r="C14">
        <v>-11.11911053544781</v>
      </c>
      <c r="D14">
        <v>-11.651391332920198</v>
      </c>
      <c r="E14">
        <v>-12.986586152617697</v>
      </c>
      <c r="F14">
        <v>-14.348432536504063</v>
      </c>
      <c r="G14">
        <v>-15.00968144075317</v>
      </c>
      <c r="H14">
        <v>-15.689450780020998</v>
      </c>
      <c r="L14">
        <v>1</v>
      </c>
      <c r="M14">
        <v>2.557784565378892</v>
      </c>
      <c r="N14">
        <v>-5.1306896223793501</v>
      </c>
      <c r="O14">
        <v>-5.6629704198517459</v>
      </c>
      <c r="P14">
        <v>-6.9981652395492375</v>
      </c>
      <c r="Q14">
        <v>-8.3600116234356108</v>
      </c>
      <c r="R14">
        <v>-9.0212605276847171</v>
      </c>
      <c r="S14">
        <v>-9.7010298669525383</v>
      </c>
    </row>
    <row r="15" spans="1:19" x14ac:dyDescent="0.35">
      <c r="A15">
        <v>2</v>
      </c>
      <c r="B15">
        <v>2.0794449493162137</v>
      </c>
      <c r="C15">
        <v>-2.3091758375336013</v>
      </c>
      <c r="D15">
        <v>-2.8324707947903036</v>
      </c>
      <c r="E15">
        <v>-4.1495775226751039</v>
      </c>
      <c r="F15">
        <v>-5.4921243800129176</v>
      </c>
      <c r="G15">
        <v>-6.1446087539697096</v>
      </c>
      <c r="H15">
        <v>-6.814771724989825</v>
      </c>
      <c r="L15">
        <v>2</v>
      </c>
      <c r="M15">
        <v>2.0794449493162137</v>
      </c>
      <c r="N15">
        <v>-0.46001735028787216</v>
      </c>
      <c r="O15">
        <v>-0.98331230754457799</v>
      </c>
      <c r="P15">
        <v>-2.300419035429373</v>
      </c>
      <c r="Q15">
        <v>-3.6429658927671902</v>
      </c>
      <c r="R15">
        <v>-4.295450266723984</v>
      </c>
      <c r="S15">
        <v>-4.9656132377440958</v>
      </c>
    </row>
    <row r="16" spans="1:19" x14ac:dyDescent="0.35">
      <c r="A16">
        <v>3</v>
      </c>
      <c r="B16">
        <v>1.6429337827134241</v>
      </c>
      <c r="C16">
        <v>0.31581458529713302</v>
      </c>
      <c r="D16">
        <v>-0.19849987106754816</v>
      </c>
      <c r="E16">
        <v>-1.4971041934070979</v>
      </c>
      <c r="F16">
        <v>-2.8200106307508257</v>
      </c>
      <c r="G16">
        <v>-3.4635066981951232</v>
      </c>
      <c r="H16">
        <v>-4.1238905452294921</v>
      </c>
      <c r="L16">
        <v>3</v>
      </c>
      <c r="M16">
        <v>1.6429337827134241</v>
      </c>
      <c r="N16">
        <v>0.85461601964973966</v>
      </c>
      <c r="O16">
        <v>0.34030156328505612</v>
      </c>
      <c r="P16">
        <v>-0.95830275905449014</v>
      </c>
      <c r="Q16">
        <v>-2.2812091963982191</v>
      </c>
      <c r="R16">
        <v>-2.9247052638425188</v>
      </c>
      <c r="S16">
        <v>-3.5850891108768841</v>
      </c>
    </row>
    <row r="17" spans="1:19" x14ac:dyDescent="0.35">
      <c r="A17">
        <v>4</v>
      </c>
      <c r="B17">
        <v>1.2448867581261691</v>
      </c>
      <c r="C17">
        <v>1.4203916069947349</v>
      </c>
      <c r="D17">
        <v>0.91503115464729001</v>
      </c>
      <c r="E17">
        <v>-0.36474498316754733</v>
      </c>
      <c r="F17">
        <v>-1.6677536358960872</v>
      </c>
      <c r="G17">
        <v>-2.3020830083115476</v>
      </c>
      <c r="H17">
        <v>-2.9525568846567358</v>
      </c>
      <c r="L17">
        <v>4</v>
      </c>
      <c r="M17">
        <v>1.2448867581261691</v>
      </c>
      <c r="N17">
        <v>1.3513307119788172</v>
      </c>
      <c r="O17">
        <v>0.84597025963137096</v>
      </c>
      <c r="P17">
        <v>-0.43380587818346328</v>
      </c>
      <c r="Q17">
        <v>-1.7368145309120049</v>
      </c>
      <c r="R17">
        <v>-2.3711439033274671</v>
      </c>
      <c r="S17">
        <v>-3.0216177796726518</v>
      </c>
    </row>
    <row r="18" spans="1:19" x14ac:dyDescent="0.35">
      <c r="A18">
        <v>5</v>
      </c>
      <c r="B18">
        <v>0.88220606848214378</v>
      </c>
      <c r="C18">
        <v>1.9353887065150002</v>
      </c>
      <c r="D18">
        <v>1.4389370591671611</v>
      </c>
      <c r="E18">
        <v>0.17823535678221311</v>
      </c>
      <c r="F18">
        <v>-1.1046930329232019</v>
      </c>
      <c r="G18">
        <v>-1.7297181252252116</v>
      </c>
      <c r="H18">
        <v>-2.370188761934402</v>
      </c>
      <c r="L18">
        <v>5</v>
      </c>
      <c r="M18">
        <v>0.88220606848214378</v>
      </c>
      <c r="N18">
        <v>1.536022193571086</v>
      </c>
      <c r="O18">
        <v>1.0395705462232456</v>
      </c>
      <c r="P18">
        <v>-0.22113115616169948</v>
      </c>
      <c r="Q18">
        <v>-1.5040595458671155</v>
      </c>
      <c r="R18">
        <v>-2.1290846381691266</v>
      </c>
      <c r="S18">
        <v>-2.7695552748783143</v>
      </c>
    </row>
    <row r="19" spans="1:19" x14ac:dyDescent="0.35">
      <c r="A19">
        <v>6</v>
      </c>
      <c r="B19">
        <v>0.55203924884475819</v>
      </c>
      <c r="C19">
        <v>2.1695221232493922</v>
      </c>
      <c r="D19">
        <v>1.6819176084389087</v>
      </c>
      <c r="E19">
        <v>0.44046527467700375</v>
      </c>
      <c r="F19">
        <v>-0.82226738593491555</v>
      </c>
      <c r="G19">
        <v>-1.4378872364637918</v>
      </c>
      <c r="H19">
        <v>-2.0682949961678943</v>
      </c>
      <c r="L19">
        <v>6</v>
      </c>
      <c r="M19">
        <v>0.55203924884475819</v>
      </c>
      <c r="N19">
        <v>1.5760213950906909</v>
      </c>
      <c r="O19">
        <v>1.0884168802802063</v>
      </c>
      <c r="P19">
        <v>-0.15303545348169578</v>
      </c>
      <c r="Q19">
        <v>-1.4157681140936162</v>
      </c>
      <c r="R19">
        <v>-2.0313879646224939</v>
      </c>
      <c r="S19">
        <v>-2.6617957243265935</v>
      </c>
    </row>
    <row r="20" spans="1:19" x14ac:dyDescent="0.35">
      <c r="A20">
        <v>7</v>
      </c>
      <c r="B20">
        <v>0.25175971113441775</v>
      </c>
      <c r="C20">
        <v>2.2538890048988494</v>
      </c>
      <c r="D20">
        <v>1.7750554982320224</v>
      </c>
      <c r="E20">
        <v>0.55296362987881709</v>
      </c>
      <c r="F20">
        <v>-0.68951767765722516</v>
      </c>
      <c r="G20">
        <v>-1.2956641383325671</v>
      </c>
      <c r="H20">
        <v>-1.9159794215497199</v>
      </c>
      <c r="L20">
        <v>7</v>
      </c>
      <c r="M20">
        <v>0.25175971113441775</v>
      </c>
      <c r="N20">
        <v>1.5420348996936468</v>
      </c>
      <c r="O20">
        <v>1.0632013930268183</v>
      </c>
      <c r="P20">
        <v>-0.15889047532638451</v>
      </c>
      <c r="Q20">
        <v>-1.4013717828624277</v>
      </c>
      <c r="R20">
        <v>-2.0075182435377705</v>
      </c>
      <c r="S20">
        <v>-2.6278335267549218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143F-9259-4777-B6B7-A72B4FC0C8FA}">
  <dimension ref="A1:H280"/>
  <sheetViews>
    <sheetView workbookViewId="0">
      <selection activeCell="H1" sqref="H1:H280"/>
    </sheetView>
  </sheetViews>
  <sheetFormatPr defaultRowHeight="14.5" x14ac:dyDescent="0.35"/>
  <cols>
    <col min="1" max="1" width="25.6328125" bestFit="1" customWidth="1"/>
    <col min="2" max="2" width="16.453125" bestFit="1" customWidth="1"/>
    <col min="3" max="3" width="10.36328125" bestFit="1" customWidth="1"/>
    <col min="4" max="4" width="17.81640625" bestFit="1" customWidth="1"/>
    <col min="5" max="5" width="24.54296875" bestFit="1" customWidth="1"/>
    <col min="6" max="6" width="29.453125" bestFit="1" customWidth="1"/>
    <col min="12" max="12" width="14.7265625" bestFit="1" customWidth="1"/>
  </cols>
  <sheetData>
    <row r="1" spans="1:8" x14ac:dyDescent="0.35">
      <c r="H1" t="s">
        <v>183</v>
      </c>
    </row>
    <row r="2" spans="1:8" x14ac:dyDescent="0.35">
      <c r="H2" t="s">
        <v>184</v>
      </c>
    </row>
    <row r="3" spans="1:8" x14ac:dyDescent="0.35">
      <c r="A3" t="s">
        <v>87</v>
      </c>
      <c r="B3" t="s">
        <v>75</v>
      </c>
      <c r="C3" t="s">
        <v>145</v>
      </c>
      <c r="D3" s="5" t="s">
        <v>147</v>
      </c>
      <c r="E3" s="5"/>
      <c r="H3" t="s">
        <v>185</v>
      </c>
    </row>
    <row r="4" spans="1:8" x14ac:dyDescent="0.35">
      <c r="A4" t="s">
        <v>80</v>
      </c>
      <c r="B4" s="6">
        <v>6.7199999999999996E-2</v>
      </c>
      <c r="C4" s="4">
        <v>32</v>
      </c>
      <c r="D4" s="13">
        <v>0.78</v>
      </c>
      <c r="E4" s="5"/>
      <c r="H4" t="s">
        <v>186</v>
      </c>
    </row>
    <row r="5" spans="1:8" x14ac:dyDescent="0.35">
      <c r="A5" t="s">
        <v>81</v>
      </c>
      <c r="B5" s="6">
        <v>0.1429</v>
      </c>
      <c r="C5" s="4">
        <v>61</v>
      </c>
      <c r="D5" s="13">
        <v>0.78</v>
      </c>
      <c r="E5" s="5"/>
      <c r="H5" t="s">
        <v>187</v>
      </c>
    </row>
    <row r="6" spans="1:8" x14ac:dyDescent="0.35">
      <c r="A6" t="s">
        <v>82</v>
      </c>
      <c r="B6" s="6">
        <v>0.1176</v>
      </c>
      <c r="C6" s="4">
        <v>99</v>
      </c>
      <c r="D6" s="13">
        <v>0.78</v>
      </c>
      <c r="E6" s="5"/>
      <c r="H6" t="s">
        <v>188</v>
      </c>
    </row>
    <row r="7" spans="1:8" x14ac:dyDescent="0.35">
      <c r="A7" t="s">
        <v>83</v>
      </c>
      <c r="B7" s="6">
        <v>0.1176</v>
      </c>
      <c r="C7" s="4">
        <v>135</v>
      </c>
      <c r="D7" s="13">
        <v>0.78</v>
      </c>
      <c r="E7" s="5"/>
      <c r="H7" t="s">
        <v>189</v>
      </c>
    </row>
    <row r="8" spans="1:8" x14ac:dyDescent="0.35">
      <c r="A8" t="s">
        <v>84</v>
      </c>
      <c r="B8" s="6">
        <v>0.23530000000000001</v>
      </c>
      <c r="C8" s="4">
        <v>183</v>
      </c>
      <c r="D8" s="13">
        <v>0.78</v>
      </c>
      <c r="E8" s="5"/>
      <c r="H8" t="s">
        <v>190</v>
      </c>
    </row>
    <row r="9" spans="1:8" x14ac:dyDescent="0.35">
      <c r="A9" t="s">
        <v>85</v>
      </c>
      <c r="B9" s="6">
        <v>0.23530000000000001</v>
      </c>
      <c r="C9" s="4">
        <v>215</v>
      </c>
      <c r="D9" s="13">
        <v>0.78</v>
      </c>
      <c r="E9" s="5"/>
      <c r="H9" t="s">
        <v>191</v>
      </c>
    </row>
    <row r="10" spans="1:8" x14ac:dyDescent="0.35">
      <c r="A10" t="s">
        <v>86</v>
      </c>
      <c r="B10" s="6">
        <v>8.4000000000000005E-2</v>
      </c>
      <c r="C10" s="4">
        <v>261</v>
      </c>
      <c r="D10" s="13">
        <v>0.78</v>
      </c>
      <c r="H10" t="s">
        <v>192</v>
      </c>
    </row>
    <row r="11" spans="1:8" x14ac:dyDescent="0.35">
      <c r="A11" t="s">
        <v>80</v>
      </c>
      <c r="B11" s="6">
        <v>6.7199999999999996E-2</v>
      </c>
      <c r="C11" s="4">
        <f>ROUNDUP((C4/0.78)*D11,0)</f>
        <v>22</v>
      </c>
      <c r="D11" s="13">
        <v>0.52</v>
      </c>
      <c r="H11" t="s">
        <v>193</v>
      </c>
    </row>
    <row r="12" spans="1:8" x14ac:dyDescent="0.35">
      <c r="A12" t="s">
        <v>81</v>
      </c>
      <c r="B12" s="6">
        <v>0.1429</v>
      </c>
      <c r="C12" s="4">
        <f t="shared" ref="C12:C31" si="0">ROUNDUP((C5/0.78)*D12,0)</f>
        <v>41</v>
      </c>
      <c r="D12" s="13">
        <v>0.52</v>
      </c>
      <c r="H12" t="s">
        <v>194</v>
      </c>
    </row>
    <row r="13" spans="1:8" x14ac:dyDescent="0.35">
      <c r="A13" t="s">
        <v>82</v>
      </c>
      <c r="B13" s="6">
        <v>0.1176</v>
      </c>
      <c r="C13" s="4">
        <f t="shared" si="0"/>
        <v>66</v>
      </c>
      <c r="D13" s="13">
        <v>0.52</v>
      </c>
      <c r="H13" t="s">
        <v>195</v>
      </c>
    </row>
    <row r="14" spans="1:8" x14ac:dyDescent="0.35">
      <c r="A14" t="s">
        <v>83</v>
      </c>
      <c r="B14" s="6">
        <v>0.1176</v>
      </c>
      <c r="C14" s="4">
        <f t="shared" si="0"/>
        <v>90</v>
      </c>
      <c r="D14" s="13">
        <v>0.52</v>
      </c>
      <c r="H14" t="s">
        <v>196</v>
      </c>
    </row>
    <row r="15" spans="1:8" x14ac:dyDescent="0.35">
      <c r="A15" t="s">
        <v>84</v>
      </c>
      <c r="B15" s="6">
        <v>0.23530000000000001</v>
      </c>
      <c r="C15" s="4">
        <f t="shared" si="0"/>
        <v>122</v>
      </c>
      <c r="D15" s="13">
        <v>0.52</v>
      </c>
      <c r="H15" t="s">
        <v>197</v>
      </c>
    </row>
    <row r="16" spans="1:8" x14ac:dyDescent="0.35">
      <c r="A16" t="s">
        <v>85</v>
      </c>
      <c r="B16" s="6">
        <v>0.23530000000000001</v>
      </c>
      <c r="C16" s="4">
        <f t="shared" si="0"/>
        <v>144</v>
      </c>
      <c r="D16" s="13">
        <v>0.52</v>
      </c>
      <c r="H16" t="s">
        <v>198</v>
      </c>
    </row>
    <row r="17" spans="1:8" x14ac:dyDescent="0.35">
      <c r="A17" t="s">
        <v>86</v>
      </c>
      <c r="B17" s="6">
        <v>8.4000000000000005E-2</v>
      </c>
      <c r="C17" s="4">
        <f t="shared" si="0"/>
        <v>174</v>
      </c>
      <c r="D17" s="13">
        <v>0.52</v>
      </c>
      <c r="H17" t="s">
        <v>199</v>
      </c>
    </row>
    <row r="18" spans="1:8" x14ac:dyDescent="0.35">
      <c r="A18" t="s">
        <v>80</v>
      </c>
      <c r="B18" s="6">
        <v>6.7199999999999996E-2</v>
      </c>
      <c r="C18" s="4">
        <f>ROUNDUP((C4/0.78)*D18,0)</f>
        <v>27</v>
      </c>
      <c r="D18" s="13">
        <v>0.65</v>
      </c>
      <c r="H18" t="s">
        <v>200</v>
      </c>
    </row>
    <row r="19" spans="1:8" x14ac:dyDescent="0.35">
      <c r="A19" t="s">
        <v>81</v>
      </c>
      <c r="B19" s="6">
        <v>0.1429</v>
      </c>
      <c r="C19" s="4">
        <f t="shared" ref="C19:C24" si="1">ROUNDUP((C5/0.78)*D19,0)</f>
        <v>51</v>
      </c>
      <c r="D19" s="13">
        <v>0.65</v>
      </c>
      <c r="H19" t="s">
        <v>201</v>
      </c>
    </row>
    <row r="20" spans="1:8" x14ac:dyDescent="0.35">
      <c r="A20" t="s">
        <v>82</v>
      </c>
      <c r="B20" s="6">
        <v>0.1176</v>
      </c>
      <c r="C20" s="4">
        <f t="shared" si="1"/>
        <v>83</v>
      </c>
      <c r="D20" s="13">
        <v>0.65</v>
      </c>
      <c r="H20" t="s">
        <v>202</v>
      </c>
    </row>
    <row r="21" spans="1:8" x14ac:dyDescent="0.35">
      <c r="A21" t="s">
        <v>83</v>
      </c>
      <c r="B21" s="6">
        <v>0.1176</v>
      </c>
      <c r="C21" s="4">
        <f t="shared" si="1"/>
        <v>113</v>
      </c>
      <c r="D21" s="13">
        <v>0.65</v>
      </c>
      <c r="H21" t="s">
        <v>203</v>
      </c>
    </row>
    <row r="22" spans="1:8" x14ac:dyDescent="0.35">
      <c r="A22" t="s">
        <v>84</v>
      </c>
      <c r="B22" s="6">
        <v>0.23530000000000001</v>
      </c>
      <c r="C22" s="4">
        <f t="shared" si="1"/>
        <v>153</v>
      </c>
      <c r="D22" s="13">
        <v>0.65</v>
      </c>
      <c r="H22" t="s">
        <v>204</v>
      </c>
    </row>
    <row r="23" spans="1:8" x14ac:dyDescent="0.35">
      <c r="A23" t="s">
        <v>85</v>
      </c>
      <c r="B23" s="6">
        <v>0.23530000000000001</v>
      </c>
      <c r="C23" s="4">
        <f t="shared" si="1"/>
        <v>180</v>
      </c>
      <c r="D23" s="13">
        <v>0.65</v>
      </c>
      <c r="H23" t="s">
        <v>205</v>
      </c>
    </row>
    <row r="24" spans="1:8" x14ac:dyDescent="0.35">
      <c r="A24" t="s">
        <v>86</v>
      </c>
      <c r="B24" s="6">
        <v>8.4000000000000005E-2</v>
      </c>
      <c r="C24" s="4">
        <f t="shared" si="1"/>
        <v>218</v>
      </c>
      <c r="D24" s="13">
        <v>0.65</v>
      </c>
      <c r="H24" t="s">
        <v>206</v>
      </c>
    </row>
    <row r="25" spans="1:8" x14ac:dyDescent="0.35">
      <c r="A25" t="s">
        <v>80</v>
      </c>
      <c r="B25" s="6">
        <v>6.7199999999999996E-2</v>
      </c>
      <c r="C25" s="4">
        <f>ROUNDUP((C4/0.78)*D25,0)</f>
        <v>38</v>
      </c>
      <c r="D25" s="13">
        <v>0.91</v>
      </c>
      <c r="H25" t="s">
        <v>207</v>
      </c>
    </row>
    <row r="26" spans="1:8" x14ac:dyDescent="0.35">
      <c r="A26" t="s">
        <v>81</v>
      </c>
      <c r="B26" s="6">
        <v>0.1429</v>
      </c>
      <c r="C26" s="4">
        <f t="shared" ref="C26:C31" si="2">ROUNDUP((C5/0.78)*D26,0)</f>
        <v>72</v>
      </c>
      <c r="D26" s="13">
        <v>0.91</v>
      </c>
      <c r="H26" t="s">
        <v>208</v>
      </c>
    </row>
    <row r="27" spans="1:8" x14ac:dyDescent="0.35">
      <c r="A27" t="s">
        <v>82</v>
      </c>
      <c r="B27" s="6">
        <v>0.1176</v>
      </c>
      <c r="C27" s="4">
        <f t="shared" si="2"/>
        <v>116</v>
      </c>
      <c r="D27" s="13">
        <v>0.91</v>
      </c>
      <c r="H27" t="s">
        <v>209</v>
      </c>
    </row>
    <row r="28" spans="1:8" x14ac:dyDescent="0.35">
      <c r="A28" t="s">
        <v>83</v>
      </c>
      <c r="B28" s="6">
        <v>0.1176</v>
      </c>
      <c r="C28" s="4">
        <f t="shared" si="2"/>
        <v>158</v>
      </c>
      <c r="D28" s="13">
        <v>0.91</v>
      </c>
      <c r="H28" t="s">
        <v>210</v>
      </c>
    </row>
    <row r="29" spans="1:8" x14ac:dyDescent="0.35">
      <c r="A29" t="s">
        <v>84</v>
      </c>
      <c r="B29" s="6">
        <v>0.23530000000000001</v>
      </c>
      <c r="C29" s="4">
        <f t="shared" si="2"/>
        <v>214</v>
      </c>
      <c r="D29" s="13">
        <v>0.91</v>
      </c>
      <c r="H29" t="s">
        <v>211</v>
      </c>
    </row>
    <row r="30" spans="1:8" x14ac:dyDescent="0.35">
      <c r="A30" t="s">
        <v>85</v>
      </c>
      <c r="B30" s="6">
        <v>0.23530000000000001</v>
      </c>
      <c r="C30" s="4">
        <f t="shared" si="2"/>
        <v>251</v>
      </c>
      <c r="D30" s="13">
        <v>0.91</v>
      </c>
      <c r="H30" t="s">
        <v>212</v>
      </c>
    </row>
    <row r="31" spans="1:8" x14ac:dyDescent="0.35">
      <c r="A31" t="s">
        <v>86</v>
      </c>
      <c r="B31" s="6">
        <v>8.4000000000000005E-2</v>
      </c>
      <c r="C31" s="4">
        <f t="shared" si="2"/>
        <v>305</v>
      </c>
      <c r="D31" s="13">
        <v>0.91</v>
      </c>
      <c r="H31" t="s">
        <v>213</v>
      </c>
    </row>
    <row r="32" spans="1:8" x14ac:dyDescent="0.35">
      <c r="H32" t="s">
        <v>214</v>
      </c>
    </row>
    <row r="33" spans="8:8" x14ac:dyDescent="0.35">
      <c r="H33" t="s">
        <v>215</v>
      </c>
    </row>
    <row r="34" spans="8:8" x14ac:dyDescent="0.35">
      <c r="H34" t="s">
        <v>216</v>
      </c>
    </row>
    <row r="35" spans="8:8" x14ac:dyDescent="0.35">
      <c r="H35" t="s">
        <v>217</v>
      </c>
    </row>
    <row r="36" spans="8:8" x14ac:dyDescent="0.35">
      <c r="H36" t="s">
        <v>218</v>
      </c>
    </row>
    <row r="37" spans="8:8" x14ac:dyDescent="0.35">
      <c r="H37" t="s">
        <v>219</v>
      </c>
    </row>
    <row r="38" spans="8:8" x14ac:dyDescent="0.35">
      <c r="H38" t="s">
        <v>220</v>
      </c>
    </row>
    <row r="39" spans="8:8" x14ac:dyDescent="0.35">
      <c r="H39" t="s">
        <v>221</v>
      </c>
    </row>
    <row r="40" spans="8:8" x14ac:dyDescent="0.35">
      <c r="H40" t="s">
        <v>222</v>
      </c>
    </row>
    <row r="41" spans="8:8" x14ac:dyDescent="0.35">
      <c r="H41" t="s">
        <v>223</v>
      </c>
    </row>
    <row r="42" spans="8:8" x14ac:dyDescent="0.35">
      <c r="H42" t="s">
        <v>224</v>
      </c>
    </row>
    <row r="43" spans="8:8" x14ac:dyDescent="0.35">
      <c r="H43" t="s">
        <v>225</v>
      </c>
    </row>
    <row r="44" spans="8:8" x14ac:dyDescent="0.35">
      <c r="H44" t="s">
        <v>226</v>
      </c>
    </row>
    <row r="45" spans="8:8" x14ac:dyDescent="0.35">
      <c r="H45" t="s">
        <v>227</v>
      </c>
    </row>
    <row r="46" spans="8:8" x14ac:dyDescent="0.35">
      <c r="H46" t="s">
        <v>228</v>
      </c>
    </row>
    <row r="47" spans="8:8" x14ac:dyDescent="0.35">
      <c r="H47" t="s">
        <v>229</v>
      </c>
    </row>
    <row r="48" spans="8:8" x14ac:dyDescent="0.35">
      <c r="H48" t="s">
        <v>230</v>
      </c>
    </row>
    <row r="49" spans="8:8" x14ac:dyDescent="0.35">
      <c r="H49" t="s">
        <v>231</v>
      </c>
    </row>
    <row r="50" spans="8:8" x14ac:dyDescent="0.35">
      <c r="H50" t="s">
        <v>232</v>
      </c>
    </row>
    <row r="51" spans="8:8" x14ac:dyDescent="0.35">
      <c r="H51" t="s">
        <v>233</v>
      </c>
    </row>
    <row r="52" spans="8:8" x14ac:dyDescent="0.35">
      <c r="H52" t="s">
        <v>234</v>
      </c>
    </row>
    <row r="53" spans="8:8" x14ac:dyDescent="0.35">
      <c r="H53" t="s">
        <v>235</v>
      </c>
    </row>
    <row r="54" spans="8:8" x14ac:dyDescent="0.35">
      <c r="H54" t="s">
        <v>236</v>
      </c>
    </row>
    <row r="55" spans="8:8" x14ac:dyDescent="0.35">
      <c r="H55" t="s">
        <v>237</v>
      </c>
    </row>
    <row r="56" spans="8:8" x14ac:dyDescent="0.35">
      <c r="H56" t="s">
        <v>238</v>
      </c>
    </row>
    <row r="57" spans="8:8" x14ac:dyDescent="0.35">
      <c r="H57" t="s">
        <v>239</v>
      </c>
    </row>
    <row r="58" spans="8:8" x14ac:dyDescent="0.35">
      <c r="H58" t="s">
        <v>240</v>
      </c>
    </row>
    <row r="59" spans="8:8" x14ac:dyDescent="0.35">
      <c r="H59" t="s">
        <v>241</v>
      </c>
    </row>
    <row r="60" spans="8:8" x14ac:dyDescent="0.35">
      <c r="H60" t="s">
        <v>242</v>
      </c>
    </row>
    <row r="61" spans="8:8" x14ac:dyDescent="0.35">
      <c r="H61" t="s">
        <v>243</v>
      </c>
    </row>
    <row r="62" spans="8:8" x14ac:dyDescent="0.35">
      <c r="H62" t="s">
        <v>244</v>
      </c>
    </row>
    <row r="63" spans="8:8" x14ac:dyDescent="0.35">
      <c r="H63" t="s">
        <v>245</v>
      </c>
    </row>
    <row r="64" spans="8:8" x14ac:dyDescent="0.35">
      <c r="H64" t="s">
        <v>246</v>
      </c>
    </row>
    <row r="65" spans="8:8" x14ac:dyDescent="0.35">
      <c r="H65" t="s">
        <v>247</v>
      </c>
    </row>
    <row r="66" spans="8:8" x14ac:dyDescent="0.35">
      <c r="H66" t="s">
        <v>248</v>
      </c>
    </row>
    <row r="67" spans="8:8" x14ac:dyDescent="0.35">
      <c r="H67" t="s">
        <v>249</v>
      </c>
    </row>
    <row r="68" spans="8:8" x14ac:dyDescent="0.35">
      <c r="H68" t="s">
        <v>250</v>
      </c>
    </row>
    <row r="69" spans="8:8" x14ac:dyDescent="0.35">
      <c r="H69" t="s">
        <v>251</v>
      </c>
    </row>
    <row r="70" spans="8:8" x14ac:dyDescent="0.35">
      <c r="H70" t="s">
        <v>252</v>
      </c>
    </row>
    <row r="71" spans="8:8" x14ac:dyDescent="0.35">
      <c r="H71" t="s">
        <v>253</v>
      </c>
    </row>
    <row r="72" spans="8:8" x14ac:dyDescent="0.35">
      <c r="H72" t="s">
        <v>254</v>
      </c>
    </row>
    <row r="73" spans="8:8" x14ac:dyDescent="0.35">
      <c r="H73" t="s">
        <v>255</v>
      </c>
    </row>
    <row r="74" spans="8:8" x14ac:dyDescent="0.35">
      <c r="H74" t="s">
        <v>256</v>
      </c>
    </row>
    <row r="75" spans="8:8" x14ac:dyDescent="0.35">
      <c r="H75" t="s">
        <v>257</v>
      </c>
    </row>
    <row r="76" spans="8:8" x14ac:dyDescent="0.35">
      <c r="H76" t="s">
        <v>258</v>
      </c>
    </row>
    <row r="77" spans="8:8" x14ac:dyDescent="0.35">
      <c r="H77" t="s">
        <v>259</v>
      </c>
    </row>
    <row r="78" spans="8:8" x14ac:dyDescent="0.35">
      <c r="H78" t="s">
        <v>260</v>
      </c>
    </row>
    <row r="79" spans="8:8" x14ac:dyDescent="0.35">
      <c r="H79" t="s">
        <v>261</v>
      </c>
    </row>
    <row r="80" spans="8:8" x14ac:dyDescent="0.35">
      <c r="H80" t="s">
        <v>262</v>
      </c>
    </row>
    <row r="81" spans="8:8" x14ac:dyDescent="0.35">
      <c r="H81" t="s">
        <v>263</v>
      </c>
    </row>
    <row r="82" spans="8:8" x14ac:dyDescent="0.35">
      <c r="H82" t="s">
        <v>264</v>
      </c>
    </row>
    <row r="83" spans="8:8" x14ac:dyDescent="0.35">
      <c r="H83" t="s">
        <v>265</v>
      </c>
    </row>
    <row r="84" spans="8:8" x14ac:dyDescent="0.35">
      <c r="H84" t="s">
        <v>266</v>
      </c>
    </row>
    <row r="85" spans="8:8" x14ac:dyDescent="0.35">
      <c r="H85" t="s">
        <v>267</v>
      </c>
    </row>
    <row r="86" spans="8:8" x14ac:dyDescent="0.35">
      <c r="H86" t="s">
        <v>268</v>
      </c>
    </row>
    <row r="87" spans="8:8" x14ac:dyDescent="0.35">
      <c r="H87" t="s">
        <v>269</v>
      </c>
    </row>
    <row r="88" spans="8:8" x14ac:dyDescent="0.35">
      <c r="H88" t="s">
        <v>270</v>
      </c>
    </row>
    <row r="89" spans="8:8" x14ac:dyDescent="0.35">
      <c r="H89" t="s">
        <v>271</v>
      </c>
    </row>
    <row r="90" spans="8:8" x14ac:dyDescent="0.35">
      <c r="H90" t="s">
        <v>272</v>
      </c>
    </row>
    <row r="91" spans="8:8" x14ac:dyDescent="0.35">
      <c r="H91" t="s">
        <v>273</v>
      </c>
    </row>
    <row r="92" spans="8:8" x14ac:dyDescent="0.35">
      <c r="H92" t="s">
        <v>274</v>
      </c>
    </row>
    <row r="93" spans="8:8" x14ac:dyDescent="0.35">
      <c r="H93" t="s">
        <v>275</v>
      </c>
    </row>
    <row r="94" spans="8:8" x14ac:dyDescent="0.35">
      <c r="H94" t="s">
        <v>276</v>
      </c>
    </row>
    <row r="95" spans="8:8" x14ac:dyDescent="0.35">
      <c r="H95" t="s">
        <v>277</v>
      </c>
    </row>
    <row r="96" spans="8:8" x14ac:dyDescent="0.35">
      <c r="H96" t="s">
        <v>278</v>
      </c>
    </row>
    <row r="97" spans="8:8" x14ac:dyDescent="0.35">
      <c r="H97" t="s">
        <v>279</v>
      </c>
    </row>
    <row r="98" spans="8:8" x14ac:dyDescent="0.35">
      <c r="H98" t="s">
        <v>280</v>
      </c>
    </row>
    <row r="99" spans="8:8" x14ac:dyDescent="0.35">
      <c r="H99" t="s">
        <v>281</v>
      </c>
    </row>
    <row r="100" spans="8:8" x14ac:dyDescent="0.35">
      <c r="H100" t="s">
        <v>282</v>
      </c>
    </row>
    <row r="101" spans="8:8" x14ac:dyDescent="0.35">
      <c r="H101" t="s">
        <v>283</v>
      </c>
    </row>
    <row r="102" spans="8:8" x14ac:dyDescent="0.35">
      <c r="H102" t="s">
        <v>284</v>
      </c>
    </row>
    <row r="103" spans="8:8" x14ac:dyDescent="0.35">
      <c r="H103" t="s">
        <v>285</v>
      </c>
    </row>
    <row r="104" spans="8:8" x14ac:dyDescent="0.35">
      <c r="H104" t="s">
        <v>286</v>
      </c>
    </row>
    <row r="105" spans="8:8" x14ac:dyDescent="0.35">
      <c r="H105" t="s">
        <v>287</v>
      </c>
    </row>
    <row r="106" spans="8:8" x14ac:dyDescent="0.35">
      <c r="H106" t="s">
        <v>288</v>
      </c>
    </row>
    <row r="107" spans="8:8" x14ac:dyDescent="0.35">
      <c r="H107" t="s">
        <v>289</v>
      </c>
    </row>
    <row r="108" spans="8:8" x14ac:dyDescent="0.35">
      <c r="H108" t="s">
        <v>290</v>
      </c>
    </row>
    <row r="109" spans="8:8" x14ac:dyDescent="0.35">
      <c r="H109" t="s">
        <v>291</v>
      </c>
    </row>
    <row r="110" spans="8:8" x14ac:dyDescent="0.35">
      <c r="H110" t="s">
        <v>292</v>
      </c>
    </row>
    <row r="111" spans="8:8" x14ac:dyDescent="0.35">
      <c r="H111" t="s">
        <v>293</v>
      </c>
    </row>
    <row r="112" spans="8:8" x14ac:dyDescent="0.35">
      <c r="H112" t="s">
        <v>294</v>
      </c>
    </row>
    <row r="113" spans="8:8" x14ac:dyDescent="0.35">
      <c r="H113" t="s">
        <v>295</v>
      </c>
    </row>
    <row r="114" spans="8:8" x14ac:dyDescent="0.35">
      <c r="H114" t="s">
        <v>296</v>
      </c>
    </row>
    <row r="115" spans="8:8" x14ac:dyDescent="0.35">
      <c r="H115" t="s">
        <v>297</v>
      </c>
    </row>
    <row r="116" spans="8:8" x14ac:dyDescent="0.35">
      <c r="H116" t="s">
        <v>298</v>
      </c>
    </row>
    <row r="117" spans="8:8" x14ac:dyDescent="0.35">
      <c r="H117" t="s">
        <v>299</v>
      </c>
    </row>
    <row r="118" spans="8:8" x14ac:dyDescent="0.35">
      <c r="H118" t="s">
        <v>300</v>
      </c>
    </row>
    <row r="119" spans="8:8" x14ac:dyDescent="0.35">
      <c r="H119" t="s">
        <v>301</v>
      </c>
    </row>
    <row r="120" spans="8:8" x14ac:dyDescent="0.35">
      <c r="H120" t="s">
        <v>302</v>
      </c>
    </row>
    <row r="121" spans="8:8" x14ac:dyDescent="0.35">
      <c r="H121" t="s">
        <v>303</v>
      </c>
    </row>
    <row r="122" spans="8:8" x14ac:dyDescent="0.35">
      <c r="H122" t="s">
        <v>304</v>
      </c>
    </row>
    <row r="123" spans="8:8" x14ac:dyDescent="0.35">
      <c r="H123" t="s">
        <v>305</v>
      </c>
    </row>
    <row r="124" spans="8:8" x14ac:dyDescent="0.35">
      <c r="H124" t="s">
        <v>306</v>
      </c>
    </row>
    <row r="125" spans="8:8" x14ac:dyDescent="0.35">
      <c r="H125" t="s">
        <v>307</v>
      </c>
    </row>
    <row r="126" spans="8:8" x14ac:dyDescent="0.35">
      <c r="H126" t="s">
        <v>308</v>
      </c>
    </row>
    <row r="127" spans="8:8" x14ac:dyDescent="0.35">
      <c r="H127" t="s">
        <v>309</v>
      </c>
    </row>
    <row r="128" spans="8:8" x14ac:dyDescent="0.35">
      <c r="H128" t="s">
        <v>310</v>
      </c>
    </row>
    <row r="129" spans="8:8" x14ac:dyDescent="0.35">
      <c r="H129" t="s">
        <v>311</v>
      </c>
    </row>
    <row r="130" spans="8:8" x14ac:dyDescent="0.35">
      <c r="H130" t="s">
        <v>312</v>
      </c>
    </row>
    <row r="131" spans="8:8" x14ac:dyDescent="0.35">
      <c r="H131" t="s">
        <v>313</v>
      </c>
    </row>
    <row r="132" spans="8:8" x14ac:dyDescent="0.35">
      <c r="H132" t="s">
        <v>314</v>
      </c>
    </row>
    <row r="133" spans="8:8" x14ac:dyDescent="0.35">
      <c r="H133" t="s">
        <v>315</v>
      </c>
    </row>
    <row r="134" spans="8:8" x14ac:dyDescent="0.35">
      <c r="H134" t="s">
        <v>316</v>
      </c>
    </row>
    <row r="135" spans="8:8" x14ac:dyDescent="0.35">
      <c r="H135" t="s">
        <v>317</v>
      </c>
    </row>
    <row r="136" spans="8:8" x14ac:dyDescent="0.35">
      <c r="H136" t="s">
        <v>318</v>
      </c>
    </row>
    <row r="137" spans="8:8" x14ac:dyDescent="0.35">
      <c r="H137" t="s">
        <v>319</v>
      </c>
    </row>
    <row r="138" spans="8:8" x14ac:dyDescent="0.35">
      <c r="H138" t="s">
        <v>320</v>
      </c>
    </row>
    <row r="139" spans="8:8" x14ac:dyDescent="0.35">
      <c r="H139" t="s">
        <v>321</v>
      </c>
    </row>
    <row r="140" spans="8:8" x14ac:dyDescent="0.35">
      <c r="H140" t="s">
        <v>322</v>
      </c>
    </row>
    <row r="141" spans="8:8" x14ac:dyDescent="0.35">
      <c r="H141" t="s">
        <v>323</v>
      </c>
    </row>
    <row r="142" spans="8:8" x14ac:dyDescent="0.35">
      <c r="H142" t="s">
        <v>324</v>
      </c>
    </row>
    <row r="143" spans="8:8" x14ac:dyDescent="0.35">
      <c r="H143" t="s">
        <v>325</v>
      </c>
    </row>
    <row r="144" spans="8:8" x14ac:dyDescent="0.35">
      <c r="H144" t="s">
        <v>326</v>
      </c>
    </row>
    <row r="145" spans="8:8" x14ac:dyDescent="0.35">
      <c r="H145" t="s">
        <v>327</v>
      </c>
    </row>
    <row r="146" spans="8:8" x14ac:dyDescent="0.35">
      <c r="H146" t="s">
        <v>328</v>
      </c>
    </row>
    <row r="147" spans="8:8" x14ac:dyDescent="0.35">
      <c r="H147" t="s">
        <v>329</v>
      </c>
    </row>
    <row r="148" spans="8:8" x14ac:dyDescent="0.35">
      <c r="H148" t="s">
        <v>330</v>
      </c>
    </row>
    <row r="149" spans="8:8" x14ac:dyDescent="0.35">
      <c r="H149" t="s">
        <v>331</v>
      </c>
    </row>
    <row r="150" spans="8:8" x14ac:dyDescent="0.35">
      <c r="H150" t="s">
        <v>332</v>
      </c>
    </row>
    <row r="151" spans="8:8" x14ac:dyDescent="0.35">
      <c r="H151" t="s">
        <v>333</v>
      </c>
    </row>
    <row r="152" spans="8:8" x14ac:dyDescent="0.35">
      <c r="H152" t="s">
        <v>334</v>
      </c>
    </row>
    <row r="153" spans="8:8" x14ac:dyDescent="0.35">
      <c r="H153" t="s">
        <v>335</v>
      </c>
    </row>
    <row r="154" spans="8:8" x14ac:dyDescent="0.35">
      <c r="H154" t="s">
        <v>336</v>
      </c>
    </row>
    <row r="155" spans="8:8" x14ac:dyDescent="0.35">
      <c r="H155" t="s">
        <v>337</v>
      </c>
    </row>
    <row r="156" spans="8:8" x14ac:dyDescent="0.35">
      <c r="H156" t="s">
        <v>338</v>
      </c>
    </row>
    <row r="157" spans="8:8" x14ac:dyDescent="0.35">
      <c r="H157" t="s">
        <v>339</v>
      </c>
    </row>
    <row r="158" spans="8:8" x14ac:dyDescent="0.35">
      <c r="H158" t="s">
        <v>340</v>
      </c>
    </row>
    <row r="159" spans="8:8" x14ac:dyDescent="0.35">
      <c r="H159" t="s">
        <v>341</v>
      </c>
    </row>
    <row r="160" spans="8:8" x14ac:dyDescent="0.35">
      <c r="H160" t="s">
        <v>342</v>
      </c>
    </row>
    <row r="161" spans="8:8" x14ac:dyDescent="0.35">
      <c r="H161" t="s">
        <v>343</v>
      </c>
    </row>
    <row r="162" spans="8:8" x14ac:dyDescent="0.35">
      <c r="H162" t="s">
        <v>344</v>
      </c>
    </row>
    <row r="163" spans="8:8" x14ac:dyDescent="0.35">
      <c r="H163" t="s">
        <v>345</v>
      </c>
    </row>
    <row r="164" spans="8:8" x14ac:dyDescent="0.35">
      <c r="H164" t="s">
        <v>346</v>
      </c>
    </row>
    <row r="165" spans="8:8" x14ac:dyDescent="0.35">
      <c r="H165" t="s">
        <v>347</v>
      </c>
    </row>
    <row r="166" spans="8:8" x14ac:dyDescent="0.35">
      <c r="H166" t="s">
        <v>348</v>
      </c>
    </row>
    <row r="167" spans="8:8" x14ac:dyDescent="0.35">
      <c r="H167" t="s">
        <v>349</v>
      </c>
    </row>
    <row r="168" spans="8:8" x14ac:dyDescent="0.35">
      <c r="H168" t="s">
        <v>350</v>
      </c>
    </row>
    <row r="169" spans="8:8" x14ac:dyDescent="0.35">
      <c r="H169" t="s">
        <v>351</v>
      </c>
    </row>
    <row r="170" spans="8:8" x14ac:dyDescent="0.35">
      <c r="H170" t="s">
        <v>352</v>
      </c>
    </row>
    <row r="171" spans="8:8" x14ac:dyDescent="0.35">
      <c r="H171" t="s">
        <v>353</v>
      </c>
    </row>
    <row r="172" spans="8:8" x14ac:dyDescent="0.35">
      <c r="H172" t="s">
        <v>354</v>
      </c>
    </row>
    <row r="173" spans="8:8" x14ac:dyDescent="0.35">
      <c r="H173" t="s">
        <v>355</v>
      </c>
    </row>
    <row r="174" spans="8:8" x14ac:dyDescent="0.35">
      <c r="H174" t="s">
        <v>356</v>
      </c>
    </row>
    <row r="175" spans="8:8" x14ac:dyDescent="0.35">
      <c r="H175" t="s">
        <v>357</v>
      </c>
    </row>
    <row r="176" spans="8:8" x14ac:dyDescent="0.35">
      <c r="H176" t="s">
        <v>358</v>
      </c>
    </row>
    <row r="177" spans="8:8" x14ac:dyDescent="0.35">
      <c r="H177" t="s">
        <v>359</v>
      </c>
    </row>
    <row r="178" spans="8:8" x14ac:dyDescent="0.35">
      <c r="H178" t="s">
        <v>360</v>
      </c>
    </row>
    <row r="179" spans="8:8" x14ac:dyDescent="0.35">
      <c r="H179" t="s">
        <v>361</v>
      </c>
    </row>
    <row r="180" spans="8:8" x14ac:dyDescent="0.35">
      <c r="H180" t="s">
        <v>362</v>
      </c>
    </row>
    <row r="181" spans="8:8" x14ac:dyDescent="0.35">
      <c r="H181" t="s">
        <v>363</v>
      </c>
    </row>
    <row r="182" spans="8:8" x14ac:dyDescent="0.35">
      <c r="H182" t="s">
        <v>364</v>
      </c>
    </row>
    <row r="183" spans="8:8" x14ac:dyDescent="0.35">
      <c r="H183" t="s">
        <v>365</v>
      </c>
    </row>
    <row r="184" spans="8:8" x14ac:dyDescent="0.35">
      <c r="H184" t="s">
        <v>366</v>
      </c>
    </row>
    <row r="185" spans="8:8" x14ac:dyDescent="0.35">
      <c r="H185" t="s">
        <v>367</v>
      </c>
    </row>
    <row r="186" spans="8:8" x14ac:dyDescent="0.35">
      <c r="H186" t="s">
        <v>368</v>
      </c>
    </row>
    <row r="187" spans="8:8" x14ac:dyDescent="0.35">
      <c r="H187" t="s">
        <v>369</v>
      </c>
    </row>
    <row r="188" spans="8:8" x14ac:dyDescent="0.35">
      <c r="H188" t="s">
        <v>370</v>
      </c>
    </row>
    <row r="189" spans="8:8" x14ac:dyDescent="0.35">
      <c r="H189" t="s">
        <v>371</v>
      </c>
    </row>
    <row r="190" spans="8:8" x14ac:dyDescent="0.35">
      <c r="H190" t="s">
        <v>372</v>
      </c>
    </row>
    <row r="191" spans="8:8" x14ac:dyDescent="0.35">
      <c r="H191" t="s">
        <v>373</v>
      </c>
    </row>
    <row r="192" spans="8:8" x14ac:dyDescent="0.35">
      <c r="H192" t="s">
        <v>374</v>
      </c>
    </row>
    <row r="193" spans="8:8" x14ac:dyDescent="0.35">
      <c r="H193" t="s">
        <v>375</v>
      </c>
    </row>
    <row r="194" spans="8:8" x14ac:dyDescent="0.35">
      <c r="H194" t="s">
        <v>376</v>
      </c>
    </row>
    <row r="195" spans="8:8" x14ac:dyDescent="0.35">
      <c r="H195" t="s">
        <v>377</v>
      </c>
    </row>
    <row r="196" spans="8:8" x14ac:dyDescent="0.35">
      <c r="H196" t="s">
        <v>378</v>
      </c>
    </row>
    <row r="197" spans="8:8" x14ac:dyDescent="0.35">
      <c r="H197" t="s">
        <v>379</v>
      </c>
    </row>
    <row r="198" spans="8:8" x14ac:dyDescent="0.35">
      <c r="H198" t="s">
        <v>380</v>
      </c>
    </row>
    <row r="199" spans="8:8" x14ac:dyDescent="0.35">
      <c r="H199" t="s">
        <v>381</v>
      </c>
    </row>
    <row r="200" spans="8:8" x14ac:dyDescent="0.35">
      <c r="H200" t="s">
        <v>382</v>
      </c>
    </row>
    <row r="201" spans="8:8" x14ac:dyDescent="0.35">
      <c r="H201" t="s">
        <v>383</v>
      </c>
    </row>
    <row r="202" spans="8:8" x14ac:dyDescent="0.35">
      <c r="H202" t="s">
        <v>384</v>
      </c>
    </row>
    <row r="203" spans="8:8" x14ac:dyDescent="0.35">
      <c r="H203" t="s">
        <v>385</v>
      </c>
    </row>
    <row r="204" spans="8:8" x14ac:dyDescent="0.35">
      <c r="H204" t="s">
        <v>386</v>
      </c>
    </row>
    <row r="205" spans="8:8" x14ac:dyDescent="0.35">
      <c r="H205" t="s">
        <v>387</v>
      </c>
    </row>
    <row r="206" spans="8:8" x14ac:dyDescent="0.35">
      <c r="H206" t="s">
        <v>388</v>
      </c>
    </row>
    <row r="207" spans="8:8" x14ac:dyDescent="0.35">
      <c r="H207" t="s">
        <v>389</v>
      </c>
    </row>
    <row r="208" spans="8:8" x14ac:dyDescent="0.35">
      <c r="H208" t="s">
        <v>390</v>
      </c>
    </row>
    <row r="209" spans="8:8" x14ac:dyDescent="0.35">
      <c r="H209" t="s">
        <v>391</v>
      </c>
    </row>
    <row r="210" spans="8:8" x14ac:dyDescent="0.35">
      <c r="H210" t="s">
        <v>392</v>
      </c>
    </row>
    <row r="211" spans="8:8" x14ac:dyDescent="0.35">
      <c r="H211" t="s">
        <v>393</v>
      </c>
    </row>
    <row r="212" spans="8:8" x14ac:dyDescent="0.35">
      <c r="H212" t="s">
        <v>394</v>
      </c>
    </row>
    <row r="213" spans="8:8" x14ac:dyDescent="0.35">
      <c r="H213" t="s">
        <v>395</v>
      </c>
    </row>
    <row r="214" spans="8:8" x14ac:dyDescent="0.35">
      <c r="H214" t="s">
        <v>396</v>
      </c>
    </row>
    <row r="215" spans="8:8" x14ac:dyDescent="0.35">
      <c r="H215" t="s">
        <v>397</v>
      </c>
    </row>
    <row r="216" spans="8:8" x14ac:dyDescent="0.35">
      <c r="H216" t="s">
        <v>398</v>
      </c>
    </row>
    <row r="217" spans="8:8" x14ac:dyDescent="0.35">
      <c r="H217" t="s">
        <v>399</v>
      </c>
    </row>
    <row r="218" spans="8:8" x14ac:dyDescent="0.35">
      <c r="H218" t="s">
        <v>400</v>
      </c>
    </row>
    <row r="219" spans="8:8" x14ac:dyDescent="0.35">
      <c r="H219" t="s">
        <v>401</v>
      </c>
    </row>
    <row r="220" spans="8:8" x14ac:dyDescent="0.35">
      <c r="H220" t="s">
        <v>402</v>
      </c>
    </row>
    <row r="221" spans="8:8" x14ac:dyDescent="0.35">
      <c r="H221" t="s">
        <v>403</v>
      </c>
    </row>
    <row r="222" spans="8:8" x14ac:dyDescent="0.35">
      <c r="H222" t="s">
        <v>404</v>
      </c>
    </row>
    <row r="223" spans="8:8" x14ac:dyDescent="0.35">
      <c r="H223" t="s">
        <v>405</v>
      </c>
    </row>
    <row r="224" spans="8:8" x14ac:dyDescent="0.35">
      <c r="H224" t="s">
        <v>406</v>
      </c>
    </row>
    <row r="225" spans="8:8" x14ac:dyDescent="0.35">
      <c r="H225" t="s">
        <v>407</v>
      </c>
    </row>
    <row r="226" spans="8:8" x14ac:dyDescent="0.35">
      <c r="H226" t="s">
        <v>408</v>
      </c>
    </row>
    <row r="227" spans="8:8" x14ac:dyDescent="0.35">
      <c r="H227" t="s">
        <v>409</v>
      </c>
    </row>
    <row r="228" spans="8:8" x14ac:dyDescent="0.35">
      <c r="H228" t="s">
        <v>410</v>
      </c>
    </row>
    <row r="229" spans="8:8" x14ac:dyDescent="0.35">
      <c r="H229" t="s">
        <v>411</v>
      </c>
    </row>
    <row r="230" spans="8:8" x14ac:dyDescent="0.35">
      <c r="H230" t="s">
        <v>412</v>
      </c>
    </row>
    <row r="231" spans="8:8" x14ac:dyDescent="0.35">
      <c r="H231" t="s">
        <v>413</v>
      </c>
    </row>
    <row r="232" spans="8:8" x14ac:dyDescent="0.35">
      <c r="H232" t="s">
        <v>414</v>
      </c>
    </row>
    <row r="233" spans="8:8" x14ac:dyDescent="0.35">
      <c r="H233" t="s">
        <v>415</v>
      </c>
    </row>
    <row r="234" spans="8:8" x14ac:dyDescent="0.35">
      <c r="H234" t="s">
        <v>416</v>
      </c>
    </row>
    <row r="235" spans="8:8" x14ac:dyDescent="0.35">
      <c r="H235" t="s">
        <v>417</v>
      </c>
    </row>
    <row r="236" spans="8:8" x14ac:dyDescent="0.35">
      <c r="H236" t="s">
        <v>418</v>
      </c>
    </row>
    <row r="237" spans="8:8" x14ac:dyDescent="0.35">
      <c r="H237" t="s">
        <v>419</v>
      </c>
    </row>
    <row r="238" spans="8:8" x14ac:dyDescent="0.35">
      <c r="H238" t="s">
        <v>420</v>
      </c>
    </row>
    <row r="239" spans="8:8" x14ac:dyDescent="0.35">
      <c r="H239" t="s">
        <v>421</v>
      </c>
    </row>
    <row r="240" spans="8:8" x14ac:dyDescent="0.35">
      <c r="H240" t="s">
        <v>422</v>
      </c>
    </row>
    <row r="241" spans="8:8" x14ac:dyDescent="0.35">
      <c r="H241" t="s">
        <v>423</v>
      </c>
    </row>
    <row r="242" spans="8:8" x14ac:dyDescent="0.35">
      <c r="H242" t="s">
        <v>424</v>
      </c>
    </row>
    <row r="243" spans="8:8" x14ac:dyDescent="0.35">
      <c r="H243" t="s">
        <v>425</v>
      </c>
    </row>
    <row r="244" spans="8:8" x14ac:dyDescent="0.35">
      <c r="H244" t="s">
        <v>426</v>
      </c>
    </row>
    <row r="245" spans="8:8" x14ac:dyDescent="0.35">
      <c r="H245" t="s">
        <v>427</v>
      </c>
    </row>
    <row r="246" spans="8:8" x14ac:dyDescent="0.35">
      <c r="H246" t="s">
        <v>428</v>
      </c>
    </row>
    <row r="247" spans="8:8" x14ac:dyDescent="0.35">
      <c r="H247" t="s">
        <v>429</v>
      </c>
    </row>
    <row r="248" spans="8:8" x14ac:dyDescent="0.35">
      <c r="H248" t="s">
        <v>430</v>
      </c>
    </row>
    <row r="249" spans="8:8" x14ac:dyDescent="0.35">
      <c r="H249" t="s">
        <v>431</v>
      </c>
    </row>
    <row r="250" spans="8:8" x14ac:dyDescent="0.35">
      <c r="H250" t="s">
        <v>432</v>
      </c>
    </row>
    <row r="251" spans="8:8" x14ac:dyDescent="0.35">
      <c r="H251" t="s">
        <v>433</v>
      </c>
    </row>
    <row r="252" spans="8:8" x14ac:dyDescent="0.35">
      <c r="H252" t="s">
        <v>434</v>
      </c>
    </row>
    <row r="253" spans="8:8" x14ac:dyDescent="0.35">
      <c r="H253" t="s">
        <v>435</v>
      </c>
    </row>
    <row r="254" spans="8:8" x14ac:dyDescent="0.35">
      <c r="H254" t="s">
        <v>436</v>
      </c>
    </row>
    <row r="255" spans="8:8" x14ac:dyDescent="0.35">
      <c r="H255" t="s">
        <v>437</v>
      </c>
    </row>
    <row r="256" spans="8:8" x14ac:dyDescent="0.35">
      <c r="H256" t="s">
        <v>438</v>
      </c>
    </row>
    <row r="257" spans="8:8" x14ac:dyDescent="0.35">
      <c r="H257" t="s">
        <v>439</v>
      </c>
    </row>
    <row r="258" spans="8:8" x14ac:dyDescent="0.35">
      <c r="H258" t="s">
        <v>440</v>
      </c>
    </row>
    <row r="259" spans="8:8" x14ac:dyDescent="0.35">
      <c r="H259" t="s">
        <v>441</v>
      </c>
    </row>
    <row r="260" spans="8:8" x14ac:dyDescent="0.35">
      <c r="H260" t="s">
        <v>442</v>
      </c>
    </row>
    <row r="261" spans="8:8" x14ac:dyDescent="0.35">
      <c r="H261" t="s">
        <v>443</v>
      </c>
    </row>
    <row r="262" spans="8:8" x14ac:dyDescent="0.35">
      <c r="H262" t="s">
        <v>444</v>
      </c>
    </row>
    <row r="263" spans="8:8" x14ac:dyDescent="0.35">
      <c r="H263" t="s">
        <v>445</v>
      </c>
    </row>
    <row r="264" spans="8:8" x14ac:dyDescent="0.35">
      <c r="H264" t="s">
        <v>446</v>
      </c>
    </row>
    <row r="265" spans="8:8" x14ac:dyDescent="0.35">
      <c r="H265" t="s">
        <v>447</v>
      </c>
    </row>
    <row r="266" spans="8:8" x14ac:dyDescent="0.35">
      <c r="H266" t="s">
        <v>448</v>
      </c>
    </row>
    <row r="267" spans="8:8" x14ac:dyDescent="0.35">
      <c r="H267" t="s">
        <v>449</v>
      </c>
    </row>
    <row r="268" spans="8:8" x14ac:dyDescent="0.35">
      <c r="H268" t="s">
        <v>450</v>
      </c>
    </row>
    <row r="269" spans="8:8" x14ac:dyDescent="0.35">
      <c r="H269" t="s">
        <v>451</v>
      </c>
    </row>
    <row r="270" spans="8:8" x14ac:dyDescent="0.35">
      <c r="H270" t="s">
        <v>452</v>
      </c>
    </row>
    <row r="271" spans="8:8" x14ac:dyDescent="0.35">
      <c r="H271" t="s">
        <v>453</v>
      </c>
    </row>
    <row r="272" spans="8:8" x14ac:dyDescent="0.35">
      <c r="H272" t="s">
        <v>454</v>
      </c>
    </row>
    <row r="273" spans="8:8" x14ac:dyDescent="0.35">
      <c r="H273" t="s">
        <v>455</v>
      </c>
    </row>
    <row r="274" spans="8:8" x14ac:dyDescent="0.35">
      <c r="H274" t="s">
        <v>456</v>
      </c>
    </row>
    <row r="275" spans="8:8" x14ac:dyDescent="0.35">
      <c r="H275" t="s">
        <v>457</v>
      </c>
    </row>
    <row r="276" spans="8:8" x14ac:dyDescent="0.35">
      <c r="H276" t="s">
        <v>458</v>
      </c>
    </row>
    <row r="277" spans="8:8" x14ac:dyDescent="0.35">
      <c r="H277" t="s">
        <v>459</v>
      </c>
    </row>
    <row r="278" spans="8:8" x14ac:dyDescent="0.35">
      <c r="H278" t="s">
        <v>460</v>
      </c>
    </row>
    <row r="279" spans="8:8" x14ac:dyDescent="0.35">
      <c r="H279" t="s">
        <v>461</v>
      </c>
    </row>
    <row r="280" spans="8:8" x14ac:dyDescent="0.35">
      <c r="H280" t="s">
        <v>462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8C76-DCC6-4182-81F4-AAF729889454}">
  <dimension ref="A2:Q31"/>
  <sheetViews>
    <sheetView zoomScale="90" zoomScaleNormal="90" workbookViewId="0">
      <selection activeCell="C20" sqref="C20"/>
    </sheetView>
  </sheetViews>
  <sheetFormatPr defaultRowHeight="14.5" x14ac:dyDescent="0.35"/>
  <cols>
    <col min="1" max="1" width="40.08984375" bestFit="1" customWidth="1"/>
    <col min="2" max="2" width="13.453125" bestFit="1" customWidth="1"/>
    <col min="3" max="3" width="18.81640625" bestFit="1" customWidth="1"/>
    <col min="4" max="4" width="17.453125" bestFit="1" customWidth="1"/>
    <col min="5" max="5" width="18.26953125" bestFit="1" customWidth="1"/>
    <col min="6" max="6" width="18.81640625" bestFit="1" customWidth="1"/>
    <col min="7" max="7" width="18.90625" bestFit="1" customWidth="1"/>
    <col min="8" max="9" width="18.54296875" bestFit="1" customWidth="1"/>
    <col min="10" max="10" width="18.90625" bestFit="1" customWidth="1"/>
    <col min="12" max="12" width="43.08984375" bestFit="1" customWidth="1"/>
    <col min="13" max="15" width="13.453125" bestFit="1" customWidth="1"/>
    <col min="16" max="16" width="14" bestFit="1" customWidth="1"/>
    <col min="17" max="17" width="13.453125" bestFit="1" customWidth="1"/>
  </cols>
  <sheetData>
    <row r="2" spans="1:17" x14ac:dyDescent="0.35">
      <c r="A2" s="1" t="s">
        <v>112</v>
      </c>
      <c r="L2" s="1"/>
    </row>
    <row r="3" spans="1:17" x14ac:dyDescent="0.35">
      <c r="A3" t="s">
        <v>11</v>
      </c>
      <c r="B3" t="s">
        <v>10</v>
      </c>
      <c r="C3" t="s">
        <v>130</v>
      </c>
      <c r="D3" t="s">
        <v>132</v>
      </c>
      <c r="E3" t="s">
        <v>134</v>
      </c>
      <c r="F3" t="s">
        <v>136</v>
      </c>
      <c r="G3" t="s">
        <v>131</v>
      </c>
      <c r="H3" t="s">
        <v>133</v>
      </c>
      <c r="I3" t="s">
        <v>135</v>
      </c>
      <c r="J3" t="s">
        <v>137</v>
      </c>
    </row>
    <row r="4" spans="1:17" x14ac:dyDescent="0.35">
      <c r="A4">
        <v>0</v>
      </c>
      <c r="B4" s="10">
        <v>0</v>
      </c>
      <c r="C4" s="10">
        <v>230420</v>
      </c>
      <c r="D4" s="10">
        <v>230420</v>
      </c>
      <c r="E4" s="10">
        <v>230420</v>
      </c>
      <c r="F4" s="10">
        <v>230420</v>
      </c>
      <c r="G4" s="10">
        <v>125420</v>
      </c>
      <c r="H4" s="10">
        <v>125420</v>
      </c>
      <c r="I4" s="10">
        <v>125420</v>
      </c>
      <c r="J4" s="10">
        <v>125420</v>
      </c>
      <c r="M4" s="7"/>
      <c r="N4" s="7"/>
      <c r="O4" s="7"/>
      <c r="P4" s="7"/>
      <c r="Q4" s="7"/>
    </row>
    <row r="5" spans="1:17" x14ac:dyDescent="0.35">
      <c r="A5">
        <v>1</v>
      </c>
      <c r="B5" s="10">
        <v>277333.36735152389</v>
      </c>
      <c r="C5" s="10">
        <v>390027.61712932237</v>
      </c>
      <c r="D5" s="10">
        <v>405406.60135014844</v>
      </c>
      <c r="E5" s="10">
        <v>420785.58557097445</v>
      </c>
      <c r="F5" s="10">
        <v>436164.56979180046</v>
      </c>
      <c r="G5" s="10">
        <v>316118.52622023149</v>
      </c>
      <c r="H5" s="10">
        <v>331497.5104410575</v>
      </c>
      <c r="I5" s="10">
        <v>346876.49466188351</v>
      </c>
      <c r="J5" s="10">
        <v>362255.47888270958</v>
      </c>
      <c r="M5" s="7"/>
      <c r="N5" s="7"/>
      <c r="O5" s="7"/>
      <c r="P5" s="7"/>
      <c r="Q5" s="7"/>
    </row>
    <row r="6" spans="1:17" x14ac:dyDescent="0.35">
      <c r="A6">
        <v>2</v>
      </c>
      <c r="B6" s="10">
        <v>538392.11119889969</v>
      </c>
      <c r="C6" s="10">
        <v>539609.39209343714</v>
      </c>
      <c r="D6" s="10">
        <v>568969.27106046875</v>
      </c>
      <c r="E6" s="10">
        <v>598329.15002750023</v>
      </c>
      <c r="F6" s="10">
        <v>627689.02899453172</v>
      </c>
      <c r="G6" s="10">
        <v>493964.7639942636</v>
      </c>
      <c r="H6" s="10">
        <v>523324.64296129509</v>
      </c>
      <c r="I6" s="10">
        <v>552684.52192832658</v>
      </c>
      <c r="J6" s="10">
        <v>582044.40089535806</v>
      </c>
      <c r="M6" s="7"/>
      <c r="N6" s="7"/>
      <c r="O6" s="7"/>
      <c r="P6" s="7"/>
      <c r="Q6" s="7"/>
    </row>
    <row r="7" spans="1:17" x14ac:dyDescent="0.35">
      <c r="A7">
        <v>3</v>
      </c>
      <c r="B7" s="10">
        <v>784180.39669852029</v>
      </c>
      <c r="C7" s="10">
        <v>679838.29108357534</v>
      </c>
      <c r="D7" s="10">
        <v>721908.07436533924</v>
      </c>
      <c r="E7" s="10">
        <v>763977.85764710291</v>
      </c>
      <c r="F7" s="10">
        <v>806047.64092886669</v>
      </c>
      <c r="G7" s="10">
        <v>659888.62917523575</v>
      </c>
      <c r="H7" s="10">
        <v>701958.41245699953</v>
      </c>
      <c r="I7" s="10">
        <v>744028.19573876332</v>
      </c>
      <c r="J7" s="10">
        <v>786097.9790205271</v>
      </c>
      <c r="M7" s="7"/>
      <c r="N7" s="7"/>
      <c r="O7" s="7"/>
      <c r="P7" s="7"/>
      <c r="Q7" s="7"/>
    </row>
    <row r="8" spans="1:17" x14ac:dyDescent="0.35">
      <c r="A8">
        <v>4</v>
      </c>
      <c r="B8" s="10">
        <v>1015636.3958343188</v>
      </c>
      <c r="C8" s="10">
        <v>811338.79106378846</v>
      </c>
      <c r="D8" s="10">
        <v>864963.03281349083</v>
      </c>
      <c r="E8" s="10">
        <v>918587.27456319286</v>
      </c>
      <c r="F8" s="10">
        <v>972211.51631289511</v>
      </c>
      <c r="G8" s="10">
        <v>814748.1893289343</v>
      </c>
      <c r="H8" s="10">
        <v>868372.43107863644</v>
      </c>
      <c r="I8" s="10">
        <v>921996.67282833881</v>
      </c>
      <c r="J8" s="10">
        <v>975620.91457804106</v>
      </c>
      <c r="M8" s="7"/>
      <c r="N8" s="7"/>
      <c r="O8" s="7"/>
      <c r="P8" s="7"/>
      <c r="Q8" s="7"/>
    </row>
    <row r="9" spans="1:17" x14ac:dyDescent="0.35">
      <c r="A9">
        <v>5</v>
      </c>
      <c r="B9" s="10">
        <v>1233636.9400709346</v>
      </c>
      <c r="C9" s="10">
        <v>934690.61229260708</v>
      </c>
      <c r="D9" s="10">
        <v>998818.90719498065</v>
      </c>
      <c r="E9" s="10">
        <v>1062947.202097354</v>
      </c>
      <c r="F9" s="10">
        <v>1127075.4969997276</v>
      </c>
      <c r="G9" s="10">
        <v>959335.51980637596</v>
      </c>
      <c r="H9" s="10">
        <v>1023463.8147087495</v>
      </c>
      <c r="I9" s="10">
        <v>1087592.1096111231</v>
      </c>
      <c r="J9" s="10">
        <v>1151720.4045134964</v>
      </c>
      <c r="M9" s="7"/>
      <c r="N9" s="7"/>
      <c r="O9" s="7"/>
      <c r="P9" s="7"/>
      <c r="Q9" s="7"/>
    </row>
    <row r="13" spans="1:17" x14ac:dyDescent="0.35">
      <c r="A13" s="1" t="s">
        <v>113</v>
      </c>
      <c r="L13" s="1"/>
    </row>
    <row r="14" spans="1:17" x14ac:dyDescent="0.35">
      <c r="A14" t="s">
        <v>11</v>
      </c>
      <c r="B14" t="s">
        <v>10</v>
      </c>
      <c r="C14" t="s">
        <v>122</v>
      </c>
      <c r="D14" t="s">
        <v>124</v>
      </c>
      <c r="E14" t="s">
        <v>126</v>
      </c>
      <c r="F14" t="s">
        <v>128</v>
      </c>
      <c r="G14" t="s">
        <v>123</v>
      </c>
      <c r="H14" t="s">
        <v>125</v>
      </c>
      <c r="I14" t="s">
        <v>127</v>
      </c>
      <c r="J14" t="s">
        <v>129</v>
      </c>
    </row>
    <row r="15" spans="1:17" x14ac:dyDescent="0.35">
      <c r="A15">
        <v>0</v>
      </c>
      <c r="B15" s="10">
        <v>0</v>
      </c>
      <c r="C15" s="10">
        <v>230420</v>
      </c>
      <c r="D15" s="10">
        <v>230420</v>
      </c>
      <c r="E15" s="10">
        <v>230420</v>
      </c>
      <c r="F15" s="10">
        <v>230420</v>
      </c>
      <c r="G15" s="10">
        <v>125420</v>
      </c>
      <c r="H15" s="10">
        <v>125420</v>
      </c>
      <c r="I15" s="10">
        <v>125420</v>
      </c>
      <c r="J15" s="10">
        <v>125420</v>
      </c>
      <c r="M15" s="7"/>
      <c r="N15" s="7"/>
      <c r="O15" s="7"/>
      <c r="P15" s="7"/>
      <c r="Q15" s="7"/>
    </row>
    <row r="16" spans="1:17" x14ac:dyDescent="0.35">
      <c r="A16">
        <v>1</v>
      </c>
      <c r="B16" s="10">
        <v>277333.36735152389</v>
      </c>
      <c r="C16" s="10">
        <v>405406.60135014844</v>
      </c>
      <c r="D16" s="10">
        <v>410250.77824614837</v>
      </c>
      <c r="E16" s="10">
        <v>415094.95514214842</v>
      </c>
      <c r="F16" s="10">
        <v>419939.13203814841</v>
      </c>
      <c r="G16" s="10">
        <v>331497.5104410575</v>
      </c>
      <c r="H16" s="10">
        <v>336341.68733705755</v>
      </c>
      <c r="I16" s="10">
        <v>341185.86423305748</v>
      </c>
      <c r="J16" s="10">
        <v>346030.04112905753</v>
      </c>
      <c r="M16" s="7"/>
      <c r="N16" s="7"/>
      <c r="O16" s="7"/>
      <c r="P16" s="7"/>
      <c r="Q16" s="7"/>
    </row>
    <row r="17" spans="1:17" x14ac:dyDescent="0.35">
      <c r="A17">
        <v>2</v>
      </c>
      <c r="B17" s="10">
        <v>538392.11119889969</v>
      </c>
      <c r="C17" s="10">
        <v>568969.27106046875</v>
      </c>
      <c r="D17" s="10">
        <v>578217.2451346505</v>
      </c>
      <c r="E17" s="10">
        <v>587465.21920883236</v>
      </c>
      <c r="F17" s="10">
        <v>596713.19328301412</v>
      </c>
      <c r="G17" s="10">
        <v>523324.64296129509</v>
      </c>
      <c r="H17" s="10">
        <v>532572.61703547696</v>
      </c>
      <c r="I17" s="10">
        <v>541820.59110965871</v>
      </c>
      <c r="J17" s="10">
        <v>551068.56518384058</v>
      </c>
      <c r="M17" s="7"/>
      <c r="N17" s="7"/>
      <c r="O17" s="7"/>
      <c r="P17" s="7"/>
      <c r="Q17" s="7"/>
    </row>
    <row r="18" spans="1:17" x14ac:dyDescent="0.35">
      <c r="A18">
        <v>3</v>
      </c>
      <c r="B18" s="10">
        <v>784180.39669852029</v>
      </c>
      <c r="C18" s="10">
        <v>721908.07436533924</v>
      </c>
      <c r="D18" s="10">
        <v>735159.5004196862</v>
      </c>
      <c r="E18" s="10">
        <v>748410.92647403339</v>
      </c>
      <c r="F18" s="10">
        <v>761662.35252838046</v>
      </c>
      <c r="G18" s="10">
        <v>701958.41245699953</v>
      </c>
      <c r="H18" s="10">
        <v>715209.83851134661</v>
      </c>
      <c r="I18" s="10">
        <v>728461.26456569368</v>
      </c>
      <c r="J18" s="10">
        <v>741712.69062004075</v>
      </c>
      <c r="M18" s="7"/>
      <c r="N18" s="7"/>
      <c r="O18" s="7"/>
      <c r="P18" s="7"/>
      <c r="Q18" s="7"/>
    </row>
    <row r="19" spans="1:17" x14ac:dyDescent="0.35">
      <c r="A19">
        <v>4</v>
      </c>
      <c r="B19" s="10">
        <v>1015636.3958343188</v>
      </c>
      <c r="C19" s="10">
        <v>864963.03281349083</v>
      </c>
      <c r="D19" s="10">
        <v>881853.96066798794</v>
      </c>
      <c r="E19" s="10">
        <v>898744.8885224855</v>
      </c>
      <c r="F19" s="10">
        <v>915635.81637698272</v>
      </c>
      <c r="G19" s="10">
        <v>868372.43107863644</v>
      </c>
      <c r="H19" s="10">
        <v>885263.35893313389</v>
      </c>
      <c r="I19" s="10">
        <v>902154.28678763111</v>
      </c>
      <c r="J19" s="10">
        <v>919045.21464212844</v>
      </c>
      <c r="M19" s="7"/>
      <c r="N19" s="7"/>
      <c r="O19" s="7"/>
      <c r="P19" s="7"/>
      <c r="Q19" s="7"/>
    </row>
    <row r="20" spans="1:17" x14ac:dyDescent="0.35">
      <c r="A20">
        <v>5</v>
      </c>
      <c r="B20" s="10">
        <v>1233636.9400709346</v>
      </c>
      <c r="C20" s="10">
        <v>998818.90719498065</v>
      </c>
      <c r="D20" s="10">
        <v>1019018.4730496143</v>
      </c>
      <c r="E20" s="10">
        <v>1039218.0389042485</v>
      </c>
      <c r="F20" s="10">
        <v>1059417.6047588824</v>
      </c>
      <c r="G20" s="10">
        <v>1023463.8147087495</v>
      </c>
      <c r="H20" s="10">
        <v>1043663.3805633835</v>
      </c>
      <c r="I20" s="10">
        <v>1063862.9464180174</v>
      </c>
      <c r="J20" s="10">
        <v>1084062.5122726511</v>
      </c>
      <c r="M20" s="7"/>
      <c r="N20" s="7"/>
      <c r="O20" s="7"/>
      <c r="P20" s="7"/>
      <c r="Q20" s="7"/>
    </row>
    <row r="24" spans="1:17" x14ac:dyDescent="0.35">
      <c r="A24" s="1" t="s">
        <v>114</v>
      </c>
      <c r="L24" s="1"/>
    </row>
    <row r="25" spans="1:17" x14ac:dyDescent="0.35">
      <c r="A25" t="s">
        <v>11</v>
      </c>
      <c r="B25" t="s">
        <v>10</v>
      </c>
      <c r="C25" t="s">
        <v>70</v>
      </c>
      <c r="D25" t="s">
        <v>71</v>
      </c>
      <c r="E25" t="s">
        <v>72</v>
      </c>
      <c r="F25" t="s">
        <v>73</v>
      </c>
      <c r="G25" t="s">
        <v>70</v>
      </c>
      <c r="H25" t="s">
        <v>71</v>
      </c>
      <c r="I25" t="s">
        <v>72</v>
      </c>
      <c r="J25" t="s">
        <v>73</v>
      </c>
    </row>
    <row r="26" spans="1:17" x14ac:dyDescent="0.35">
      <c r="A26">
        <v>0</v>
      </c>
      <c r="B26" s="10">
        <v>0</v>
      </c>
      <c r="C26" s="10">
        <v>230420</v>
      </c>
      <c r="D26" s="10">
        <v>230420</v>
      </c>
      <c r="E26" s="10">
        <v>230420</v>
      </c>
      <c r="F26" s="10">
        <v>230420</v>
      </c>
      <c r="G26" s="10">
        <v>125420</v>
      </c>
      <c r="H26" s="10">
        <v>125420</v>
      </c>
      <c r="I26" s="10">
        <v>125420</v>
      </c>
      <c r="J26" s="10">
        <v>125420</v>
      </c>
      <c r="M26" s="7"/>
      <c r="N26" s="7"/>
      <c r="O26" s="7"/>
      <c r="P26" s="7"/>
      <c r="Q26" s="7"/>
    </row>
    <row r="27" spans="1:17" x14ac:dyDescent="0.35">
      <c r="A27">
        <v>1</v>
      </c>
      <c r="B27" s="10">
        <v>271042.81429246155</v>
      </c>
      <c r="C27" s="10">
        <v>442386.36557028454</v>
      </c>
      <c r="D27" s="10">
        <v>430936.49290701182</v>
      </c>
      <c r="E27" s="10">
        <v>404954.08955573913</v>
      </c>
      <c r="F27" s="10">
        <v>408036.74758046638</v>
      </c>
      <c r="G27" s="10">
        <v>368477.27466119366</v>
      </c>
      <c r="H27" s="10">
        <v>357027.40199792088</v>
      </c>
      <c r="I27" s="10">
        <v>331044.99864664814</v>
      </c>
      <c r="J27" s="10">
        <v>334127.65667137544</v>
      </c>
      <c r="M27" s="7"/>
      <c r="N27" s="7"/>
      <c r="O27" s="7"/>
      <c r="P27" s="7"/>
      <c r="Q27" s="7"/>
    </row>
    <row r="28" spans="1:17" x14ac:dyDescent="0.35">
      <c r="A28">
        <v>2</v>
      </c>
      <c r="B28" s="10">
        <v>526382.87354068982</v>
      </c>
      <c r="C28" s="10">
        <v>639567.00275345589</v>
      </c>
      <c r="D28" s="10">
        <v>617708.15494175337</v>
      </c>
      <c r="E28" s="10">
        <v>568105.38490750547</v>
      </c>
      <c r="F28" s="10">
        <v>573990.45931834844</v>
      </c>
      <c r="G28" s="10">
        <v>593922.37465428235</v>
      </c>
      <c r="H28" s="10">
        <v>572063.52684257971</v>
      </c>
      <c r="I28" s="10">
        <v>522460.75680833182</v>
      </c>
      <c r="J28" s="10">
        <v>528345.83121917478</v>
      </c>
      <c r="M28" s="7"/>
      <c r="N28" s="7"/>
      <c r="O28" s="7"/>
      <c r="P28" s="7"/>
      <c r="Q28" s="7"/>
    </row>
    <row r="29" spans="1:17" x14ac:dyDescent="0.35">
      <c r="A29">
        <v>3</v>
      </c>
      <c r="B29" s="10">
        <v>766972.35485926725</v>
      </c>
      <c r="C29" s="10">
        <v>823067.5946700091</v>
      </c>
      <c r="D29" s="10">
        <v>791746.04217791592</v>
      </c>
      <c r="E29" s="10">
        <v>720670.21152278152</v>
      </c>
      <c r="F29" s="10">
        <v>729102.93719372968</v>
      </c>
      <c r="G29" s="10">
        <v>803117.93276166951</v>
      </c>
      <c r="H29" s="10">
        <v>771796.38026957621</v>
      </c>
      <c r="I29" s="10">
        <v>700720.54961444193</v>
      </c>
      <c r="J29" s="10">
        <v>709153.27528538997</v>
      </c>
      <c r="M29" s="7"/>
      <c r="N29" s="7"/>
      <c r="O29" s="7"/>
      <c r="P29" s="7"/>
      <c r="Q29" s="7"/>
    </row>
    <row r="30" spans="1:17" x14ac:dyDescent="0.35">
      <c r="A30">
        <v>4</v>
      </c>
      <c r="B30" s="10">
        <v>993702.16837593541</v>
      </c>
      <c r="C30" s="10">
        <v>993905.99731059955</v>
      </c>
      <c r="D30" s="10">
        <v>953981.98601815116</v>
      </c>
      <c r="E30" s="10">
        <v>863385.19116221077</v>
      </c>
      <c r="F30" s="10">
        <v>874133.96343325463</v>
      </c>
      <c r="G30" s="10">
        <v>997315.39557574538</v>
      </c>
      <c r="H30" s="10">
        <v>957391.38428329688</v>
      </c>
      <c r="I30" s="10">
        <v>866794.58942735661</v>
      </c>
      <c r="J30" s="10">
        <v>877543.36169840035</v>
      </c>
      <c r="M30" s="7"/>
      <c r="N30" s="7"/>
      <c r="O30" s="7"/>
      <c r="P30" s="7"/>
      <c r="Q30" s="7"/>
    </row>
    <row r="31" spans="1:17" x14ac:dyDescent="0.35">
      <c r="A31">
        <v>5</v>
      </c>
      <c r="B31" s="10">
        <v>1207406.1802315239</v>
      </c>
      <c r="C31" s="10">
        <v>1153019.5482306702</v>
      </c>
      <c r="D31" s="10">
        <v>1105275.1198469899</v>
      </c>
      <c r="E31" s="10">
        <v>996931.99389940768</v>
      </c>
      <c r="F31" s="10">
        <v>1009786.2630796293</v>
      </c>
      <c r="G31" s="10">
        <v>1177664.455744439</v>
      </c>
      <c r="H31" s="10">
        <v>1129920.0273607587</v>
      </c>
      <c r="I31" s="10">
        <v>1021576.9014131767</v>
      </c>
      <c r="J31" s="10">
        <v>1034431.1705933982</v>
      </c>
      <c r="M31" s="7"/>
      <c r="N31" s="7"/>
      <c r="O31" s="7"/>
      <c r="P31" s="7"/>
      <c r="Q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CalcSheet</vt:lpstr>
      <vt:lpstr>ACYOM-5-Years</vt:lpstr>
      <vt:lpstr>BucketData</vt:lpstr>
      <vt:lpstr>BucketData2</vt:lpstr>
      <vt:lpstr>Sheet6</vt:lpstr>
      <vt:lpstr>ACYOM-DOE</vt:lpstr>
      <vt:lpstr>Non-depl</vt:lpstr>
      <vt:lpstr>Sheet2</vt:lpstr>
      <vt:lpstr>FinalData</vt:lpstr>
      <vt:lpstr>Avg%picked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pazourlab</dc:creator>
  <cp:lastModifiedBy>Bhowmick, Joyjit</cp:lastModifiedBy>
  <dcterms:created xsi:type="dcterms:W3CDTF">2015-06-05T18:17:20Z</dcterms:created>
  <dcterms:modified xsi:type="dcterms:W3CDTF">2024-10-08T20:59:52Z</dcterms:modified>
</cp:coreProperties>
</file>