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rpiexchange-my.sharepoint.com/personal/bhowmj_rpi_edu/Documents/DQE New/IISE Transactions Data Availability/"/>
    </mc:Choice>
  </mc:AlternateContent>
  <xr:revisionPtr revIDLastSave="2" documentId="8_{FEB540A5-5A7E-4FC5-B31E-040EBEE2B3F9}" xr6:coauthVersionLast="47" xr6:coauthVersionMax="47" xr10:uidLastSave="{804C7DBB-E590-412F-B29C-03634F9F8E02}"/>
  <bookViews>
    <workbookView xWindow="-110" yWindow="-110" windowWidth="19420" windowHeight="10420" xr2:uid="{81FE1F67-D94E-41CB-8273-3638E297320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70" i="1" l="1"/>
  <c r="N67" i="1"/>
  <c r="W64" i="1"/>
  <c r="V64" i="1"/>
  <c r="U64" i="1"/>
  <c r="T64" i="1"/>
  <c r="S64" i="1"/>
  <c r="R64" i="1"/>
  <c r="Q64" i="1"/>
  <c r="P64" i="1"/>
  <c r="O64" i="1"/>
  <c r="N64" i="1"/>
  <c r="N60" i="1"/>
  <c r="N59" i="1"/>
  <c r="N58" i="1"/>
  <c r="N57" i="1"/>
  <c r="N56" i="1"/>
  <c r="AC55" i="1"/>
  <c r="O55" i="1"/>
  <c r="N55" i="1"/>
  <c r="W54" i="1"/>
  <c r="V54" i="1"/>
  <c r="U54" i="1"/>
  <c r="T54" i="1"/>
  <c r="S54" i="1"/>
  <c r="R54" i="1"/>
  <c r="Q54" i="1"/>
  <c r="P54" i="1"/>
  <c r="O54" i="1"/>
  <c r="N54" i="1"/>
  <c r="N48" i="1"/>
  <c r="N47" i="1"/>
  <c r="N69" i="1" s="1"/>
  <c r="N46" i="1"/>
  <c r="N68" i="1" s="1"/>
  <c r="N45" i="1"/>
  <c r="N44" i="1"/>
  <c r="N66" i="1" s="1"/>
  <c r="AE43" i="1"/>
  <c r="X43" i="1"/>
  <c r="AI43" i="1" s="1"/>
  <c r="U43" i="1"/>
  <c r="AG43" i="1" s="1"/>
  <c r="R43" i="1"/>
  <c r="P43" i="1"/>
  <c r="O43" i="1"/>
  <c r="O65" i="1" s="1"/>
  <c r="AC65" i="1" s="1"/>
  <c r="N43" i="1"/>
  <c r="N65" i="1" s="1"/>
  <c r="E43" i="1"/>
  <c r="O42" i="1"/>
  <c r="N42" i="1"/>
  <c r="B41" i="1"/>
  <c r="B37" i="1"/>
  <c r="B46" i="1" s="1"/>
  <c r="E36" i="1"/>
  <c r="B36" i="1" s="1"/>
  <c r="B35" i="1"/>
  <c r="B39" i="1" s="1"/>
  <c r="B43" i="1" s="1"/>
  <c r="B44" i="1" s="1"/>
  <c r="E33" i="1"/>
  <c r="E35" i="1" s="1"/>
  <c r="E39" i="1" s="1"/>
  <c r="B33" i="1"/>
  <c r="AI30" i="1"/>
  <c r="AG30" i="1"/>
  <c r="AE30" i="1"/>
  <c r="AC30" i="1"/>
  <c r="O30" i="1"/>
  <c r="E27" i="1"/>
  <c r="G54" i="1" s="1"/>
  <c r="B23" i="1"/>
  <c r="B21" i="1"/>
  <c r="O17" i="1"/>
  <c r="E14" i="1"/>
  <c r="E17" i="1" s="1"/>
  <c r="E19" i="1" s="1"/>
  <c r="K13" i="1"/>
  <c r="K14" i="1" s="1"/>
  <c r="K15" i="1" s="1"/>
  <c r="K16" i="1" s="1"/>
  <c r="K17" i="1" s="1"/>
  <c r="K18" i="1" s="1"/>
  <c r="J13" i="1"/>
  <c r="G9" i="1"/>
  <c r="J1" i="1"/>
  <c r="F6" i="1" l="1"/>
  <c r="F5" i="1"/>
  <c r="F4" i="1"/>
  <c r="F3" i="1"/>
  <c r="E46" i="1"/>
  <c r="E44" i="1"/>
  <c r="J7" i="1"/>
  <c r="J8" i="1"/>
  <c r="J6" i="1"/>
  <c r="J4" i="1"/>
  <c r="J3" i="1"/>
  <c r="Q3" i="1" s="1"/>
  <c r="AA3" i="1" s="1"/>
  <c r="J5" i="1"/>
  <c r="P18" i="1"/>
  <c r="J14" i="1"/>
  <c r="P3" i="1"/>
  <c r="L13" i="1"/>
  <c r="G12" i="1"/>
  <c r="P65" i="1"/>
  <c r="E37" i="1"/>
  <c r="G51" i="1"/>
  <c r="G52" i="1"/>
  <c r="G10" i="1"/>
  <c r="G53" i="1"/>
  <c r="G11" i="1"/>
  <c r="AC43" i="1"/>
  <c r="O18" i="1" l="1"/>
  <c r="AA18" i="1" s="1"/>
  <c r="P30" i="1"/>
  <c r="S3" i="1"/>
  <c r="T3" i="1" s="1"/>
  <c r="AC3" i="1" s="1"/>
  <c r="R3" i="1"/>
  <c r="P66" i="1"/>
  <c r="Q66" i="1" s="1"/>
  <c r="T56" i="1"/>
  <c r="U56" i="1" s="1"/>
  <c r="L14" i="1"/>
  <c r="S44" i="1"/>
  <c r="T44" i="1" s="1"/>
  <c r="V31" i="1"/>
  <c r="P19" i="1"/>
  <c r="Q19" i="1" s="1"/>
  <c r="P4" i="1"/>
  <c r="R4" i="1" s="1"/>
  <c r="V66" i="1"/>
  <c r="W66" i="1" s="1"/>
  <c r="R56" i="1"/>
  <c r="S56" i="1" s="1"/>
  <c r="Y44" i="1"/>
  <c r="Z44" i="1" s="1"/>
  <c r="V19" i="1"/>
  <c r="W19" i="1" s="1"/>
  <c r="W4" i="1"/>
  <c r="X4" i="1" s="1"/>
  <c r="T66" i="1"/>
  <c r="U66" i="1" s="1"/>
  <c r="P56" i="1"/>
  <c r="Q56" i="1" s="1"/>
  <c r="P44" i="1"/>
  <c r="Q44" i="1" s="1"/>
  <c r="S31" i="1"/>
  <c r="T31" i="1" s="1"/>
  <c r="T19" i="1"/>
  <c r="U19" i="1" s="1"/>
  <c r="U4" i="1"/>
  <c r="V4" i="1" s="1"/>
  <c r="R66" i="1"/>
  <c r="S66" i="1" s="1"/>
  <c r="P31" i="1"/>
  <c r="Q31" i="1" s="1"/>
  <c r="R19" i="1"/>
  <c r="S19" i="1" s="1"/>
  <c r="J15" i="1"/>
  <c r="S4" i="1"/>
  <c r="T4" i="1" s="1"/>
  <c r="V56" i="1"/>
  <c r="W56" i="1" s="1"/>
  <c r="V44" i="1"/>
  <c r="W44" i="1" s="1"/>
  <c r="O4" i="1"/>
  <c r="Q4" i="1" s="1"/>
  <c r="AA4" i="1" s="1"/>
  <c r="Y31" i="1"/>
  <c r="Z31" i="1" s="1"/>
  <c r="V18" i="1"/>
  <c r="W18" i="1" s="1"/>
  <c r="AE18" i="1" s="1"/>
  <c r="T18" i="1"/>
  <c r="U18" i="1" s="1"/>
  <c r="AD18" i="1" s="1"/>
  <c r="Q18" i="1"/>
  <c r="AB18" i="1" s="1"/>
  <c r="AB19" i="1" s="1"/>
  <c r="R18" i="1"/>
  <c r="S18" i="1" s="1"/>
  <c r="AC18" i="1" s="1"/>
  <c r="AC19" i="1" s="1"/>
  <c r="Q65" i="1"/>
  <c r="AD65" i="1" s="1"/>
  <c r="AD66" i="1" s="1"/>
  <c r="Q43" i="1"/>
  <c r="O31" i="1" l="1"/>
  <c r="AA5" i="1"/>
  <c r="O19" i="1"/>
  <c r="AA19" i="1" s="1"/>
  <c r="AD67" i="1"/>
  <c r="AB3" i="1"/>
  <c r="AB4" i="1" s="1"/>
  <c r="AB5" i="1" s="1"/>
  <c r="W3" i="1"/>
  <c r="X3" i="1" s="1"/>
  <c r="AE3" i="1" s="1"/>
  <c r="AE4" i="1" s="1"/>
  <c r="U3" i="1"/>
  <c r="V3" i="1" s="1"/>
  <c r="AD3" i="1" s="1"/>
  <c r="AD4" i="1" s="1"/>
  <c r="AC4" i="1"/>
  <c r="S32" i="1"/>
  <c r="T32" i="1" s="1"/>
  <c r="W5" i="1"/>
  <c r="X5" i="1" s="1"/>
  <c r="P67" i="1"/>
  <c r="Q67" i="1" s="1"/>
  <c r="T57" i="1"/>
  <c r="U57" i="1" s="1"/>
  <c r="V45" i="1"/>
  <c r="W45" i="1" s="1"/>
  <c r="R20" i="1"/>
  <c r="S20" i="1" s="1"/>
  <c r="AC20" i="1" s="1"/>
  <c r="P5" i="1"/>
  <c r="R5" i="1" s="1"/>
  <c r="Y32" i="1"/>
  <c r="Z32" i="1" s="1"/>
  <c r="O5" i="1"/>
  <c r="Q5" i="1" s="1"/>
  <c r="V67" i="1"/>
  <c r="W67" i="1" s="1"/>
  <c r="R57" i="1"/>
  <c r="S57" i="1" s="1"/>
  <c r="P32" i="1"/>
  <c r="Q32" i="1" s="1"/>
  <c r="P20" i="1"/>
  <c r="Q20" i="1" s="1"/>
  <c r="AB20" i="1" s="1"/>
  <c r="S45" i="1"/>
  <c r="T45" i="1" s="1"/>
  <c r="J16" i="1"/>
  <c r="U5" i="1"/>
  <c r="V5" i="1" s="1"/>
  <c r="T67" i="1"/>
  <c r="U67" i="1" s="1"/>
  <c r="P57" i="1"/>
  <c r="Q57" i="1" s="1"/>
  <c r="V20" i="1"/>
  <c r="W20" i="1" s="1"/>
  <c r="L15" i="1"/>
  <c r="R67" i="1"/>
  <c r="S67" i="1" s="1"/>
  <c r="V57" i="1"/>
  <c r="W57" i="1" s="1"/>
  <c r="P45" i="1"/>
  <c r="Q45" i="1" s="1"/>
  <c r="T20" i="1"/>
  <c r="U20" i="1" s="1"/>
  <c r="S5" i="1"/>
  <c r="T5" i="1" s="1"/>
  <c r="Y45" i="1"/>
  <c r="Z45" i="1" s="1"/>
  <c r="P55" i="1"/>
  <c r="Q55" i="1" s="1"/>
  <c r="AD55" i="1" s="1"/>
  <c r="AD56" i="1" s="1"/>
  <c r="Q30" i="1"/>
  <c r="AD19" i="1"/>
  <c r="AD20" i="1" s="1"/>
  <c r="W31" i="1"/>
  <c r="V32" i="1"/>
  <c r="S43" i="1"/>
  <c r="AD43" i="1"/>
  <c r="AD44" i="1" s="1"/>
  <c r="AD45" i="1" s="1"/>
  <c r="AE19" i="1"/>
  <c r="AE20" i="1" s="1"/>
  <c r="AD5" i="1" l="1"/>
  <c r="AD6" i="1" s="1"/>
  <c r="AD30" i="1"/>
  <c r="AD31" i="1" s="1"/>
  <c r="AD32" i="1" s="1"/>
  <c r="S30" i="1"/>
  <c r="AE5" i="1"/>
  <c r="AD57" i="1"/>
  <c r="AD58" i="1" s="1"/>
  <c r="R65" i="1"/>
  <c r="S65" i="1" s="1"/>
  <c r="AE65" i="1" s="1"/>
  <c r="AE66" i="1" s="1"/>
  <c r="AE67" i="1" s="1"/>
  <c r="T43" i="1"/>
  <c r="O32" i="1"/>
  <c r="O20" i="1"/>
  <c r="AA20" i="1" s="1"/>
  <c r="W32" i="1"/>
  <c r="V33" i="1"/>
  <c r="R68" i="1"/>
  <c r="S68" i="1" s="1"/>
  <c r="V58" i="1"/>
  <c r="W58" i="1" s="1"/>
  <c r="P46" i="1"/>
  <c r="Q46" i="1" s="1"/>
  <c r="AD46" i="1" s="1"/>
  <c r="T21" i="1"/>
  <c r="U21" i="1" s="1"/>
  <c r="AD21" i="1" s="1"/>
  <c r="J17" i="1"/>
  <c r="P6" i="1"/>
  <c r="R6" i="1" s="1"/>
  <c r="AB6" i="1" s="1"/>
  <c r="R21" i="1"/>
  <c r="S21" i="1" s="1"/>
  <c r="AC21" i="1" s="1"/>
  <c r="L16" i="1"/>
  <c r="W6" i="1"/>
  <c r="X6" i="1" s="1"/>
  <c r="O6" i="1"/>
  <c r="Q6" i="1" s="1"/>
  <c r="AA6" i="1" s="1"/>
  <c r="P68" i="1"/>
  <c r="Q68" i="1" s="1"/>
  <c r="AD68" i="1" s="1"/>
  <c r="T58" i="1"/>
  <c r="U58" i="1" s="1"/>
  <c r="V46" i="1"/>
  <c r="W46" i="1" s="1"/>
  <c r="S33" i="1"/>
  <c r="T33" i="1" s="1"/>
  <c r="U6" i="1"/>
  <c r="V6" i="1" s="1"/>
  <c r="V68" i="1"/>
  <c r="W68" i="1" s="1"/>
  <c r="R58" i="1"/>
  <c r="S58" i="1" s="1"/>
  <c r="Y33" i="1"/>
  <c r="Z33" i="1" s="1"/>
  <c r="P21" i="1"/>
  <c r="Q21" i="1" s="1"/>
  <c r="AB21" i="1" s="1"/>
  <c r="S46" i="1"/>
  <c r="T46" i="1" s="1"/>
  <c r="P33" i="1"/>
  <c r="Q33" i="1" s="1"/>
  <c r="S6" i="1"/>
  <c r="T6" i="1" s="1"/>
  <c r="T68" i="1"/>
  <c r="U68" i="1" s="1"/>
  <c r="Y46" i="1"/>
  <c r="Z46" i="1" s="1"/>
  <c r="V21" i="1"/>
  <c r="W21" i="1" s="1"/>
  <c r="AE21" i="1" s="1"/>
  <c r="P58" i="1"/>
  <c r="Q58" i="1" s="1"/>
  <c r="AC5" i="1"/>
  <c r="AC6" i="1" s="1"/>
  <c r="U31" i="1"/>
  <c r="AC31" i="1"/>
  <c r="O56" i="1"/>
  <c r="AC56" i="1" s="1"/>
  <c r="O44" i="1"/>
  <c r="R31" i="1"/>
  <c r="X31" i="1"/>
  <c r="O21" i="1" l="1"/>
  <c r="AA21" i="1" s="1"/>
  <c r="O33" i="1"/>
  <c r="AD47" i="1"/>
  <c r="U44" i="1"/>
  <c r="AG44" i="1" s="1"/>
  <c r="AG45" i="1" s="1"/>
  <c r="AG31" i="1"/>
  <c r="AG32" i="1" s="1"/>
  <c r="O45" i="1"/>
  <c r="AC32" i="1"/>
  <c r="R32" i="1"/>
  <c r="R45" i="1" s="1"/>
  <c r="X32" i="1"/>
  <c r="X45" i="1" s="1"/>
  <c r="O57" i="1"/>
  <c r="AC57" i="1" s="1"/>
  <c r="U32" i="1"/>
  <c r="U45" i="1" s="1"/>
  <c r="AE6" i="1"/>
  <c r="AF43" i="1"/>
  <c r="AF44" i="1" s="1"/>
  <c r="AF45" i="1" s="1"/>
  <c r="AF46" i="1" s="1"/>
  <c r="AF47" i="1" s="1"/>
  <c r="V43" i="1"/>
  <c r="R55" i="1"/>
  <c r="S55" i="1" s="1"/>
  <c r="AE55" i="1" s="1"/>
  <c r="AE56" i="1" s="1"/>
  <c r="AE57" i="1" s="1"/>
  <c r="AE58" i="1" s="1"/>
  <c r="AE59" i="1" s="1"/>
  <c r="V30" i="1"/>
  <c r="T30" i="1"/>
  <c r="AF30" i="1" s="1"/>
  <c r="AF31" i="1" s="1"/>
  <c r="AF32" i="1" s="1"/>
  <c r="AF33" i="1" s="1"/>
  <c r="AE68" i="1"/>
  <c r="AD33" i="1"/>
  <c r="R44" i="1"/>
  <c r="AE44" i="1" s="1"/>
  <c r="AE31" i="1"/>
  <c r="V34" i="1"/>
  <c r="W33" i="1"/>
  <c r="S47" i="1"/>
  <c r="T47" i="1" s="1"/>
  <c r="Y34" i="1"/>
  <c r="Z34" i="1" s="1"/>
  <c r="V22" i="1"/>
  <c r="W22" i="1" s="1"/>
  <c r="AE22" i="1" s="1"/>
  <c r="P7" i="1"/>
  <c r="R7" i="1" s="1"/>
  <c r="AB7" i="1" s="1"/>
  <c r="R69" i="1"/>
  <c r="S69" i="1" s="1"/>
  <c r="V59" i="1"/>
  <c r="W59" i="1" s="1"/>
  <c r="P34" i="1"/>
  <c r="Q34" i="1" s="1"/>
  <c r="W7" i="1"/>
  <c r="X7" i="1" s="1"/>
  <c r="O7" i="1"/>
  <c r="Q7" i="1" s="1"/>
  <c r="AA7" i="1" s="1"/>
  <c r="Y47" i="1"/>
  <c r="Z47" i="1" s="1"/>
  <c r="T22" i="1"/>
  <c r="U22" i="1" s="1"/>
  <c r="AD22" i="1" s="1"/>
  <c r="P69" i="1"/>
  <c r="Q69" i="1" s="1"/>
  <c r="AD69" i="1" s="1"/>
  <c r="T59" i="1"/>
  <c r="U59" i="1" s="1"/>
  <c r="P47" i="1"/>
  <c r="Q47" i="1" s="1"/>
  <c r="U7" i="1"/>
  <c r="V7" i="1" s="1"/>
  <c r="AD7" i="1" s="1"/>
  <c r="R22" i="1"/>
  <c r="S22" i="1" s="1"/>
  <c r="AC22" i="1" s="1"/>
  <c r="J18" i="1"/>
  <c r="V69" i="1"/>
  <c r="W69" i="1" s="1"/>
  <c r="R59" i="1"/>
  <c r="S59" i="1" s="1"/>
  <c r="V47" i="1"/>
  <c r="W47" i="1" s="1"/>
  <c r="S7" i="1"/>
  <c r="T7" i="1" s="1"/>
  <c r="AC7" i="1" s="1"/>
  <c r="T69" i="1"/>
  <c r="U69" i="1" s="1"/>
  <c r="P59" i="1"/>
  <c r="Q59" i="1" s="1"/>
  <c r="AD59" i="1" s="1"/>
  <c r="P22" i="1"/>
  <c r="Q22" i="1" s="1"/>
  <c r="AB22" i="1" s="1"/>
  <c r="L17" i="1"/>
  <c r="S34" i="1"/>
  <c r="T34" i="1" s="1"/>
  <c r="X44" i="1"/>
  <c r="AI44" i="1" s="1"/>
  <c r="AI45" i="1" s="1"/>
  <c r="AI31" i="1"/>
  <c r="AI32" i="1" s="1"/>
  <c r="O66" i="1"/>
  <c r="AC66" i="1" s="1"/>
  <c r="AC44" i="1"/>
  <c r="O34" i="1" l="1"/>
  <c r="O22" i="1"/>
  <c r="AA22" i="1" s="1"/>
  <c r="AD60" i="1"/>
  <c r="AE23" i="1"/>
  <c r="W34" i="1"/>
  <c r="V35" i="1"/>
  <c r="W35" i="1" s="1"/>
  <c r="AE32" i="1"/>
  <c r="T65" i="1"/>
  <c r="U65" i="1" s="1"/>
  <c r="AF65" i="1" s="1"/>
  <c r="AF66" i="1" s="1"/>
  <c r="AF67" i="1" s="1"/>
  <c r="AF68" i="1" s="1"/>
  <c r="AF69" i="1" s="1"/>
  <c r="W43" i="1"/>
  <c r="O67" i="1"/>
  <c r="AC67" i="1" s="1"/>
  <c r="AC45" i="1"/>
  <c r="U33" i="1"/>
  <c r="U46" i="1" s="1"/>
  <c r="O46" i="1"/>
  <c r="AC33" i="1"/>
  <c r="R33" i="1"/>
  <c r="R46" i="1" s="1"/>
  <c r="X33" i="1"/>
  <c r="X46" i="1" s="1"/>
  <c r="O58" i="1"/>
  <c r="AC58" i="1" s="1"/>
  <c r="AE45" i="1"/>
  <c r="AG33" i="1"/>
  <c r="AE7" i="1"/>
  <c r="AG46" i="1"/>
  <c r="Y30" i="1"/>
  <c r="W30" i="1"/>
  <c r="AH30" i="1" s="1"/>
  <c r="AH31" i="1" s="1"/>
  <c r="AH32" i="1" s="1"/>
  <c r="AH33" i="1" s="1"/>
  <c r="AH34" i="1" s="1"/>
  <c r="AH35" i="1" s="1"/>
  <c r="T55" i="1"/>
  <c r="U55" i="1" s="1"/>
  <c r="AF55" i="1" s="1"/>
  <c r="AF56" i="1" s="1"/>
  <c r="AF57" i="1" s="1"/>
  <c r="AF58" i="1" s="1"/>
  <c r="AF59" i="1" s="1"/>
  <c r="AI46" i="1"/>
  <c r="AD34" i="1"/>
  <c r="AE69" i="1"/>
  <c r="T70" i="1"/>
  <c r="U70" i="1" s="1"/>
  <c r="P60" i="1"/>
  <c r="Q60" i="1" s="1"/>
  <c r="V48" i="1"/>
  <c r="W48" i="1" s="1"/>
  <c r="S35" i="1"/>
  <c r="T35" i="1" s="1"/>
  <c r="P8" i="1"/>
  <c r="R8" i="1" s="1"/>
  <c r="AB8" i="1" s="1"/>
  <c r="V23" i="1"/>
  <c r="W23" i="1" s="1"/>
  <c r="W8" i="1"/>
  <c r="X8" i="1" s="1"/>
  <c r="O8" i="1"/>
  <c r="Q8" i="1" s="1"/>
  <c r="AA8" i="1" s="1"/>
  <c r="R70" i="1"/>
  <c r="S70" i="1" s="1"/>
  <c r="V60" i="1"/>
  <c r="W60" i="1" s="1"/>
  <c r="Y35" i="1"/>
  <c r="Z35" i="1" s="1"/>
  <c r="L18" i="1"/>
  <c r="S48" i="1"/>
  <c r="T48" i="1" s="1"/>
  <c r="AF48" i="1" s="1"/>
  <c r="P35" i="1"/>
  <c r="Q35" i="1" s="1"/>
  <c r="T23" i="1"/>
  <c r="U23" i="1" s="1"/>
  <c r="AD23" i="1" s="1"/>
  <c r="U8" i="1"/>
  <c r="V8" i="1" s="1"/>
  <c r="AD8" i="1" s="1"/>
  <c r="P70" i="1"/>
  <c r="Q70" i="1" s="1"/>
  <c r="AD70" i="1" s="1"/>
  <c r="T60" i="1"/>
  <c r="U60" i="1" s="1"/>
  <c r="Y48" i="1"/>
  <c r="Z48" i="1" s="1"/>
  <c r="R23" i="1"/>
  <c r="S23" i="1" s="1"/>
  <c r="AC23" i="1" s="1"/>
  <c r="S8" i="1"/>
  <c r="T8" i="1" s="1"/>
  <c r="AC8" i="1" s="1"/>
  <c r="V70" i="1"/>
  <c r="W70" i="1" s="1"/>
  <c r="P23" i="1"/>
  <c r="Q23" i="1" s="1"/>
  <c r="AB23" i="1" s="1"/>
  <c r="P48" i="1"/>
  <c r="Q48" i="1" s="1"/>
  <c r="AD48" i="1" s="1"/>
  <c r="R60" i="1"/>
  <c r="S60" i="1" s="1"/>
  <c r="AE60" i="1" s="1"/>
  <c r="AF34" i="1"/>
  <c r="AF35" i="1" s="1"/>
  <c r="O23" i="1" l="1"/>
  <c r="AA23" i="1" s="1"/>
  <c r="O35" i="1"/>
  <c r="AE8" i="1"/>
  <c r="AE70" i="1"/>
  <c r="O68" i="1"/>
  <c r="AC68" i="1" s="1"/>
  <c r="AC46" i="1"/>
  <c r="AG47" i="1"/>
  <c r="AE33" i="1"/>
  <c r="AD35" i="1"/>
  <c r="AE46" i="1"/>
  <c r="AF60" i="1"/>
  <c r="AI33" i="1"/>
  <c r="AI34" i="1" s="1"/>
  <c r="Y43" i="1"/>
  <c r="AH43" i="1"/>
  <c r="AH44" i="1" s="1"/>
  <c r="AH45" i="1" s="1"/>
  <c r="AH46" i="1" s="1"/>
  <c r="AH47" i="1" s="1"/>
  <c r="AH48" i="1" s="1"/>
  <c r="Z30" i="1"/>
  <c r="AJ30" i="1" s="1"/>
  <c r="AJ31" i="1" s="1"/>
  <c r="AJ32" i="1" s="1"/>
  <c r="AJ33" i="1" s="1"/>
  <c r="AJ34" i="1" s="1"/>
  <c r="AJ35" i="1" s="1"/>
  <c r="V55" i="1"/>
  <c r="W55" i="1" s="1"/>
  <c r="AG55" i="1" s="1"/>
  <c r="AG56" i="1" s="1"/>
  <c r="AG57" i="1" s="1"/>
  <c r="AG58" i="1" s="1"/>
  <c r="AG59" i="1" s="1"/>
  <c r="AG60" i="1" s="1"/>
  <c r="AF70" i="1"/>
  <c r="O59" i="1"/>
  <c r="AC59" i="1" s="1"/>
  <c r="X34" i="1"/>
  <c r="X47" i="1" s="1"/>
  <c r="AI47" i="1" s="1"/>
  <c r="O47" i="1"/>
  <c r="U34" i="1"/>
  <c r="U47" i="1" s="1"/>
  <c r="R34" i="1"/>
  <c r="R47" i="1" s="1"/>
  <c r="AC34" i="1"/>
  <c r="AG34" i="1" l="1"/>
  <c r="AE47" i="1"/>
  <c r="AE48" i="1" s="1"/>
  <c r="V65" i="1"/>
  <c r="W65" i="1" s="1"/>
  <c r="AG65" i="1" s="1"/>
  <c r="AG66" i="1" s="1"/>
  <c r="AG67" i="1" s="1"/>
  <c r="AG68" i="1" s="1"/>
  <c r="AG69" i="1" s="1"/>
  <c r="AG70" i="1" s="1"/>
  <c r="Z43" i="1"/>
  <c r="AJ43" i="1" s="1"/>
  <c r="AJ44" i="1" s="1"/>
  <c r="AJ45" i="1" s="1"/>
  <c r="AJ46" i="1" s="1"/>
  <c r="AJ47" i="1" s="1"/>
  <c r="AJ48" i="1" s="1"/>
  <c r="AC47" i="1"/>
  <c r="O69" i="1"/>
  <c r="AC69" i="1" s="1"/>
  <c r="AC35" i="1"/>
  <c r="O60" i="1"/>
  <c r="AC60" i="1" s="1"/>
  <c r="R35" i="1"/>
  <c r="R48" i="1" s="1"/>
  <c r="X35" i="1"/>
  <c r="X48" i="1" s="1"/>
  <c r="AI48" i="1" s="1"/>
  <c r="O48" i="1"/>
  <c r="U35" i="1"/>
  <c r="U48" i="1" s="1"/>
  <c r="AG48" i="1" s="1"/>
  <c r="AE34" i="1"/>
  <c r="AE35" i="1" s="1"/>
  <c r="AC48" i="1" l="1"/>
  <c r="O70" i="1"/>
  <c r="AC70" i="1" s="1"/>
  <c r="AI35" i="1"/>
  <c r="AG35" i="1"/>
</calcChain>
</file>

<file path=xl/sharedStrings.xml><?xml version="1.0" encoding="utf-8"?>
<sst xmlns="http://schemas.openxmlformats.org/spreadsheetml/2006/main" count="196" uniqueCount="101">
  <si>
    <t>Input Data</t>
  </si>
  <si>
    <t>Values</t>
  </si>
  <si>
    <t>Sources</t>
  </si>
  <si>
    <t>Risk-adjusted discounting</t>
  </si>
  <si>
    <t>Purchase Model - Compensation</t>
  </si>
  <si>
    <t>Replacement Factor</t>
  </si>
  <si>
    <t>Customer Compensation Level</t>
  </si>
  <si>
    <t>$ Per Pick</t>
  </si>
  <si>
    <t>$ Per year</t>
  </si>
  <si>
    <t>year</t>
  </si>
  <si>
    <t>DF</t>
  </si>
  <si>
    <t>C0D2</t>
  </si>
  <si>
    <t>C3D1 ($0.06)</t>
  </si>
  <si>
    <t>C3D1 ($0.12)</t>
  </si>
  <si>
    <t>C3D1 ($0.18)</t>
  </si>
  <si>
    <t>C3D1 ($0.24)</t>
  </si>
  <si>
    <t>Year</t>
  </si>
  <si>
    <t>Wage per hour</t>
  </si>
  <si>
    <t>Year 0</t>
  </si>
  <si>
    <t>Legally required benefit</t>
  </si>
  <si>
    <t>Year 1</t>
  </si>
  <si>
    <t>https://www.bls.gov/news.release/pdf/ecec.pdf</t>
  </si>
  <si>
    <t>Year 2</t>
  </si>
  <si>
    <t>Days worked</t>
  </si>
  <si>
    <t>Year 3</t>
  </si>
  <si>
    <t>Hours worked</t>
  </si>
  <si>
    <t>Year 4</t>
  </si>
  <si>
    <t>Number of workers replaced</t>
  </si>
  <si>
    <t>Hassle Cost level</t>
  </si>
  <si>
    <t>% of hassled customer not coming back</t>
  </si>
  <si>
    <t>Participation%</t>
  </si>
  <si>
    <t>Lost Profit Per year</t>
  </si>
  <si>
    <t>Year 5</t>
  </si>
  <si>
    <t>Robot purchase Cost</t>
  </si>
  <si>
    <t>Maintenance Cost</t>
  </si>
  <si>
    <t>Rate of increase</t>
  </si>
  <si>
    <t xml:space="preserve">Depreciation </t>
  </si>
  <si>
    <t>Wage</t>
  </si>
  <si>
    <t>benefits</t>
  </si>
  <si>
    <t>training cost</t>
  </si>
  <si>
    <t>Installation and Training</t>
  </si>
  <si>
    <t>day in a year</t>
  </si>
  <si>
    <t>Discount factor for up</t>
  </si>
  <si>
    <t>orders in a day</t>
  </si>
  <si>
    <t>mean items per order</t>
  </si>
  <si>
    <t>Subscription Model - Compensation</t>
  </si>
  <si>
    <t>Locus monthly subscription</t>
  </si>
  <si>
    <t>https://locusrobotics.com/wp-content/uploads/Total-Economic-Impact-of-Locus-Robotics_NOV_2019F.pdf</t>
  </si>
  <si>
    <t>items picked in a year</t>
  </si>
  <si>
    <t>Number of bots</t>
  </si>
  <si>
    <t>Utilization by C3D1</t>
  </si>
  <si>
    <t>One time deployment fee</t>
  </si>
  <si>
    <t>share picked by cobot</t>
  </si>
  <si>
    <t>Internal integration cost</t>
  </si>
  <si>
    <t>Compensations in a year</t>
  </si>
  <si>
    <t>employee training cost</t>
  </si>
  <si>
    <t>Customer Hassle</t>
  </si>
  <si>
    <t>Fixed loss hassle profit for c0d2</t>
  </si>
  <si>
    <t>Peak hour customer number per week</t>
  </si>
  <si>
    <t>from iise dataset paper</t>
  </si>
  <si>
    <t>Lost Customer per week</t>
  </si>
  <si>
    <t>Spending per week</t>
  </si>
  <si>
    <t>https://www.statista.com/statistics/251731/us-consumers-grocery-expenditure-per-week/</t>
  </si>
  <si>
    <t>Profit margin</t>
  </si>
  <si>
    <t>Profit per week per customer</t>
  </si>
  <si>
    <t>Purchase Model - Hassle Cost</t>
  </si>
  <si>
    <t>C0D2(1%)</t>
  </si>
  <si>
    <t>C3D1 (1%)</t>
  </si>
  <si>
    <t>C0D2(2%)</t>
  </si>
  <si>
    <t>C3D1 (2%)</t>
  </si>
  <si>
    <t>C0D2(3%)</t>
  </si>
  <si>
    <t>C3D1 (3%)</t>
  </si>
  <si>
    <t>C0D2(4%)</t>
  </si>
  <si>
    <t>C3D1 (4%)</t>
  </si>
  <si>
    <t>Customer Dissatisfaction (Dedicated)</t>
  </si>
  <si>
    <t>Customer Dissatisfaction (Cobot)</t>
  </si>
  <si>
    <t>Online orders per day</t>
  </si>
  <si>
    <t>Online orders per year</t>
  </si>
  <si>
    <t>% of items picked</t>
  </si>
  <si>
    <t>mean number of items not picked</t>
  </si>
  <si>
    <t>mean item value</t>
  </si>
  <si>
    <t>lost profit for not picking per year</t>
  </si>
  <si>
    <t>approx dissatisfied customers per year</t>
  </si>
  <si>
    <t>% dissatisfied customers not reordering</t>
  </si>
  <si>
    <t>mean online basket value</t>
  </si>
  <si>
    <t>Subscription Model - Hassle Cost</t>
  </si>
  <si>
    <t>profit margin</t>
  </si>
  <si>
    <t>lost profit for dissatisfied customers/year</t>
  </si>
  <si>
    <t>per item dissatisfaction cost</t>
  </si>
  <si>
    <t>total lost profit for workers per year</t>
  </si>
  <si>
    <t>total lost profit for cobots per year</t>
  </si>
  <si>
    <t>participation rate variation</t>
  </si>
  <si>
    <t>Purchase Model - Participation Rate</t>
  </si>
  <si>
    <t xml:space="preserve">Year </t>
  </si>
  <si>
    <t>C3D1(52%)</t>
  </si>
  <si>
    <t>C3D1(65%)</t>
  </si>
  <si>
    <t>C3D1(78%)</t>
  </si>
  <si>
    <t>C3D1(92%)</t>
  </si>
  <si>
    <t>Subscription Model - Participation Rate</t>
  </si>
  <si>
    <t>Purchase Model - Churn Rate</t>
  </si>
  <si>
    <t>Subscription Model - Churn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</si>
</sst>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9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497B0-306C-4ED7-9492-A4506913989D}">
  <dimension ref="A1:AJ70"/>
  <sheetViews>
    <sheetView tabSelected="1" topLeftCell="S1" workbookViewId="0">
      <selection activeCell="AB42" sqref="AB42"/>
    </sheetView>
  </sheetViews>
  <sheetFormatPr defaultRowHeight="14.5" x14ac:dyDescent="0.35"/>
  <cols>
    <col min="1" max="1" width="34.1796875" bestFit="1" customWidth="1"/>
    <col min="2" max="2" width="8.36328125" customWidth="1"/>
    <col min="3" max="3" width="7.08984375" customWidth="1"/>
    <col min="4" max="4" width="38.81640625" bestFit="1" customWidth="1"/>
    <col min="5" max="5" width="34.453125" bestFit="1" customWidth="1"/>
    <col min="6" max="6" width="14.453125" customWidth="1"/>
    <col min="7" max="7" width="17" bestFit="1" customWidth="1"/>
    <col min="8" max="8" width="7.1796875" bestFit="1" customWidth="1"/>
    <col min="9" max="9" width="22.1796875" bestFit="1" customWidth="1"/>
    <col min="10" max="10" width="16.81640625" bestFit="1" customWidth="1"/>
    <col min="11" max="11" width="7.1796875" customWidth="1"/>
    <col min="12" max="12" width="12.6328125" bestFit="1" customWidth="1"/>
    <col min="14" max="14" width="22.7265625" bestFit="1" customWidth="1"/>
    <col min="15" max="16" width="12.26953125" bestFit="1" customWidth="1"/>
    <col min="17" max="17" width="15.1796875" bestFit="1" customWidth="1"/>
    <col min="18" max="18" width="12.26953125" bestFit="1" customWidth="1"/>
    <col min="19" max="20" width="11.7265625" bestFit="1" customWidth="1"/>
    <col min="21" max="23" width="11.7265625" customWidth="1"/>
    <col min="24" max="24" width="11.7265625" bestFit="1" customWidth="1"/>
    <col min="25" max="26" width="12.6328125" bestFit="1" customWidth="1"/>
    <col min="27" max="27" width="17.90625" customWidth="1"/>
    <col min="28" max="28" width="14.6328125" bestFit="1" customWidth="1"/>
    <col min="29" max="30" width="12.26953125" bestFit="1" customWidth="1"/>
    <col min="31" max="31" width="16.81640625" bestFit="1" customWidth="1"/>
    <col min="32" max="33" width="12.7265625" bestFit="1" customWidth="1"/>
    <col min="34" max="34" width="14.54296875" bestFit="1" customWidth="1"/>
    <col min="35" max="35" width="16.81640625" bestFit="1" customWidth="1"/>
    <col min="36" max="36" width="12.7265625" bestFit="1" customWidth="1"/>
  </cols>
  <sheetData>
    <row r="1" spans="1:31" x14ac:dyDescent="0.35">
      <c r="A1" s="1" t="s">
        <v>0</v>
      </c>
      <c r="B1" t="s">
        <v>1</v>
      </c>
      <c r="C1" t="s">
        <v>2</v>
      </c>
      <c r="I1" s="1" t="s">
        <v>3</v>
      </c>
      <c r="J1">
        <f>1.1</f>
        <v>1.1000000000000001</v>
      </c>
      <c r="N1" s="1" t="s">
        <v>4</v>
      </c>
      <c r="Z1" s="1" t="s">
        <v>4</v>
      </c>
    </row>
    <row r="2" spans="1:31" x14ac:dyDescent="0.35">
      <c r="A2" t="s">
        <v>5</v>
      </c>
      <c r="B2">
        <v>0.3</v>
      </c>
      <c r="D2" t="s">
        <v>6</v>
      </c>
      <c r="E2" t="s">
        <v>7</v>
      </c>
      <c r="F2" t="s">
        <v>8</v>
      </c>
      <c r="I2" t="s">
        <v>9</v>
      </c>
      <c r="J2" t="s">
        <v>10</v>
      </c>
      <c r="O2" t="s">
        <v>11</v>
      </c>
      <c r="P2" t="s">
        <v>12</v>
      </c>
      <c r="Q2" t="s">
        <v>11</v>
      </c>
      <c r="R2" t="s">
        <v>12</v>
      </c>
      <c r="S2" t="s">
        <v>13</v>
      </c>
      <c r="T2" t="s">
        <v>13</v>
      </c>
      <c r="U2" t="s">
        <v>14</v>
      </c>
      <c r="V2" t="s">
        <v>14</v>
      </c>
      <c r="W2" t="s">
        <v>15</v>
      </c>
      <c r="X2" t="s">
        <v>15</v>
      </c>
      <c r="Z2" t="s">
        <v>16</v>
      </c>
      <c r="AA2" t="s">
        <v>11</v>
      </c>
      <c r="AB2" t="s">
        <v>12</v>
      </c>
      <c r="AC2" t="s">
        <v>13</v>
      </c>
      <c r="AD2" t="s">
        <v>14</v>
      </c>
      <c r="AE2" t="s">
        <v>15</v>
      </c>
    </row>
    <row r="3" spans="1:31" x14ac:dyDescent="0.35">
      <c r="A3" t="s">
        <v>17</v>
      </c>
      <c r="B3">
        <v>17.5</v>
      </c>
      <c r="D3">
        <v>1</v>
      </c>
      <c r="E3">
        <v>0.06</v>
      </c>
      <c r="F3">
        <f>$E$19*E3</f>
        <v>17563.392</v>
      </c>
      <c r="I3">
        <v>0</v>
      </c>
      <c r="J3">
        <f t="shared" ref="J3:J8" si="0">1/(($J$1)^I3)</f>
        <v>1</v>
      </c>
      <c r="N3" t="s">
        <v>18</v>
      </c>
      <c r="O3">
        <v>0</v>
      </c>
      <c r="P3">
        <f>$B$19+$B$20+12*2*J13+$B$10*3+12*2*J13</f>
        <v>230840</v>
      </c>
      <c r="Q3">
        <f t="shared" ref="Q3:Q8" si="1">O3*J3</f>
        <v>0</v>
      </c>
      <c r="R3">
        <f>P3*J3</f>
        <v>230840</v>
      </c>
      <c r="S3">
        <f>P3</f>
        <v>230840</v>
      </c>
      <c r="T3">
        <f>S3*J3</f>
        <v>230840</v>
      </c>
      <c r="U3">
        <f>R3</f>
        <v>230840</v>
      </c>
      <c r="V3">
        <f>U3*J3</f>
        <v>230840</v>
      </c>
      <c r="W3">
        <f>R3</f>
        <v>230840</v>
      </c>
      <c r="X3">
        <f>W3*J3</f>
        <v>230840</v>
      </c>
      <c r="Z3">
        <v>0</v>
      </c>
      <c r="AA3">
        <f>Q3</f>
        <v>0</v>
      </c>
      <c r="AB3">
        <f>R3</f>
        <v>230840</v>
      </c>
      <c r="AC3">
        <f>T3</f>
        <v>230840</v>
      </c>
      <c r="AD3">
        <f>V3</f>
        <v>230840</v>
      </c>
      <c r="AE3">
        <f>X3</f>
        <v>230840</v>
      </c>
    </row>
    <row r="4" spans="1:31" x14ac:dyDescent="0.35">
      <c r="A4" t="s">
        <v>19</v>
      </c>
      <c r="B4" s="2">
        <v>2.8000000000000001E-2</v>
      </c>
      <c r="D4">
        <v>2</v>
      </c>
      <c r="E4">
        <v>0.12</v>
      </c>
      <c r="F4">
        <f t="shared" ref="F4:F6" si="2">$E$19*E4</f>
        <v>35126.784</v>
      </c>
      <c r="I4">
        <v>1</v>
      </c>
      <c r="J4">
        <f t="shared" si="0"/>
        <v>0.90909090909090906</v>
      </c>
      <c r="N4" t="s">
        <v>20</v>
      </c>
      <c r="O4">
        <f>2*$B$7*$B$6*(J14+K14)+$B$23+$B$46</f>
        <v>364798.21345651196</v>
      </c>
      <c r="P4">
        <f>$B$10*3*$B$11+(J14+K14)*$B$6*$B$7+2*12*J14+$F$3+$G$9+$E$46</f>
        <v>209373.3747871872</v>
      </c>
      <c r="Q4">
        <f>O4*J4</f>
        <v>331634.73950591998</v>
      </c>
      <c r="R4">
        <f t="shared" ref="R4:R8" si="3">P4*J4</f>
        <v>190339.43162471562</v>
      </c>
      <c r="S4">
        <f>$B$10*3*$B$11+(J14+K14)*$B$6*$B$7+2*12*J14+$F$4+$G$9+$E$46</f>
        <v>226936.7667871872</v>
      </c>
      <c r="T4">
        <f t="shared" ref="T4:T8" si="4">S4*J4</f>
        <v>206306.15162471563</v>
      </c>
      <c r="U4">
        <f>$B$10*3*$B$11+(J14+K14)*$B$6*$B$7+2*12*J14+$F$5+$G$9+$E$46</f>
        <v>244500.15878718722</v>
      </c>
      <c r="V4">
        <f t="shared" ref="V4:V8" si="5">U4*J4</f>
        <v>222272.87162471566</v>
      </c>
      <c r="W4">
        <f>$B$10*3*$B$11+(J14+K14)*$B$6*$B$7+2*12*J14+$F$6+$G$9+$E$46</f>
        <v>262063.55078718721</v>
      </c>
      <c r="X4">
        <f t="shared" ref="X4:X8" si="6">W4*J4</f>
        <v>238239.59162471563</v>
      </c>
      <c r="Z4">
        <v>1</v>
      </c>
      <c r="AA4">
        <f t="shared" ref="AA4:AB8" si="7">AA3+Q4</f>
        <v>331634.73950591998</v>
      </c>
      <c r="AB4">
        <f t="shared" si="7"/>
        <v>421179.43162471562</v>
      </c>
      <c r="AC4">
        <f>AC3+T4</f>
        <v>437146.15162471565</v>
      </c>
      <c r="AD4">
        <f>AD3+V4</f>
        <v>453112.87162471563</v>
      </c>
      <c r="AE4">
        <f>AE3+X4</f>
        <v>469079.5916247156</v>
      </c>
    </row>
    <row r="5" spans="1:31" x14ac:dyDescent="0.35">
      <c r="A5" t="s">
        <v>19</v>
      </c>
      <c r="B5">
        <v>2.8</v>
      </c>
      <c r="C5" t="s">
        <v>21</v>
      </c>
      <c r="D5">
        <v>3</v>
      </c>
      <c r="E5">
        <v>0.18</v>
      </c>
      <c r="F5">
        <f t="shared" si="2"/>
        <v>52690.175999999999</v>
      </c>
      <c r="I5">
        <v>2</v>
      </c>
      <c r="J5">
        <f t="shared" si="0"/>
        <v>0.82644628099173545</v>
      </c>
      <c r="N5" t="s">
        <v>22</v>
      </c>
      <c r="O5">
        <f>2*$B$7*$B$6*(J15+K15)+$B$23+$B$46</f>
        <v>375613.67097091198</v>
      </c>
      <c r="P5">
        <f t="shared" ref="P5:P8" si="8">$B$10*3*$B$11+(J15+K15)*$B$6*$B$7+2*12*J15+$F$3+$G$9+$E$46</f>
        <v>214799.48442438719</v>
      </c>
      <c r="Q5">
        <f t="shared" si="1"/>
        <v>310424.52146356361</v>
      </c>
      <c r="R5">
        <f t="shared" si="3"/>
        <v>177520.235061477</v>
      </c>
      <c r="S5">
        <f t="shared" ref="S5:S8" si="9">$B$10*3*$B$11+(J15+K15)*$B$6*$B$7+2*12*J15+$F$4+$G$9+$E$46</f>
        <v>232362.87642438721</v>
      </c>
      <c r="T5">
        <f t="shared" si="4"/>
        <v>192035.43506147701</v>
      </c>
      <c r="U5">
        <f t="shared" ref="U5:U8" si="10">$B$10*3*$B$11+(J15+K15)*$B$6*$B$7+2*12*J15+$F$5+$G$9+$E$46</f>
        <v>249926.26842438721</v>
      </c>
      <c r="V5">
        <f t="shared" si="5"/>
        <v>206550.63506147702</v>
      </c>
      <c r="W5">
        <f t="shared" ref="W5:W8" si="11">$B$10*3*$B$11+(J15+K15)*$B$6*$B$7+2*12*J15+$F$6+$G$9+$E$46</f>
        <v>267489.6604243872</v>
      </c>
      <c r="X5">
        <f t="shared" si="6"/>
        <v>221065.835061477</v>
      </c>
      <c r="Z5">
        <v>2</v>
      </c>
      <c r="AA5">
        <f t="shared" si="7"/>
        <v>642059.26096948353</v>
      </c>
      <c r="AB5" s="3">
        <f t="shared" si="7"/>
        <v>598699.66668619262</v>
      </c>
      <c r="AC5" s="3">
        <f t="shared" ref="AC5:AC8" si="12">AC4+T5</f>
        <v>629181.58668619266</v>
      </c>
      <c r="AD5">
        <f t="shared" ref="AD5:AD8" si="13">AD4+V5</f>
        <v>659663.5066861927</v>
      </c>
      <c r="AE5">
        <f t="shared" ref="AE5:AE8" si="14">AE4+X5</f>
        <v>690145.42668619263</v>
      </c>
    </row>
    <row r="6" spans="1:31" x14ac:dyDescent="0.35">
      <c r="A6" t="s">
        <v>23</v>
      </c>
      <c r="B6">
        <v>363</v>
      </c>
      <c r="D6">
        <v>4</v>
      </c>
      <c r="E6">
        <v>0.24</v>
      </c>
      <c r="F6">
        <f t="shared" si="2"/>
        <v>70253.567999999999</v>
      </c>
      <c r="I6">
        <v>3</v>
      </c>
      <c r="J6">
        <f t="shared" si="0"/>
        <v>0.75131480090157754</v>
      </c>
      <c r="N6" t="s">
        <v>24</v>
      </c>
      <c r="O6">
        <f>2*$B$7*$B$6*(J16+K16)+$B$23+$B$46</f>
        <v>386877.92534101923</v>
      </c>
      <c r="P6">
        <f t="shared" si="8"/>
        <v>220450.76448640079</v>
      </c>
      <c r="Q6">
        <f t="shared" si="1"/>
        <v>290667.11145080323</v>
      </c>
      <c r="R6">
        <f t="shared" si="3"/>
        <v>165627.92222870077</v>
      </c>
      <c r="S6">
        <f t="shared" si="9"/>
        <v>238014.15648640081</v>
      </c>
      <c r="T6">
        <f t="shared" si="4"/>
        <v>178823.55859233715</v>
      </c>
      <c r="U6">
        <f t="shared" si="10"/>
        <v>255577.5484864008</v>
      </c>
      <c r="V6">
        <f t="shared" si="5"/>
        <v>192019.19495597351</v>
      </c>
      <c r="W6">
        <f t="shared" si="11"/>
        <v>273140.9404864008</v>
      </c>
      <c r="X6">
        <f t="shared" si="6"/>
        <v>205214.83131960986</v>
      </c>
      <c r="Z6">
        <v>3</v>
      </c>
      <c r="AA6">
        <f t="shared" si="7"/>
        <v>932726.37242028676</v>
      </c>
      <c r="AB6">
        <f t="shared" si="7"/>
        <v>764327.58891489333</v>
      </c>
      <c r="AC6">
        <f t="shared" si="12"/>
        <v>808005.14527852985</v>
      </c>
      <c r="AD6" s="3">
        <f t="shared" si="13"/>
        <v>851682.70164216624</v>
      </c>
      <c r="AE6" s="3">
        <f t="shared" si="14"/>
        <v>895360.25800580252</v>
      </c>
    </row>
    <row r="7" spans="1:31" x14ac:dyDescent="0.35">
      <c r="A7" t="s">
        <v>25</v>
      </c>
      <c r="B7">
        <v>17</v>
      </c>
      <c r="I7">
        <v>4</v>
      </c>
      <c r="J7">
        <f t="shared" si="0"/>
        <v>0.68301345536507052</v>
      </c>
      <c r="N7" t="s">
        <v>26</v>
      </c>
      <c r="O7">
        <f>2*$B$7*$B$6*(J17+K17)+$B$23+$B$46</f>
        <v>398609.6188450972</v>
      </c>
      <c r="P7">
        <f t="shared" si="8"/>
        <v>226336.56853623211</v>
      </c>
      <c r="Q7">
        <f t="shared" si="1"/>
        <v>272255.73310914356</v>
      </c>
      <c r="R7">
        <f t="shared" si="3"/>
        <v>154590.921751405</v>
      </c>
      <c r="S7">
        <f t="shared" si="9"/>
        <v>243899.9605362321</v>
      </c>
      <c r="T7">
        <f t="shared" si="4"/>
        <v>166586.95480925622</v>
      </c>
      <c r="U7">
        <f t="shared" si="10"/>
        <v>261463.35253623212</v>
      </c>
      <c r="V7">
        <f t="shared" si="5"/>
        <v>178582.98786710747</v>
      </c>
      <c r="W7">
        <f t="shared" si="11"/>
        <v>279026.74453623209</v>
      </c>
      <c r="X7">
        <f t="shared" si="6"/>
        <v>190579.02092495869</v>
      </c>
      <c r="Z7">
        <v>4</v>
      </c>
      <c r="AA7">
        <f t="shared" si="7"/>
        <v>1204982.1055294303</v>
      </c>
      <c r="AB7">
        <f t="shared" si="7"/>
        <v>918918.51066629833</v>
      </c>
      <c r="AC7">
        <f t="shared" si="12"/>
        <v>974592.10008778609</v>
      </c>
      <c r="AD7">
        <f t="shared" si="13"/>
        <v>1030265.6895092737</v>
      </c>
      <c r="AE7">
        <f t="shared" si="14"/>
        <v>1085939.2789307612</v>
      </c>
    </row>
    <row r="8" spans="1:31" x14ac:dyDescent="0.35">
      <c r="A8" t="s">
        <v>27</v>
      </c>
      <c r="B8">
        <v>2</v>
      </c>
      <c r="D8" t="s">
        <v>28</v>
      </c>
      <c r="E8" t="s">
        <v>29</v>
      </c>
      <c r="F8" t="s">
        <v>30</v>
      </c>
      <c r="G8" t="s">
        <v>31</v>
      </c>
      <c r="I8">
        <v>5</v>
      </c>
      <c r="J8">
        <f t="shared" si="0"/>
        <v>0.62092132305915493</v>
      </c>
      <c r="N8" t="s">
        <v>32</v>
      </c>
      <c r="O8">
        <f t="shared" ref="O8" si="15">2*$B$7*$B$6*(J18+K18)+$B$23+$B$46</f>
        <v>410828.16886388895</v>
      </c>
      <c r="P8">
        <f t="shared" si="8"/>
        <v>232466.63904992759</v>
      </c>
      <c r="Q8">
        <f t="shared" si="1"/>
        <v>255091.97016093583</v>
      </c>
      <c r="R8">
        <f t="shared" si="3"/>
        <v>144343.49308599604</v>
      </c>
      <c r="S8">
        <f t="shared" si="9"/>
        <v>250030.03104992758</v>
      </c>
      <c r="T8">
        <f t="shared" si="4"/>
        <v>155248.97768404262</v>
      </c>
      <c r="U8">
        <f t="shared" si="10"/>
        <v>267593.42304992757</v>
      </c>
      <c r="V8">
        <f t="shared" si="5"/>
        <v>166154.4622820892</v>
      </c>
      <c r="W8">
        <f t="shared" si="11"/>
        <v>285156.81504992757</v>
      </c>
      <c r="X8">
        <f t="shared" si="6"/>
        <v>177059.94688013577</v>
      </c>
      <c r="Z8">
        <v>5</v>
      </c>
      <c r="AA8">
        <f t="shared" si="7"/>
        <v>1460074.0756903661</v>
      </c>
      <c r="AB8">
        <f t="shared" si="7"/>
        <v>1063262.0037522945</v>
      </c>
      <c r="AC8">
        <f t="shared" si="12"/>
        <v>1129841.0777718287</v>
      </c>
      <c r="AD8">
        <f t="shared" si="13"/>
        <v>1196420.151791363</v>
      </c>
      <c r="AE8">
        <f t="shared" si="14"/>
        <v>1262999.2258108968</v>
      </c>
    </row>
    <row r="9" spans="1:31" x14ac:dyDescent="0.35">
      <c r="D9">
        <v>1</v>
      </c>
      <c r="E9">
        <v>0.01</v>
      </c>
      <c r="F9">
        <v>0.78</v>
      </c>
      <c r="G9">
        <f>$E$23*(1-F9)*E9*$E$27*52</f>
        <v>14970.631103999996</v>
      </c>
    </row>
    <row r="10" spans="1:31" x14ac:dyDescent="0.35">
      <c r="A10" t="s">
        <v>33</v>
      </c>
      <c r="B10">
        <v>35000</v>
      </c>
      <c r="D10">
        <v>2</v>
      </c>
      <c r="E10">
        <v>0.02</v>
      </c>
      <c r="F10">
        <v>0.78</v>
      </c>
      <c r="G10">
        <f>$E$23*(1-F10)*E10*$E$27*52</f>
        <v>29941.262207999993</v>
      </c>
    </row>
    <row r="11" spans="1:31" x14ac:dyDescent="0.35">
      <c r="A11" t="s">
        <v>34</v>
      </c>
      <c r="B11" s="2">
        <v>0.2</v>
      </c>
      <c r="D11">
        <v>3</v>
      </c>
      <c r="E11">
        <v>0.03</v>
      </c>
      <c r="F11">
        <v>0.78</v>
      </c>
      <c r="G11">
        <f>$E$23*(1-F11)*E11*$E$27*52</f>
        <v>44911.893311999986</v>
      </c>
      <c r="I11" t="s">
        <v>35</v>
      </c>
      <c r="J11">
        <v>1.042</v>
      </c>
      <c r="K11">
        <v>1.038</v>
      </c>
    </row>
    <row r="12" spans="1:31" x14ac:dyDescent="0.35">
      <c r="A12" t="s">
        <v>36</v>
      </c>
      <c r="B12" s="2">
        <v>0.2</v>
      </c>
      <c r="D12">
        <v>4</v>
      </c>
      <c r="E12">
        <v>0.04</v>
      </c>
      <c r="F12">
        <v>0.78</v>
      </c>
      <c r="G12">
        <f>$E$23*(1-F12)*E12*$E$27*52</f>
        <v>59882.524415999986</v>
      </c>
      <c r="I12" t="s">
        <v>16</v>
      </c>
      <c r="J12" t="s">
        <v>37</v>
      </c>
      <c r="K12" t="s">
        <v>38</v>
      </c>
      <c r="L12" t="s">
        <v>39</v>
      </c>
    </row>
    <row r="13" spans="1:31" x14ac:dyDescent="0.35">
      <c r="A13" t="s">
        <v>40</v>
      </c>
      <c r="B13" s="2">
        <v>0.1</v>
      </c>
      <c r="I13">
        <v>0</v>
      </c>
      <c r="J13">
        <f>B3</f>
        <v>17.5</v>
      </c>
      <c r="K13">
        <f>B5</f>
        <v>2.8</v>
      </c>
      <c r="L13">
        <f>J13*12*2</f>
        <v>420</v>
      </c>
    </row>
    <row r="14" spans="1:31" x14ac:dyDescent="0.35">
      <c r="D14" t="s">
        <v>41</v>
      </c>
      <c r="E14">
        <f>B6</f>
        <v>363</v>
      </c>
      <c r="I14">
        <v>1</v>
      </c>
      <c r="J14">
        <f>J13*$J$11</f>
        <v>18.234999999999999</v>
      </c>
      <c r="K14">
        <f>K13*$K$11</f>
        <v>2.9064000000000001</v>
      </c>
      <c r="L14">
        <f t="shared" ref="L14:L18" si="16">J14*12*2</f>
        <v>437.64</v>
      </c>
    </row>
    <row r="15" spans="1:31" x14ac:dyDescent="0.35">
      <c r="A15" t="s">
        <v>42</v>
      </c>
      <c r="B15" s="2">
        <v>1.1000000000000001</v>
      </c>
      <c r="D15" t="s">
        <v>43</v>
      </c>
      <c r="E15">
        <v>128</v>
      </c>
      <c r="I15">
        <v>2</v>
      </c>
      <c r="J15">
        <f t="shared" ref="J15:J18" si="17">J14*$J$11</f>
        <v>19.000869999999999</v>
      </c>
      <c r="K15">
        <f t="shared" ref="K15:K18" si="18">K14*$K$11</f>
        <v>3.0168432000000003</v>
      </c>
      <c r="L15">
        <f t="shared" si="16"/>
        <v>456.02087999999998</v>
      </c>
    </row>
    <row r="16" spans="1:31" x14ac:dyDescent="0.35">
      <c r="B16" s="2"/>
      <c r="D16" t="s">
        <v>44</v>
      </c>
      <c r="E16">
        <v>10.5</v>
      </c>
      <c r="I16">
        <v>3</v>
      </c>
      <c r="J16">
        <f t="shared" si="17"/>
        <v>19.798906540000001</v>
      </c>
      <c r="K16">
        <f t="shared" si="18"/>
        <v>3.1314832416000002</v>
      </c>
      <c r="L16">
        <f t="shared" si="16"/>
        <v>475.17375695999999</v>
      </c>
      <c r="N16" s="1" t="s">
        <v>45</v>
      </c>
      <c r="Z16" s="1" t="s">
        <v>45</v>
      </c>
    </row>
    <row r="17" spans="1:36" x14ac:dyDescent="0.35">
      <c r="A17" t="s">
        <v>46</v>
      </c>
      <c r="B17">
        <v>950</v>
      </c>
      <c r="C17" t="s">
        <v>47</v>
      </c>
      <c r="D17" t="s">
        <v>48</v>
      </c>
      <c r="E17">
        <f>E16*E15*E14</f>
        <v>487872</v>
      </c>
      <c r="I17">
        <v>4</v>
      </c>
      <c r="J17">
        <f t="shared" si="17"/>
        <v>20.63046061468</v>
      </c>
      <c r="K17">
        <f t="shared" si="18"/>
        <v>3.2504796047808004</v>
      </c>
      <c r="L17">
        <f t="shared" si="16"/>
        <v>495.13105475231998</v>
      </c>
      <c r="O17" t="str">
        <f>AA2</f>
        <v>C0D2</v>
      </c>
      <c r="P17" t="s">
        <v>12</v>
      </c>
      <c r="Q17" t="s">
        <v>12</v>
      </c>
      <c r="R17" t="s">
        <v>13</v>
      </c>
      <c r="S17" t="s">
        <v>13</v>
      </c>
      <c r="T17" t="s">
        <v>14</v>
      </c>
      <c r="U17" t="s">
        <v>14</v>
      </c>
      <c r="V17" t="s">
        <v>15</v>
      </c>
      <c r="W17" t="s">
        <v>15</v>
      </c>
      <c r="Z17" t="s">
        <v>16</v>
      </c>
      <c r="AA17" t="s">
        <v>11</v>
      </c>
      <c r="AB17" t="s">
        <v>12</v>
      </c>
      <c r="AC17" t="s">
        <v>13</v>
      </c>
      <c r="AD17" t="s">
        <v>14</v>
      </c>
      <c r="AE17" t="s">
        <v>15</v>
      </c>
    </row>
    <row r="18" spans="1:36" x14ac:dyDescent="0.35">
      <c r="A18" t="s">
        <v>49</v>
      </c>
      <c r="B18">
        <v>6</v>
      </c>
      <c r="D18" t="s">
        <v>50</v>
      </c>
      <c r="E18">
        <v>0.6</v>
      </c>
      <c r="I18">
        <v>5</v>
      </c>
      <c r="J18">
        <f t="shared" si="17"/>
        <v>21.496939960496562</v>
      </c>
      <c r="K18">
        <f t="shared" si="18"/>
        <v>3.3739978297624709</v>
      </c>
      <c r="L18">
        <f t="shared" si="16"/>
        <v>515.92655905191748</v>
      </c>
      <c r="N18" t="s">
        <v>18</v>
      </c>
      <c r="O18">
        <f t="shared" ref="O18:O23" si="19">AA3</f>
        <v>0</v>
      </c>
      <c r="P18">
        <f>$B$19+$B$20+12*2*$J$13</f>
        <v>125420</v>
      </c>
      <c r="Q18">
        <f>P18*J3</f>
        <v>125420</v>
      </c>
      <c r="R18">
        <f>P18</f>
        <v>125420</v>
      </c>
      <c r="S18">
        <f>R18*J3</f>
        <v>125420</v>
      </c>
      <c r="T18">
        <f>P18</f>
        <v>125420</v>
      </c>
      <c r="U18">
        <f>T18*J3</f>
        <v>125420</v>
      </c>
      <c r="V18">
        <f>P18</f>
        <v>125420</v>
      </c>
      <c r="W18">
        <f>V18*J3</f>
        <v>125420</v>
      </c>
      <c r="Z18">
        <v>0</v>
      </c>
      <c r="AA18">
        <f>O18</f>
        <v>0</v>
      </c>
      <c r="AB18">
        <f>Q18</f>
        <v>125420</v>
      </c>
      <c r="AC18">
        <f>S18</f>
        <v>125420</v>
      </c>
      <c r="AD18">
        <f>U18</f>
        <v>125420</v>
      </c>
      <c r="AE18">
        <f>W18</f>
        <v>125420</v>
      </c>
    </row>
    <row r="19" spans="1:36" x14ac:dyDescent="0.35">
      <c r="A19" t="s">
        <v>51</v>
      </c>
      <c r="B19">
        <v>75000</v>
      </c>
      <c r="D19" t="s">
        <v>52</v>
      </c>
      <c r="E19">
        <f>E17*E18</f>
        <v>292723.20000000001</v>
      </c>
      <c r="N19" t="s">
        <v>20</v>
      </c>
      <c r="O19">
        <f t="shared" si="19"/>
        <v>331634.73950591998</v>
      </c>
      <c r="P19">
        <f>$B$17*3*12+$B$10*3*$B$11+(J14+K14)*$B$6*$B$7+2*12*J14+$F$3+$G$9+$E$46</f>
        <v>243573.3747871872</v>
      </c>
      <c r="Q19">
        <f t="shared" ref="Q19:Q23" si="20">P19*J4</f>
        <v>221430.34071562471</v>
      </c>
      <c r="R19">
        <f>$B$17*3*12+$B$10*3*$B$11+(J14+K14)*$B$6*$B$7+2*12*J14+$F$4+$G$9+$E$46</f>
        <v>261136.7667871872</v>
      </c>
      <c r="S19">
        <f t="shared" ref="S19:S23" si="21">R19*J4</f>
        <v>237397.06071562471</v>
      </c>
      <c r="T19">
        <f>$B$17*3*12+$B$10*3*$B$11+(J14+K14)*$B$6*$B$7+2*12*J14+$F$5+$G$9+$E$46</f>
        <v>278700.15878718719</v>
      </c>
      <c r="U19">
        <f t="shared" ref="U19:U23" si="22">T19*J4</f>
        <v>253363.78071562471</v>
      </c>
      <c r="V19">
        <f>$B$17*3*12+$B$10*3*$B$11+(J14+K14)*$B$6*$B$7+2*12*J14+$F$6+$G$9+$E$46</f>
        <v>296263.55078718718</v>
      </c>
      <c r="W19">
        <f t="shared" ref="W19:W23" si="23">V19*J4</f>
        <v>269330.50071562472</v>
      </c>
      <c r="Z19">
        <v>1</v>
      </c>
      <c r="AA19">
        <f t="shared" ref="AA19:AA23" si="24">O19</f>
        <v>331634.73950591998</v>
      </c>
      <c r="AB19">
        <f>AB18+Q19</f>
        <v>346850.34071562474</v>
      </c>
      <c r="AC19">
        <f>AC18+S19</f>
        <v>362817.06071562471</v>
      </c>
      <c r="AD19">
        <f>AD18+U19</f>
        <v>378783.78071562469</v>
      </c>
      <c r="AE19">
        <f>AE18+W19</f>
        <v>394750.50071562472</v>
      </c>
    </row>
    <row r="20" spans="1:36" x14ac:dyDescent="0.35">
      <c r="A20" t="s">
        <v>53</v>
      </c>
      <c r="B20">
        <v>50000</v>
      </c>
      <c r="D20" t="s">
        <v>54</v>
      </c>
      <c r="E20">
        <v>44150.400000000001</v>
      </c>
      <c r="N20" t="s">
        <v>22</v>
      </c>
      <c r="O20">
        <f t="shared" si="19"/>
        <v>642059.26096948353</v>
      </c>
      <c r="P20">
        <f t="shared" ref="P20:P23" si="25">$B$17*3*12+$B$10*3*$B$11+(J15+K15)*$B$6*$B$7+2*12*J15+$F$3+$G$9+$E$46</f>
        <v>248999.48442438719</v>
      </c>
      <c r="Q20">
        <f t="shared" si="20"/>
        <v>205784.69787139434</v>
      </c>
      <c r="R20">
        <f t="shared" ref="R20:R23" si="26">$B$17*3*12+$B$10*3*$B$11+(J15+K15)*$B$6*$B$7+2*12*J15+$F$4+$G$9+$E$46</f>
        <v>266562.87642438721</v>
      </c>
      <c r="S20">
        <f t="shared" si="21"/>
        <v>220299.89787139438</v>
      </c>
      <c r="T20">
        <f t="shared" ref="T20:T23" si="27">$B$17*3*12+$B$10*3*$B$11+(J15+K15)*$B$6*$B$7+2*12*J15+$F$5+$G$9+$E$46</f>
        <v>284126.26842438721</v>
      </c>
      <c r="U20">
        <f t="shared" si="22"/>
        <v>234815.09787139436</v>
      </c>
      <c r="V20">
        <f t="shared" ref="V20:V23" si="28">$B$17*3*12+$B$10*3*$B$11+(J15+K15)*$B$6*$B$7+2*12*J15+$F$6+$G$9+$E$46</f>
        <v>301689.66042438714</v>
      </c>
      <c r="W20">
        <f t="shared" si="23"/>
        <v>249330.29787139432</v>
      </c>
      <c r="Z20">
        <v>2</v>
      </c>
      <c r="AA20">
        <f t="shared" si="24"/>
        <v>642059.26096948353</v>
      </c>
      <c r="AB20" s="3">
        <f t="shared" ref="AB20:AB23" si="29">AB19+Q20</f>
        <v>552635.03858701908</v>
      </c>
      <c r="AC20" s="3">
        <f t="shared" ref="AC20:AC23" si="30">AC19+S20</f>
        <v>583116.95858701912</v>
      </c>
      <c r="AD20" s="3">
        <f t="shared" ref="AD20:AD23" si="31">AD19+U20</f>
        <v>613598.87858701905</v>
      </c>
      <c r="AE20">
        <f>AE19+W20</f>
        <v>644080.79858701909</v>
      </c>
    </row>
    <row r="21" spans="1:36" x14ac:dyDescent="0.35">
      <c r="A21" t="s">
        <v>55</v>
      </c>
      <c r="B21">
        <f>3*30*17.5</f>
        <v>1575</v>
      </c>
      <c r="N21" t="s">
        <v>24</v>
      </c>
      <c r="O21">
        <f t="shared" si="19"/>
        <v>932726.37242028676</v>
      </c>
      <c r="P21">
        <f t="shared" si="25"/>
        <v>254650.76448640079</v>
      </c>
      <c r="Q21">
        <f t="shared" si="20"/>
        <v>191322.88841953472</v>
      </c>
      <c r="R21">
        <f t="shared" si="26"/>
        <v>272214.15648640081</v>
      </c>
      <c r="S21">
        <f t="shared" si="21"/>
        <v>204518.5247831711</v>
      </c>
      <c r="T21">
        <f t="shared" si="27"/>
        <v>289777.54848640074</v>
      </c>
      <c r="U21">
        <f t="shared" si="22"/>
        <v>217714.1611468074</v>
      </c>
      <c r="V21">
        <f t="shared" si="28"/>
        <v>307340.94048640074</v>
      </c>
      <c r="W21">
        <f t="shared" si="23"/>
        <v>230909.79751044375</v>
      </c>
      <c r="Z21">
        <v>3</v>
      </c>
      <c r="AA21">
        <f t="shared" si="24"/>
        <v>932726.37242028676</v>
      </c>
      <c r="AB21">
        <f t="shared" si="29"/>
        <v>743957.92700655386</v>
      </c>
      <c r="AC21">
        <f t="shared" si="30"/>
        <v>787635.48337019025</v>
      </c>
      <c r="AD21">
        <f t="shared" si="31"/>
        <v>831313.03973382642</v>
      </c>
      <c r="AE21" s="3">
        <f t="shared" ref="AE21:AE23" si="32">AE20+W21</f>
        <v>874990.59609746281</v>
      </c>
    </row>
    <row r="22" spans="1:36" x14ac:dyDescent="0.35">
      <c r="D22" s="1" t="s">
        <v>56</v>
      </c>
      <c r="N22" t="s">
        <v>26</v>
      </c>
      <c r="O22">
        <f t="shared" si="19"/>
        <v>1204982.1055294303</v>
      </c>
      <c r="P22">
        <f t="shared" si="25"/>
        <v>260536.56853623211</v>
      </c>
      <c r="Q22">
        <f t="shared" si="20"/>
        <v>177949.9819248904</v>
      </c>
      <c r="R22">
        <f t="shared" si="26"/>
        <v>278099.9605362321</v>
      </c>
      <c r="S22">
        <f t="shared" si="21"/>
        <v>189946.01498274165</v>
      </c>
      <c r="T22">
        <f t="shared" si="27"/>
        <v>295663.35253623209</v>
      </c>
      <c r="U22">
        <f t="shared" si="22"/>
        <v>201942.04804059287</v>
      </c>
      <c r="V22">
        <f t="shared" si="28"/>
        <v>313226.74453623209</v>
      </c>
      <c r="W22">
        <f t="shared" si="23"/>
        <v>213938.08109844409</v>
      </c>
      <c r="Z22">
        <v>4</v>
      </c>
      <c r="AA22">
        <f t="shared" si="24"/>
        <v>1204982.1055294303</v>
      </c>
      <c r="AB22">
        <f t="shared" si="29"/>
        <v>921907.90893144428</v>
      </c>
      <c r="AC22">
        <f t="shared" si="30"/>
        <v>977581.49835293193</v>
      </c>
      <c r="AD22">
        <f t="shared" si="31"/>
        <v>1033255.0877744192</v>
      </c>
      <c r="AE22">
        <f t="shared" si="32"/>
        <v>1088928.6771959069</v>
      </c>
    </row>
    <row r="23" spans="1:36" x14ac:dyDescent="0.35">
      <c r="A23" t="s">
        <v>57</v>
      </c>
      <c r="B23">
        <f>E23*0.01*E25*E26*52</f>
        <v>68048.323199999984</v>
      </c>
      <c r="D23" t="s">
        <v>58</v>
      </c>
      <c r="E23">
        <v>18135</v>
      </c>
      <c r="F23" t="s">
        <v>59</v>
      </c>
      <c r="N23" t="s">
        <v>32</v>
      </c>
      <c r="O23">
        <f t="shared" si="19"/>
        <v>1460074.0756903661</v>
      </c>
      <c r="P23">
        <f t="shared" si="25"/>
        <v>266666.63904992759</v>
      </c>
      <c r="Q23">
        <f t="shared" si="20"/>
        <v>165579.00233461914</v>
      </c>
      <c r="R23">
        <f t="shared" si="26"/>
        <v>284230.03104992758</v>
      </c>
      <c r="S23">
        <f t="shared" si="21"/>
        <v>176484.48693266572</v>
      </c>
      <c r="T23">
        <f t="shared" si="27"/>
        <v>301793.42304992757</v>
      </c>
      <c r="U23">
        <f t="shared" si="22"/>
        <v>187389.9715307123</v>
      </c>
      <c r="V23">
        <f t="shared" si="28"/>
        <v>319356.81504992757</v>
      </c>
      <c r="W23">
        <f t="shared" si="23"/>
        <v>198295.45612875887</v>
      </c>
      <c r="Z23">
        <v>5</v>
      </c>
      <c r="AA23">
        <f t="shared" si="24"/>
        <v>1460074.0756903661</v>
      </c>
      <c r="AB23">
        <f t="shared" si="29"/>
        <v>1087486.9112660633</v>
      </c>
      <c r="AC23">
        <f t="shared" si="30"/>
        <v>1154065.9852855976</v>
      </c>
      <c r="AD23">
        <f t="shared" si="31"/>
        <v>1220645.0593051314</v>
      </c>
      <c r="AE23">
        <f t="shared" si="32"/>
        <v>1287224.1333246657</v>
      </c>
    </row>
    <row r="24" spans="1:36" x14ac:dyDescent="0.35">
      <c r="D24" t="s">
        <v>60</v>
      </c>
      <c r="E24">
        <v>17.40959999999999</v>
      </c>
    </row>
    <row r="25" spans="1:36" x14ac:dyDescent="0.35">
      <c r="D25" t="s">
        <v>61</v>
      </c>
      <c r="E25">
        <v>164</v>
      </c>
      <c r="F25" t="s">
        <v>62</v>
      </c>
    </row>
    <row r="26" spans="1:36" x14ac:dyDescent="0.35">
      <c r="D26" t="s">
        <v>63</v>
      </c>
      <c r="E26">
        <v>4.3999999999999997E-2</v>
      </c>
    </row>
    <row r="27" spans="1:36" x14ac:dyDescent="0.35">
      <c r="D27" t="s">
        <v>64</v>
      </c>
      <c r="E27">
        <f>E25*E26</f>
        <v>7.2159999999999993</v>
      </c>
    </row>
    <row r="28" spans="1:36" x14ac:dyDescent="0.35">
      <c r="N28" s="1" t="s">
        <v>65</v>
      </c>
      <c r="AB28" s="1" t="s">
        <v>99</v>
      </c>
    </row>
    <row r="29" spans="1:36" x14ac:dyDescent="0.35">
      <c r="N29" t="s">
        <v>16</v>
      </c>
      <c r="O29" t="s">
        <v>66</v>
      </c>
      <c r="P29" t="s">
        <v>67</v>
      </c>
      <c r="Q29" t="s">
        <v>67</v>
      </c>
      <c r="R29" t="s">
        <v>68</v>
      </c>
      <c r="S29" t="s">
        <v>69</v>
      </c>
      <c r="T29" t="s">
        <v>69</v>
      </c>
      <c r="U29" t="s">
        <v>70</v>
      </c>
      <c r="V29" t="s">
        <v>71</v>
      </c>
      <c r="W29" t="s">
        <v>71</v>
      </c>
      <c r="X29" t="s">
        <v>72</v>
      </c>
      <c r="Y29" t="s">
        <v>73</v>
      </c>
      <c r="Z29" t="s">
        <v>73</v>
      </c>
      <c r="AB29" t="s">
        <v>16</v>
      </c>
      <c r="AC29" t="s">
        <v>66</v>
      </c>
      <c r="AD29" t="s">
        <v>67</v>
      </c>
      <c r="AE29" t="s">
        <v>68</v>
      </c>
      <c r="AF29" t="s">
        <v>69</v>
      </c>
      <c r="AG29" t="s">
        <v>70</v>
      </c>
      <c r="AH29" t="s">
        <v>71</v>
      </c>
      <c r="AI29" t="s">
        <v>72</v>
      </c>
      <c r="AJ29" t="s">
        <v>73</v>
      </c>
    </row>
    <row r="30" spans="1:36" x14ac:dyDescent="0.35">
      <c r="N30" t="s">
        <v>18</v>
      </c>
      <c r="O30">
        <f>O3</f>
        <v>0</v>
      </c>
      <c r="P30">
        <f>P3</f>
        <v>230840</v>
      </c>
      <c r="Q30">
        <f>P30*J3</f>
        <v>230840</v>
      </c>
      <c r="R30">
        <v>0</v>
      </c>
      <c r="S30">
        <f>Q30</f>
        <v>230840</v>
      </c>
      <c r="T30">
        <f>S30*J3</f>
        <v>230840</v>
      </c>
      <c r="U30">
        <v>0</v>
      </c>
      <c r="V30">
        <f>S30</f>
        <v>230840</v>
      </c>
      <c r="W30">
        <f>V30*J3</f>
        <v>230840</v>
      </c>
      <c r="X30">
        <v>0</v>
      </c>
      <c r="Y30">
        <f>V30</f>
        <v>230840</v>
      </c>
      <c r="Z30">
        <f>Y30*J3</f>
        <v>230840</v>
      </c>
      <c r="AB30">
        <v>0</v>
      </c>
      <c r="AC30">
        <f t="shared" ref="AC30:AC35" si="33">O30</f>
        <v>0</v>
      </c>
      <c r="AD30">
        <f>Q30</f>
        <v>230840</v>
      </c>
      <c r="AE30">
        <f>R30</f>
        <v>0</v>
      </c>
      <c r="AF30">
        <f>T30</f>
        <v>230840</v>
      </c>
      <c r="AG30">
        <f>U30</f>
        <v>0</v>
      </c>
      <c r="AH30">
        <f>W30</f>
        <v>230840</v>
      </c>
      <c r="AI30">
        <f>X30</f>
        <v>0</v>
      </c>
      <c r="AJ30">
        <f>Z30</f>
        <v>230840</v>
      </c>
    </row>
    <row r="31" spans="1:36" x14ac:dyDescent="0.35">
      <c r="A31" s="1" t="s">
        <v>74</v>
      </c>
      <c r="D31" s="1" t="s">
        <v>75</v>
      </c>
      <c r="N31" t="s">
        <v>20</v>
      </c>
      <c r="O31">
        <f>AA4</f>
        <v>331634.73950591998</v>
      </c>
      <c r="P31">
        <f>$B$10*3*$B$11+(J14+K14)*$B$6*$B$7+2*12*J14+$F$4+$G$9+$E$46</f>
        <v>226936.7667871872</v>
      </c>
      <c r="Q31">
        <f t="shared" ref="Q31:Q35" si="34">P31*J4</f>
        <v>206306.15162471563</v>
      </c>
      <c r="R31">
        <f>O31+($G$10-$G$9)</f>
        <v>346605.37060991995</v>
      </c>
      <c r="S31">
        <f>$B$10*3*$B$11+(J14+K14)*$B$6*$B$7+2*12*J14+$F$4+$G$10+$E$46</f>
        <v>241907.3978911872</v>
      </c>
      <c r="T31">
        <f t="shared" ref="T31:T35" si="35">S31*J4</f>
        <v>219915.81626471563</v>
      </c>
      <c r="U31">
        <f>O31+($G$11-$G$9)</f>
        <v>361576.00171391998</v>
      </c>
      <c r="V31">
        <f>$B$10*3*$B$11+(J14+K14)*$B$6*$B$7+2*12*J14+$F$4+$G$11+$E$46</f>
        <v>256878.02899518717</v>
      </c>
      <c r="W31">
        <f t="shared" ref="W31:W35" si="36">V31*J4</f>
        <v>233525.4809047156</v>
      </c>
      <c r="X31">
        <f>O31+($G$12-$G$9)</f>
        <v>376546.63281791995</v>
      </c>
      <c r="Y31">
        <f>$B$10*3*$B$11+(J14+K14)*$B$6*$B$7+2*12*J14+$F$4+$G$12+$E$46</f>
        <v>271848.66009918717</v>
      </c>
      <c r="Z31">
        <f t="shared" ref="Z31:Z35" si="37">Y31*J4</f>
        <v>247135.1455447156</v>
      </c>
      <c r="AB31">
        <v>1</v>
      </c>
      <c r="AC31">
        <f t="shared" si="33"/>
        <v>331634.73950591998</v>
      </c>
      <c r="AD31">
        <f>AD30+Q31</f>
        <v>437146.15162471565</v>
      </c>
      <c r="AE31">
        <f>AE30+R31</f>
        <v>346605.37060991995</v>
      </c>
      <c r="AF31">
        <f>AF30+T31</f>
        <v>450755.81626471563</v>
      </c>
      <c r="AG31">
        <f>AG30+U31</f>
        <v>361576.00171391998</v>
      </c>
      <c r="AH31">
        <f>AH30+W31</f>
        <v>464365.4809047156</v>
      </c>
      <c r="AI31">
        <f>AI30+X31</f>
        <v>376546.63281791995</v>
      </c>
      <c r="AJ31">
        <f>AJ30+Z31</f>
        <v>477975.14554471557</v>
      </c>
    </row>
    <row r="32" spans="1:36" x14ac:dyDescent="0.35">
      <c r="A32" t="s">
        <v>76</v>
      </c>
      <c r="B32">
        <v>128</v>
      </c>
      <c r="D32" t="s">
        <v>76</v>
      </c>
      <c r="E32">
        <v>128</v>
      </c>
      <c r="N32" t="s">
        <v>22</v>
      </c>
      <c r="O32">
        <f t="shared" ref="O32:O35" si="38">AA5</f>
        <v>642059.26096948353</v>
      </c>
      <c r="P32">
        <f t="shared" ref="P32:P35" si="39">$B$10*3*$B$11+(J15+K15)*$B$6*$B$7+2*12*J15+$F$4+$G$9+$E$46</f>
        <v>232362.87642438721</v>
      </c>
      <c r="Q32">
        <f t="shared" si="34"/>
        <v>192035.43506147701</v>
      </c>
      <c r="R32">
        <f t="shared" ref="R32:R35" si="40">O32+($G$10-$G$9)</f>
        <v>657029.89207348356</v>
      </c>
      <c r="S32">
        <f t="shared" ref="S32:S35" si="41">$B$10*3*$B$11+(J15+K15)*$B$6*$B$7+2*12*J15+$F$4+$G$10+$E$46</f>
        <v>247333.50752838721</v>
      </c>
      <c r="T32">
        <f t="shared" si="35"/>
        <v>204407.85746147702</v>
      </c>
      <c r="U32">
        <f t="shared" ref="U32:U35" si="42">O32+($G$11-$G$9)</f>
        <v>672000.52317748347</v>
      </c>
      <c r="V32">
        <f>V31</f>
        <v>256878.02899518717</v>
      </c>
      <c r="W32">
        <f t="shared" si="36"/>
        <v>212295.89173155962</v>
      </c>
      <c r="X32">
        <f t="shared" ref="X32:X35" si="43">O32+($G$12-$G$9)</f>
        <v>686971.1542814835</v>
      </c>
      <c r="Y32">
        <f t="shared" ref="Y32:Y35" si="44">$B$10*3*$B$11+(J15+K15)*$B$6*$B$7+2*12*J15+$F$4+$G$12+$E$46</f>
        <v>277274.76973638718</v>
      </c>
      <c r="Z32">
        <f t="shared" si="37"/>
        <v>229152.70226147698</v>
      </c>
      <c r="AB32">
        <v>2</v>
      </c>
      <c r="AC32">
        <f t="shared" si="33"/>
        <v>642059.26096948353</v>
      </c>
      <c r="AD32" s="3">
        <f t="shared" ref="AD32:AE35" si="45">AD31+Q32</f>
        <v>629181.58668619266</v>
      </c>
      <c r="AE32">
        <f t="shared" si="45"/>
        <v>1003635.2626834034</v>
      </c>
      <c r="AF32">
        <f t="shared" ref="AF32:AG35" si="46">AF31+T32</f>
        <v>655163.67372619268</v>
      </c>
      <c r="AG32">
        <f t="shared" si="46"/>
        <v>1033576.5248914035</v>
      </c>
      <c r="AH32">
        <f t="shared" ref="AH32:AI35" si="47">AH31+W32</f>
        <v>676661.37263627525</v>
      </c>
      <c r="AI32">
        <f t="shared" si="47"/>
        <v>1063517.7870994033</v>
      </c>
      <c r="AJ32">
        <f t="shared" ref="AJ32:AJ35" si="48">AJ31+Z32</f>
        <v>707127.84780619259</v>
      </c>
    </row>
    <row r="33" spans="1:36" x14ac:dyDescent="0.35">
      <c r="A33" t="s">
        <v>77</v>
      </c>
      <c r="B33">
        <f>B32*B6</f>
        <v>46464</v>
      </c>
      <c r="D33" t="s">
        <v>77</v>
      </c>
      <c r="E33">
        <f>E32*B6</f>
        <v>46464</v>
      </c>
      <c r="N33" s="1" t="s">
        <v>24</v>
      </c>
      <c r="O33">
        <f t="shared" si="38"/>
        <v>932726.37242028676</v>
      </c>
      <c r="P33">
        <f t="shared" si="39"/>
        <v>238014.15648640081</v>
      </c>
      <c r="Q33">
        <f t="shared" si="34"/>
        <v>178823.55859233715</v>
      </c>
      <c r="R33">
        <f t="shared" si="40"/>
        <v>947697.00352428679</v>
      </c>
      <c r="S33">
        <f t="shared" si="41"/>
        <v>252984.78759040081</v>
      </c>
      <c r="T33">
        <f t="shared" si="35"/>
        <v>190071.21531960988</v>
      </c>
      <c r="U33">
        <f t="shared" si="42"/>
        <v>962667.6346282867</v>
      </c>
      <c r="V33">
        <f t="shared" ref="V33:V35" si="49">V32</f>
        <v>256878.02899518717</v>
      </c>
      <c r="W33">
        <f t="shared" si="36"/>
        <v>192996.26521050872</v>
      </c>
      <c r="X33">
        <f t="shared" si="43"/>
        <v>977638.26573228673</v>
      </c>
      <c r="Y33">
        <f t="shared" si="44"/>
        <v>282926.04979840078</v>
      </c>
      <c r="Z33">
        <f t="shared" si="37"/>
        <v>212566.5287741553</v>
      </c>
      <c r="AB33" s="1">
        <v>3</v>
      </c>
      <c r="AC33">
        <f t="shared" si="33"/>
        <v>932726.37242028676</v>
      </c>
      <c r="AD33">
        <f t="shared" si="45"/>
        <v>808005.14527852985</v>
      </c>
      <c r="AE33">
        <f t="shared" si="45"/>
        <v>1951332.2662076904</v>
      </c>
      <c r="AF33" s="3">
        <f t="shared" si="46"/>
        <v>845234.88904580253</v>
      </c>
      <c r="AG33">
        <f t="shared" si="46"/>
        <v>1996244.1595196901</v>
      </c>
      <c r="AH33" s="3">
        <f t="shared" si="47"/>
        <v>869657.63784678397</v>
      </c>
      <c r="AI33">
        <f t="shared" si="47"/>
        <v>2041156.0528316901</v>
      </c>
      <c r="AJ33" s="3">
        <f t="shared" si="48"/>
        <v>919694.37658034789</v>
      </c>
    </row>
    <row r="34" spans="1:36" x14ac:dyDescent="0.35">
      <c r="A34" t="s">
        <v>78</v>
      </c>
      <c r="B34">
        <v>0.89600000000000002</v>
      </c>
      <c r="D34" t="s">
        <v>78</v>
      </c>
      <c r="E34">
        <v>0.92759999999999998</v>
      </c>
      <c r="N34" t="s">
        <v>26</v>
      </c>
      <c r="O34">
        <f t="shared" si="38"/>
        <v>1204982.1055294303</v>
      </c>
      <c r="P34">
        <f t="shared" si="39"/>
        <v>243899.9605362321</v>
      </c>
      <c r="Q34">
        <f t="shared" si="34"/>
        <v>166586.95480925622</v>
      </c>
      <c r="R34">
        <f t="shared" si="40"/>
        <v>1219952.7366334302</v>
      </c>
      <c r="S34">
        <f t="shared" si="41"/>
        <v>258870.5916402321</v>
      </c>
      <c r="T34">
        <f t="shared" si="35"/>
        <v>176812.09728859508</v>
      </c>
      <c r="U34">
        <f t="shared" si="42"/>
        <v>1234923.3677374304</v>
      </c>
      <c r="V34">
        <f t="shared" si="49"/>
        <v>256878.02899518717</v>
      </c>
      <c r="W34">
        <f t="shared" si="36"/>
        <v>175451.15019137156</v>
      </c>
      <c r="X34">
        <f t="shared" si="43"/>
        <v>1249893.9988414303</v>
      </c>
      <c r="Y34">
        <f t="shared" si="44"/>
        <v>288811.85384823207</v>
      </c>
      <c r="Z34">
        <f t="shared" si="37"/>
        <v>197262.38224727273</v>
      </c>
      <c r="AB34">
        <v>4</v>
      </c>
      <c r="AC34">
        <f t="shared" si="33"/>
        <v>1204982.1055294303</v>
      </c>
      <c r="AD34">
        <f t="shared" si="45"/>
        <v>974592.10008778609</v>
      </c>
      <c r="AE34">
        <f t="shared" si="45"/>
        <v>3171285.0028411206</v>
      </c>
      <c r="AF34">
        <f t="shared" si="46"/>
        <v>1022046.9863343976</v>
      </c>
      <c r="AG34">
        <f t="shared" si="46"/>
        <v>3231167.5272571202</v>
      </c>
      <c r="AH34">
        <f t="shared" si="47"/>
        <v>1045108.7880381555</v>
      </c>
      <c r="AI34">
        <f t="shared" si="47"/>
        <v>3291050.0516731204</v>
      </c>
      <c r="AJ34">
        <f t="shared" si="48"/>
        <v>1116956.7588276207</v>
      </c>
    </row>
    <row r="35" spans="1:36" x14ac:dyDescent="0.35">
      <c r="A35" t="s">
        <v>79</v>
      </c>
      <c r="B35">
        <f>B33*E16*(1-B34)</f>
        <v>50738.687999999987</v>
      </c>
      <c r="D35" t="s">
        <v>79</v>
      </c>
      <c r="E35">
        <f>E16*E33*(1-E34)</f>
        <v>35321.93280000001</v>
      </c>
      <c r="N35" t="s">
        <v>32</v>
      </c>
      <c r="O35">
        <f t="shared" si="38"/>
        <v>1460074.0756903661</v>
      </c>
      <c r="P35">
        <f t="shared" si="39"/>
        <v>250030.03104992758</v>
      </c>
      <c r="Q35">
        <f t="shared" si="34"/>
        <v>155248.97768404262</v>
      </c>
      <c r="R35">
        <f t="shared" si="40"/>
        <v>1475044.706794366</v>
      </c>
      <c r="S35">
        <f t="shared" si="41"/>
        <v>265000.66215392755</v>
      </c>
      <c r="T35">
        <f t="shared" si="35"/>
        <v>164544.56175616881</v>
      </c>
      <c r="U35">
        <f t="shared" si="42"/>
        <v>1490015.3378983662</v>
      </c>
      <c r="V35">
        <f t="shared" si="49"/>
        <v>256878.02899518717</v>
      </c>
      <c r="W35">
        <f t="shared" si="36"/>
        <v>159501.04562851958</v>
      </c>
      <c r="X35">
        <f t="shared" si="43"/>
        <v>1504985.9690023661</v>
      </c>
      <c r="Y35">
        <f t="shared" si="44"/>
        <v>294941.92436192755</v>
      </c>
      <c r="Z35">
        <f t="shared" si="37"/>
        <v>183135.72990042125</v>
      </c>
      <c r="AB35">
        <v>5</v>
      </c>
      <c r="AC35">
        <f t="shared" si="33"/>
        <v>1460074.0756903661</v>
      </c>
      <c r="AD35">
        <f t="shared" si="45"/>
        <v>1129841.0777718287</v>
      </c>
      <c r="AE35">
        <f t="shared" si="45"/>
        <v>4646329.7096354868</v>
      </c>
      <c r="AF35">
        <f t="shared" si="46"/>
        <v>1186591.5480905664</v>
      </c>
      <c r="AG35">
        <f t="shared" si="46"/>
        <v>4721182.8651554864</v>
      </c>
      <c r="AH35">
        <f t="shared" si="47"/>
        <v>1204609.833666675</v>
      </c>
      <c r="AI35">
        <f t="shared" si="47"/>
        <v>4796036.020675486</v>
      </c>
      <c r="AJ35">
        <f t="shared" si="48"/>
        <v>1300092.488728042</v>
      </c>
    </row>
    <row r="36" spans="1:36" x14ac:dyDescent="0.35">
      <c r="A36" t="s">
        <v>80</v>
      </c>
      <c r="B36">
        <f>E36</f>
        <v>14.2</v>
      </c>
      <c r="D36" t="s">
        <v>80</v>
      </c>
      <c r="E36">
        <f>E41/10.5</f>
        <v>14.2</v>
      </c>
    </row>
    <row r="37" spans="1:36" x14ac:dyDescent="0.35">
      <c r="A37" t="s">
        <v>81</v>
      </c>
      <c r="B37">
        <f>B35*B36*B42</f>
        <v>31701.532262399985</v>
      </c>
      <c r="D37" t="s">
        <v>81</v>
      </c>
      <c r="E37">
        <f>E36*E35*E42</f>
        <v>22069.143613440003</v>
      </c>
    </row>
    <row r="39" spans="1:36" x14ac:dyDescent="0.35">
      <c r="A39" t="s">
        <v>82</v>
      </c>
      <c r="B39">
        <f>B35/E16</f>
        <v>4832.2559999999985</v>
      </c>
      <c r="D39" t="s">
        <v>82</v>
      </c>
      <c r="E39">
        <f>E35/E16</f>
        <v>3363.9936000000007</v>
      </c>
    </row>
    <row r="40" spans="1:36" x14ac:dyDescent="0.35">
      <c r="A40" t="s">
        <v>83</v>
      </c>
      <c r="B40">
        <v>0.13</v>
      </c>
      <c r="D40" t="s">
        <v>83</v>
      </c>
      <c r="E40">
        <v>0.13</v>
      </c>
    </row>
    <row r="41" spans="1:36" x14ac:dyDescent="0.35">
      <c r="A41" t="s">
        <v>84</v>
      </c>
      <c r="B41">
        <f>E41</f>
        <v>149.1</v>
      </c>
      <c r="D41" t="s">
        <v>84</v>
      </c>
      <c r="E41">
        <v>149.1</v>
      </c>
      <c r="N41" s="1" t="s">
        <v>85</v>
      </c>
      <c r="AB41" s="1" t="s">
        <v>100</v>
      </c>
    </row>
    <row r="42" spans="1:36" x14ac:dyDescent="0.35">
      <c r="A42" t="s">
        <v>86</v>
      </c>
      <c r="B42">
        <v>4.3999999999999997E-2</v>
      </c>
      <c r="D42" t="s">
        <v>86</v>
      </c>
      <c r="E42">
        <v>4.3999999999999997E-2</v>
      </c>
      <c r="N42" t="str">
        <f>N29</f>
        <v>Year</v>
      </c>
      <c r="O42" t="str">
        <f>O29</f>
        <v>C0D2(1%)</v>
      </c>
      <c r="P42" t="s">
        <v>67</v>
      </c>
      <c r="Q42" t="s">
        <v>67</v>
      </c>
      <c r="R42" t="s">
        <v>68</v>
      </c>
      <c r="S42" t="s">
        <v>69</v>
      </c>
      <c r="T42" t="s">
        <v>69</v>
      </c>
      <c r="U42" t="s">
        <v>70</v>
      </c>
      <c r="V42" t="s">
        <v>71</v>
      </c>
      <c r="W42" t="s">
        <v>71</v>
      </c>
      <c r="X42" t="s">
        <v>72</v>
      </c>
      <c r="Y42" t="s">
        <v>73</v>
      </c>
      <c r="Z42" t="s">
        <v>73</v>
      </c>
      <c r="AB42" t="s">
        <v>16</v>
      </c>
      <c r="AC42" t="s">
        <v>66</v>
      </c>
      <c r="AD42" t="s">
        <v>67</v>
      </c>
      <c r="AE42" t="s">
        <v>68</v>
      </c>
      <c r="AF42" t="s">
        <v>69</v>
      </c>
      <c r="AG42" t="s">
        <v>70</v>
      </c>
      <c r="AH42" t="s">
        <v>71</v>
      </c>
      <c r="AI42" t="s">
        <v>72</v>
      </c>
      <c r="AJ42" t="s">
        <v>73</v>
      </c>
    </row>
    <row r="43" spans="1:36" x14ac:dyDescent="0.35">
      <c r="A43" t="s">
        <v>87</v>
      </c>
      <c r="B43">
        <f>B39*B40*B41*B42</f>
        <v>4121.1991941119986</v>
      </c>
      <c r="D43" t="s">
        <v>87</v>
      </c>
      <c r="E43">
        <f>E39*E40*E41*E42</f>
        <v>2868.9886697472002</v>
      </c>
      <c r="N43" t="str">
        <f t="shared" ref="N43:O47" si="50">N30</f>
        <v>Year 0</v>
      </c>
      <c r="O43">
        <f t="shared" si="50"/>
        <v>0</v>
      </c>
      <c r="P43">
        <f>B19+B20+12*2*B3</f>
        <v>125420</v>
      </c>
      <c r="Q43">
        <f>P43*J3</f>
        <v>125420</v>
      </c>
      <c r="R43">
        <f>R30</f>
        <v>0</v>
      </c>
      <c r="S43">
        <f>Q43</f>
        <v>125420</v>
      </c>
      <c r="T43">
        <f>S43*J3</f>
        <v>125420</v>
      </c>
      <c r="U43">
        <f>U30</f>
        <v>0</v>
      </c>
      <c r="V43">
        <f>T43</f>
        <v>125420</v>
      </c>
      <c r="W43">
        <f>V43*J3</f>
        <v>125420</v>
      </c>
      <c r="X43">
        <f>X30</f>
        <v>0</v>
      </c>
      <c r="Y43">
        <f>W43</f>
        <v>125420</v>
      </c>
      <c r="Z43">
        <f>Y43*J3</f>
        <v>125420</v>
      </c>
      <c r="AB43">
        <v>0</v>
      </c>
      <c r="AC43">
        <f>O43</f>
        <v>0</v>
      </c>
      <c r="AD43">
        <f>Q43</f>
        <v>125420</v>
      </c>
      <c r="AE43">
        <f>R43</f>
        <v>0</v>
      </c>
      <c r="AF43">
        <f>T43</f>
        <v>125420</v>
      </c>
      <c r="AG43">
        <f>U43</f>
        <v>0</v>
      </c>
      <c r="AH43">
        <f>W43</f>
        <v>125420</v>
      </c>
      <c r="AI43">
        <f>X43</f>
        <v>0</v>
      </c>
      <c r="AJ43">
        <f>Z43</f>
        <v>125420</v>
      </c>
    </row>
    <row r="44" spans="1:36" x14ac:dyDescent="0.35">
      <c r="A44" t="s">
        <v>88</v>
      </c>
      <c r="B44">
        <f>B43/B35</f>
        <v>8.1223999999999991E-2</v>
      </c>
      <c r="D44" t="s">
        <v>88</v>
      </c>
      <c r="E44">
        <f>E43/E35</f>
        <v>8.1223999999999991E-2</v>
      </c>
      <c r="N44" t="str">
        <f t="shared" si="50"/>
        <v>Year 1</v>
      </c>
      <c r="O44">
        <f t="shared" si="50"/>
        <v>331634.73950591998</v>
      </c>
      <c r="P44">
        <f>$B$17*3*12+$B$10*3*$B$11+(J14+K14)*$B$6*$B$7+2*12*J14+$F$4+$G$9+$E$46</f>
        <v>261136.7667871872</v>
      </c>
      <c r="Q44">
        <f t="shared" ref="Q44:Q48" si="51">P44*J4</f>
        <v>237397.06071562471</v>
      </c>
      <c r="R44">
        <f t="shared" ref="R44:R48" si="52">R31</f>
        <v>346605.37060991995</v>
      </c>
      <c r="S44">
        <f>$B$17*3*12+$B$10*3*$B$11+(J14+K14)*$B$6*$B$7+2*12*J14+$F$4+$G$10+$E$46</f>
        <v>276107.39789118717</v>
      </c>
      <c r="T44">
        <f t="shared" ref="T44:T48" si="53">S44*J4</f>
        <v>251006.72535562469</v>
      </c>
      <c r="U44">
        <f t="shared" ref="U44:U48" si="54">U31</f>
        <v>361576.00171391998</v>
      </c>
      <c r="V44">
        <f>$B$17*3*12+$B$10*3*$B$11+(J14+K14)*$B$6*$B$7+2*12*J14+$F$4+$G$11+$E$46</f>
        <v>291078.02899518714</v>
      </c>
      <c r="W44">
        <f t="shared" ref="W44:W48" si="55">V44*J4</f>
        <v>264616.38999562466</v>
      </c>
      <c r="X44">
        <f t="shared" ref="X44:X48" si="56">X31</f>
        <v>376546.63281791995</v>
      </c>
      <c r="Y44">
        <f>$B$17*3*12+$B$10*3*$B$11+(J14+K14)*$B$6*$B$7+2*12*J14+$F$4+$G$12+$E$46</f>
        <v>306048.66009918717</v>
      </c>
      <c r="Z44">
        <f t="shared" ref="Z44:Z48" si="57">Y44*J4</f>
        <v>278226.05463562469</v>
      </c>
      <c r="AB44">
        <v>1</v>
      </c>
      <c r="AC44">
        <f t="shared" ref="AC44:AC48" si="58">O44</f>
        <v>331634.73950591998</v>
      </c>
      <c r="AD44">
        <f>AD43+Q44</f>
        <v>362817.06071562471</v>
      </c>
      <c r="AE44">
        <f>AE43+R44</f>
        <v>346605.37060991995</v>
      </c>
      <c r="AF44">
        <f>AF43+T44</f>
        <v>376426.72535562469</v>
      </c>
      <c r="AG44">
        <f>AG43+U44</f>
        <v>361576.00171391998</v>
      </c>
      <c r="AH44">
        <f>AH43+W44</f>
        <v>390036.38999562466</v>
      </c>
      <c r="AI44">
        <f>AI43+X44</f>
        <v>376546.63281791995</v>
      </c>
      <c r="AJ44">
        <f>AJ43+Z44</f>
        <v>403646.05463562469</v>
      </c>
    </row>
    <row r="45" spans="1:36" x14ac:dyDescent="0.35">
      <c r="N45" t="str">
        <f t="shared" si="50"/>
        <v>Year 2</v>
      </c>
      <c r="O45">
        <f t="shared" si="50"/>
        <v>642059.26096948353</v>
      </c>
      <c r="P45">
        <f t="shared" ref="P45:P48" si="59">$B$17*3*12+$B$10*3*$B$11+(J15+K15)*$B$6*$B$7+2*12*J15+$F$4+$G$9+$E$46</f>
        <v>266562.87642438721</v>
      </c>
      <c r="Q45">
        <f t="shared" si="51"/>
        <v>220299.89787139438</v>
      </c>
      <c r="R45">
        <f t="shared" si="52"/>
        <v>657029.89207348356</v>
      </c>
      <c r="S45">
        <f t="shared" ref="S45:S48" si="60">$B$17*3*12+$B$10*3*$B$11+(J15+K15)*$B$6*$B$7+2*12*J15+$F$4+$G$10+$E$46</f>
        <v>281533.50752838718</v>
      </c>
      <c r="T45">
        <f t="shared" si="53"/>
        <v>232672.32027139433</v>
      </c>
      <c r="U45">
        <f t="shared" si="54"/>
        <v>672000.52317748347</v>
      </c>
      <c r="V45">
        <f t="shared" ref="V45:V48" si="61">$B$17*3*12+$B$10*3*$B$11+(J15+K15)*$B$6*$B$7+2*12*J15+$F$4+$G$11+$E$46</f>
        <v>296504.13863238716</v>
      </c>
      <c r="W45">
        <f t="shared" si="55"/>
        <v>245044.74267139431</v>
      </c>
      <c r="X45">
        <f t="shared" si="56"/>
        <v>686971.1542814835</v>
      </c>
      <c r="Y45">
        <f t="shared" ref="Y45:Y48" si="62">$B$17*3*12+$B$10*3*$B$11+(J15+K15)*$B$6*$B$7+2*12*J15+$F$4+$G$12+$E$46</f>
        <v>311474.76973638718</v>
      </c>
      <c r="Z45">
        <f t="shared" si="57"/>
        <v>257417.16507139435</v>
      </c>
      <c r="AB45">
        <v>2</v>
      </c>
      <c r="AC45">
        <f t="shared" si="58"/>
        <v>642059.26096948353</v>
      </c>
      <c r="AD45" s="3">
        <f t="shared" ref="AD45:AE48" si="63">AD44+Q45</f>
        <v>583116.95858701912</v>
      </c>
      <c r="AE45">
        <f t="shared" si="63"/>
        <v>1003635.2626834034</v>
      </c>
      <c r="AF45" s="3">
        <f t="shared" ref="AF45:AG48" si="64">AF44+T45</f>
        <v>609099.04562701902</v>
      </c>
      <c r="AG45">
        <f t="shared" si="64"/>
        <v>1033576.5248914035</v>
      </c>
      <c r="AH45" s="3">
        <f t="shared" ref="AH45:AI48" si="65">AH44+W45</f>
        <v>635081.13266701903</v>
      </c>
      <c r="AI45">
        <f t="shared" si="65"/>
        <v>1063517.7870994033</v>
      </c>
      <c r="AJ45">
        <f t="shared" ref="AJ45:AJ48" si="66">AJ44+Z45</f>
        <v>661063.21970701905</v>
      </c>
    </row>
    <row r="46" spans="1:36" x14ac:dyDescent="0.35">
      <c r="A46" t="s">
        <v>89</v>
      </c>
      <c r="B46">
        <f>B37+B43</f>
        <v>35822.731456511981</v>
      </c>
      <c r="D46" t="s">
        <v>90</v>
      </c>
      <c r="E46">
        <f>E43+E37</f>
        <v>24938.132283187202</v>
      </c>
      <c r="N46" t="str">
        <f t="shared" si="50"/>
        <v>Year 3</v>
      </c>
      <c r="O46">
        <f t="shared" si="50"/>
        <v>932726.37242028676</v>
      </c>
      <c r="P46">
        <f t="shared" si="59"/>
        <v>272214.15648640081</v>
      </c>
      <c r="Q46">
        <f t="shared" si="51"/>
        <v>204518.5247831711</v>
      </c>
      <c r="R46">
        <f t="shared" si="52"/>
        <v>947697.00352428679</v>
      </c>
      <c r="S46">
        <f t="shared" si="60"/>
        <v>287184.78759040078</v>
      </c>
      <c r="T46">
        <f t="shared" si="53"/>
        <v>215766.1815104438</v>
      </c>
      <c r="U46">
        <f t="shared" si="54"/>
        <v>962667.6346282867</v>
      </c>
      <c r="V46">
        <f t="shared" si="61"/>
        <v>302155.41869440075</v>
      </c>
      <c r="W46">
        <f t="shared" si="55"/>
        <v>227013.8382377165</v>
      </c>
      <c r="X46">
        <f t="shared" si="56"/>
        <v>977638.26573228673</v>
      </c>
      <c r="Y46">
        <f t="shared" si="62"/>
        <v>317126.04979840078</v>
      </c>
      <c r="Z46">
        <f t="shared" si="57"/>
        <v>238261.49496498925</v>
      </c>
      <c r="AB46">
        <v>3</v>
      </c>
      <c r="AC46">
        <f t="shared" si="58"/>
        <v>932726.37242028676</v>
      </c>
      <c r="AD46">
        <f t="shared" si="63"/>
        <v>787635.48337019025</v>
      </c>
      <c r="AE46">
        <f t="shared" si="63"/>
        <v>1951332.2662076904</v>
      </c>
      <c r="AF46">
        <f t="shared" si="64"/>
        <v>824865.22713746282</v>
      </c>
      <c r="AG46">
        <f t="shared" si="64"/>
        <v>1996244.1595196901</v>
      </c>
      <c r="AH46">
        <f t="shared" si="65"/>
        <v>862094.9709047355</v>
      </c>
      <c r="AI46">
        <f t="shared" si="65"/>
        <v>2041156.0528316901</v>
      </c>
      <c r="AJ46" s="3">
        <f t="shared" si="66"/>
        <v>899324.7146720083</v>
      </c>
    </row>
    <row r="47" spans="1:36" x14ac:dyDescent="0.35">
      <c r="N47" t="str">
        <f t="shared" si="50"/>
        <v>Year 4</v>
      </c>
      <c r="O47">
        <f t="shared" si="50"/>
        <v>1204982.1055294303</v>
      </c>
      <c r="P47">
        <f t="shared" si="59"/>
        <v>278099.9605362321</v>
      </c>
      <c r="Q47">
        <f t="shared" si="51"/>
        <v>189946.01498274165</v>
      </c>
      <c r="R47">
        <f t="shared" si="52"/>
        <v>1219952.7366334302</v>
      </c>
      <c r="S47">
        <f t="shared" si="60"/>
        <v>293070.59164023207</v>
      </c>
      <c r="T47">
        <f t="shared" si="53"/>
        <v>200171.15746208045</v>
      </c>
      <c r="U47">
        <f t="shared" si="54"/>
        <v>1234923.3677374304</v>
      </c>
      <c r="V47">
        <f t="shared" si="61"/>
        <v>308041.22274423204</v>
      </c>
      <c r="W47">
        <f t="shared" si="55"/>
        <v>210396.29994141927</v>
      </c>
      <c r="X47">
        <f t="shared" si="56"/>
        <v>1249893.9988414303</v>
      </c>
      <c r="Y47">
        <f t="shared" si="62"/>
        <v>323011.85384823207</v>
      </c>
      <c r="Z47">
        <f t="shared" si="57"/>
        <v>220621.44242075813</v>
      </c>
      <c r="AB47">
        <v>4</v>
      </c>
      <c r="AC47">
        <f t="shared" si="58"/>
        <v>1204982.1055294303</v>
      </c>
      <c r="AD47">
        <f t="shared" si="63"/>
        <v>977581.49835293193</v>
      </c>
      <c r="AE47">
        <f t="shared" si="63"/>
        <v>3171285.0028411206</v>
      </c>
      <c r="AF47">
        <f t="shared" si="64"/>
        <v>1025036.3845995433</v>
      </c>
      <c r="AG47">
        <f t="shared" si="64"/>
        <v>3231167.5272571202</v>
      </c>
      <c r="AH47">
        <f t="shared" si="65"/>
        <v>1072491.2708461548</v>
      </c>
      <c r="AI47">
        <f t="shared" si="65"/>
        <v>3291050.0516731204</v>
      </c>
      <c r="AJ47">
        <f t="shared" si="66"/>
        <v>1119946.1570927664</v>
      </c>
    </row>
    <row r="48" spans="1:36" x14ac:dyDescent="0.35">
      <c r="N48" t="str">
        <f>N35</f>
        <v>Year 5</v>
      </c>
      <c r="O48">
        <f>O35</f>
        <v>1460074.0756903661</v>
      </c>
      <c r="P48">
        <f t="shared" si="59"/>
        <v>284230.03104992758</v>
      </c>
      <c r="Q48">
        <f t="shared" si="51"/>
        <v>176484.48693266572</v>
      </c>
      <c r="R48">
        <f t="shared" si="52"/>
        <v>1475044.706794366</v>
      </c>
      <c r="S48">
        <f t="shared" si="60"/>
        <v>299200.66215392755</v>
      </c>
      <c r="T48">
        <f t="shared" si="53"/>
        <v>185780.07100479191</v>
      </c>
      <c r="U48">
        <f t="shared" si="54"/>
        <v>1490015.3378983662</v>
      </c>
      <c r="V48">
        <f t="shared" si="61"/>
        <v>314171.29325792752</v>
      </c>
      <c r="W48">
        <f t="shared" si="55"/>
        <v>195075.6550769181</v>
      </c>
      <c r="X48">
        <f t="shared" si="56"/>
        <v>1504985.9690023661</v>
      </c>
      <c r="Y48">
        <f t="shared" si="62"/>
        <v>329141.92436192755</v>
      </c>
      <c r="Z48">
        <f t="shared" si="57"/>
        <v>204371.23914904436</v>
      </c>
      <c r="AB48">
        <v>5</v>
      </c>
      <c r="AC48">
        <f t="shared" si="58"/>
        <v>1460074.0756903661</v>
      </c>
      <c r="AD48">
        <f t="shared" si="63"/>
        <v>1154065.9852855976</v>
      </c>
      <c r="AE48">
        <f t="shared" si="63"/>
        <v>4646329.7096354868</v>
      </c>
      <c r="AF48">
        <f t="shared" si="64"/>
        <v>1210816.4556043353</v>
      </c>
      <c r="AG48">
        <f t="shared" si="64"/>
        <v>4721182.8651554864</v>
      </c>
      <c r="AH48">
        <f t="shared" si="65"/>
        <v>1267566.925923073</v>
      </c>
      <c r="AI48">
        <f t="shared" si="65"/>
        <v>4796036.020675486</v>
      </c>
      <c r="AJ48">
        <f t="shared" si="66"/>
        <v>1324317.3962418106</v>
      </c>
    </row>
    <row r="50" spans="4:33" x14ac:dyDescent="0.35">
      <c r="D50" t="s">
        <v>91</v>
      </c>
    </row>
    <row r="51" spans="4:33" x14ac:dyDescent="0.35">
      <c r="D51">
        <v>1</v>
      </c>
      <c r="E51">
        <v>0.01</v>
      </c>
      <c r="F51">
        <v>0.52</v>
      </c>
      <c r="G51">
        <f>$E$23*(1-F51)*E51*$E$27*52</f>
        <v>32663.195135999995</v>
      </c>
    </row>
    <row r="52" spans="4:33" x14ac:dyDescent="0.35">
      <c r="D52">
        <v>2</v>
      </c>
      <c r="E52">
        <v>0.01</v>
      </c>
      <c r="F52">
        <v>0.65</v>
      </c>
      <c r="G52">
        <f>$E$23*(1-F52)*E52*$E$27*52</f>
        <v>23816.913120000001</v>
      </c>
    </row>
    <row r="53" spans="4:33" x14ac:dyDescent="0.35">
      <c r="D53">
        <v>3</v>
      </c>
      <c r="E53">
        <v>0.01</v>
      </c>
      <c r="F53">
        <v>0.78</v>
      </c>
      <c r="G53">
        <f>$E$23*(1-F53)*E53*$E$27*52</f>
        <v>14970.631103999996</v>
      </c>
      <c r="N53" s="1" t="s">
        <v>92</v>
      </c>
      <c r="AB53" s="1" t="s">
        <v>92</v>
      </c>
    </row>
    <row r="54" spans="4:33" x14ac:dyDescent="0.35">
      <c r="D54">
        <v>4</v>
      </c>
      <c r="E54">
        <v>0.01</v>
      </c>
      <c r="F54">
        <v>0.92</v>
      </c>
      <c r="G54">
        <f>$E$23*(1-F54)*E54*$E$27*52</f>
        <v>5443.8658559999967</v>
      </c>
      <c r="N54" t="str">
        <f>N29</f>
        <v>Year</v>
      </c>
      <c r="O54" t="str">
        <f>O29</f>
        <v>C0D2(1%)</v>
      </c>
      <c r="P54" t="str">
        <f t="shared" ref="P54:Q54" si="67">P29</f>
        <v>C3D1 (1%)</v>
      </c>
      <c r="Q54" t="str">
        <f t="shared" si="67"/>
        <v>C3D1 (1%)</v>
      </c>
      <c r="R54" t="str">
        <f>S29</f>
        <v>C3D1 (2%)</v>
      </c>
      <c r="S54" t="str">
        <f>T29</f>
        <v>C3D1 (2%)</v>
      </c>
      <c r="T54" t="str">
        <f>V29</f>
        <v>C3D1 (3%)</v>
      </c>
      <c r="U54" t="str">
        <f>W29</f>
        <v>C3D1 (3%)</v>
      </c>
      <c r="V54" t="str">
        <f>Y29</f>
        <v>C3D1 (4%)</v>
      </c>
      <c r="W54" t="str">
        <f>Z29</f>
        <v>C3D1 (4%)</v>
      </c>
      <c r="AB54" t="s">
        <v>93</v>
      </c>
      <c r="AC54" t="s">
        <v>11</v>
      </c>
      <c r="AD54" t="s">
        <v>94</v>
      </c>
      <c r="AE54" t="s">
        <v>95</v>
      </c>
      <c r="AF54" t="s">
        <v>96</v>
      </c>
      <c r="AG54" t="s">
        <v>97</v>
      </c>
    </row>
    <row r="55" spans="4:33" x14ac:dyDescent="0.35">
      <c r="N55" t="str">
        <f t="shared" ref="N55:P60" si="68">N30</f>
        <v>Year 0</v>
      </c>
      <c r="O55">
        <f t="shared" si="68"/>
        <v>0</v>
      </c>
      <c r="P55">
        <f t="shared" si="68"/>
        <v>230840</v>
      </c>
      <c r="Q55">
        <f>P55*J3</f>
        <v>230840</v>
      </c>
      <c r="R55">
        <f>S30</f>
        <v>230840</v>
      </c>
      <c r="S55">
        <f>R55*J3</f>
        <v>230840</v>
      </c>
      <c r="T55">
        <f>V30</f>
        <v>230840</v>
      </c>
      <c r="U55">
        <f>T55*J3</f>
        <v>230840</v>
      </c>
      <c r="V55">
        <f>Y30</f>
        <v>230840</v>
      </c>
      <c r="W55">
        <f>V55*J3</f>
        <v>230840</v>
      </c>
      <c r="AB55">
        <v>0</v>
      </c>
      <c r="AC55">
        <f t="shared" ref="AC55:AC60" si="69">O55</f>
        <v>0</v>
      </c>
      <c r="AD55">
        <f>Q55</f>
        <v>230840</v>
      </c>
      <c r="AE55">
        <f>S55</f>
        <v>230840</v>
      </c>
      <c r="AF55">
        <f>U55</f>
        <v>230840</v>
      </c>
      <c r="AG55">
        <f>W55</f>
        <v>230840</v>
      </c>
    </row>
    <row r="56" spans="4:33" x14ac:dyDescent="0.35">
      <c r="N56" t="str">
        <f t="shared" si="68"/>
        <v>Year 1</v>
      </c>
      <c r="O56">
        <f t="shared" si="68"/>
        <v>331634.73950591998</v>
      </c>
      <c r="P56">
        <f>$B$10*3*$B$11+(J14+K14)*$B$6*$B$7+2*12*J14+$F$4+$G$51+$E$46</f>
        <v>244629.33081918719</v>
      </c>
      <c r="Q56">
        <f t="shared" ref="Q56:Q60" si="70">P56*J4</f>
        <v>222390.30074471561</v>
      </c>
      <c r="R56">
        <f>$B$10*3*$B$11+(J14+K14)*$B$6*$B$7+2*12*J14+$F$4+$G$52+$E$46</f>
        <v>235783.04880318721</v>
      </c>
      <c r="S56">
        <f t="shared" ref="S56:S60" si="71">R56*J4</f>
        <v>214348.22618471563</v>
      </c>
      <c r="T56">
        <f>$B$10*3*$B$11+(J14+K14)*$B$6*$B$7+2*12*J14+$F$4+$G$53+$E$46</f>
        <v>226936.7667871872</v>
      </c>
      <c r="U56">
        <f t="shared" ref="U56:U60" si="72">T56*J4</f>
        <v>206306.15162471563</v>
      </c>
      <c r="V56">
        <f>$B$10*3*$B$11+(J14+K14)*$B$6*$B$7+2*12*J14+$F$4+$G$54+$E$46</f>
        <v>217410.00153918719</v>
      </c>
      <c r="W56">
        <f t="shared" ref="W56:W60" si="73">V56*J4</f>
        <v>197645.45594471562</v>
      </c>
      <c r="AB56">
        <v>1</v>
      </c>
      <c r="AC56">
        <f t="shared" si="69"/>
        <v>331634.73950591998</v>
      </c>
      <c r="AD56">
        <f>AD55+Q56</f>
        <v>453230.30074471561</v>
      </c>
      <c r="AE56">
        <f>AE55+S56</f>
        <v>445188.22618471563</v>
      </c>
      <c r="AF56">
        <f>AF55+U56</f>
        <v>437146.15162471565</v>
      </c>
      <c r="AG56">
        <f>AG55+W56</f>
        <v>428485.45594471565</v>
      </c>
    </row>
    <row r="57" spans="4:33" x14ac:dyDescent="0.35">
      <c r="N57" t="str">
        <f t="shared" si="68"/>
        <v>Year 2</v>
      </c>
      <c r="O57">
        <f t="shared" si="68"/>
        <v>642059.26096948353</v>
      </c>
      <c r="P57">
        <f t="shared" ref="P57:P60" si="74">$B$10*3*$B$11+(J15+K15)*$B$6*$B$7+2*12*J15+$F$4+$G$51+$E$46</f>
        <v>250055.44045638721</v>
      </c>
      <c r="Q57">
        <f t="shared" si="70"/>
        <v>206657.38880693156</v>
      </c>
      <c r="R57">
        <f t="shared" ref="R57:R60" si="75">$B$10*3*$B$11+(J15+K15)*$B$6*$B$7+2*12*J15+$F$4+$G$52+$E$46</f>
        <v>241209.15844038723</v>
      </c>
      <c r="S57">
        <f t="shared" si="71"/>
        <v>199346.41193420428</v>
      </c>
      <c r="T57">
        <f t="shared" ref="T57:T60" si="76">$B$10*3*$B$11+(J15+K15)*$B$6*$B$7+2*12*J15+$F$4+$G$53+$E$46</f>
        <v>232362.87642438721</v>
      </c>
      <c r="U57">
        <f t="shared" si="72"/>
        <v>192035.43506147701</v>
      </c>
      <c r="V57">
        <f t="shared" ref="V57:V60" si="77">$B$10*3*$B$11+(J15+K15)*$B$6*$B$7+2*12*J15+$F$4+$G$54+$E$46</f>
        <v>222836.1111763872</v>
      </c>
      <c r="W57">
        <f t="shared" si="73"/>
        <v>184162.07535238611</v>
      </c>
      <c r="AB57">
        <v>2</v>
      </c>
      <c r="AC57">
        <f t="shared" si="69"/>
        <v>642059.26096948353</v>
      </c>
      <c r="AD57">
        <f>AD56+Q57</f>
        <v>659887.68955164717</v>
      </c>
      <c r="AE57">
        <f>AE56+S57</f>
        <v>644534.63811891992</v>
      </c>
      <c r="AF57" s="3">
        <f>AF56+U57</f>
        <v>629181.58668619266</v>
      </c>
      <c r="AG57" s="3">
        <f>AG56+W57</f>
        <v>612647.53129710176</v>
      </c>
    </row>
    <row r="58" spans="4:33" x14ac:dyDescent="0.35">
      <c r="N58" t="str">
        <f t="shared" si="68"/>
        <v>Year 3</v>
      </c>
      <c r="O58">
        <f t="shared" si="68"/>
        <v>932726.37242028676</v>
      </c>
      <c r="P58">
        <f t="shared" si="74"/>
        <v>255706.72051840081</v>
      </c>
      <c r="Q58">
        <f t="shared" si="70"/>
        <v>192116.24381547765</v>
      </c>
      <c r="R58">
        <f t="shared" si="75"/>
        <v>246860.43850240082</v>
      </c>
      <c r="S58">
        <f t="shared" si="71"/>
        <v>185469.90120390739</v>
      </c>
      <c r="T58">
        <f t="shared" si="76"/>
        <v>238014.15648640081</v>
      </c>
      <c r="U58">
        <f t="shared" si="72"/>
        <v>178823.55859233715</v>
      </c>
      <c r="V58">
        <f t="shared" si="77"/>
        <v>228487.3912384008</v>
      </c>
      <c r="W58">
        <f t="shared" si="73"/>
        <v>171665.95885679996</v>
      </c>
      <c r="AB58">
        <v>3</v>
      </c>
      <c r="AC58">
        <f t="shared" si="69"/>
        <v>932726.37242028676</v>
      </c>
      <c r="AD58" s="3">
        <f>AD57+Q58</f>
        <v>852003.93336712476</v>
      </c>
      <c r="AE58" s="3">
        <f>AE57+S58</f>
        <v>830004.53932282724</v>
      </c>
      <c r="AF58">
        <f>AF57+U58</f>
        <v>808005.14527852985</v>
      </c>
      <c r="AG58">
        <f>AG57+W58</f>
        <v>784313.49015390174</v>
      </c>
    </row>
    <row r="59" spans="4:33" x14ac:dyDescent="0.35">
      <c r="N59" t="str">
        <f t="shared" si="68"/>
        <v>Year 4</v>
      </c>
      <c r="O59">
        <f t="shared" si="68"/>
        <v>1204982.1055294303</v>
      </c>
      <c r="P59">
        <f t="shared" si="74"/>
        <v>261592.5245682321</v>
      </c>
      <c r="Q59">
        <f t="shared" si="70"/>
        <v>178671.21410302032</v>
      </c>
      <c r="R59">
        <f t="shared" si="75"/>
        <v>252746.24255223211</v>
      </c>
      <c r="S59">
        <f t="shared" si="71"/>
        <v>172629.08445613828</v>
      </c>
      <c r="T59">
        <f t="shared" si="76"/>
        <v>243899.9605362321</v>
      </c>
      <c r="U59">
        <f t="shared" si="72"/>
        <v>166586.95480925622</v>
      </c>
      <c r="V59">
        <f t="shared" si="77"/>
        <v>234373.19528823209</v>
      </c>
      <c r="W59">
        <f t="shared" si="73"/>
        <v>160080.04595876788</v>
      </c>
      <c r="AB59">
        <v>4</v>
      </c>
      <c r="AC59">
        <f t="shared" si="69"/>
        <v>1204982.1055294303</v>
      </c>
      <c r="AD59">
        <f>AD58+Q59</f>
        <v>1030675.147470145</v>
      </c>
      <c r="AE59">
        <f>AE58+S59</f>
        <v>1002633.6237789656</v>
      </c>
      <c r="AF59">
        <f>AF58+U59</f>
        <v>974592.10008778609</v>
      </c>
      <c r="AG59">
        <f>AG58+W59</f>
        <v>944393.53611266962</v>
      </c>
    </row>
    <row r="60" spans="4:33" x14ac:dyDescent="0.35">
      <c r="N60" t="str">
        <f t="shared" si="68"/>
        <v>Year 5</v>
      </c>
      <c r="O60">
        <f t="shared" si="68"/>
        <v>1460074.0756903661</v>
      </c>
      <c r="P60">
        <f t="shared" si="74"/>
        <v>267722.59508192755</v>
      </c>
      <c r="Q60">
        <f t="shared" si="70"/>
        <v>166234.66795110086</v>
      </c>
      <c r="R60">
        <f t="shared" si="75"/>
        <v>258876.31306592759</v>
      </c>
      <c r="S60">
        <f t="shared" si="71"/>
        <v>160741.82281757175</v>
      </c>
      <c r="T60">
        <f t="shared" si="76"/>
        <v>250030.03104992758</v>
      </c>
      <c r="U60">
        <f t="shared" si="72"/>
        <v>155248.97768404262</v>
      </c>
      <c r="V60">
        <f t="shared" si="77"/>
        <v>240503.26580192757</v>
      </c>
      <c r="W60">
        <f t="shared" si="73"/>
        <v>149333.60600178048</v>
      </c>
      <c r="AB60">
        <v>5</v>
      </c>
      <c r="AC60">
        <f t="shared" si="69"/>
        <v>1460074.0756903661</v>
      </c>
      <c r="AD60">
        <f>AD59+Q60</f>
        <v>1196909.815421246</v>
      </c>
      <c r="AE60">
        <f>AE59+S60</f>
        <v>1163375.4465965373</v>
      </c>
      <c r="AF60">
        <f>AF59+U60</f>
        <v>1129841.0777718287</v>
      </c>
      <c r="AG60">
        <f>AG59+W60</f>
        <v>1093727.1421144502</v>
      </c>
    </row>
    <row r="63" spans="4:33" x14ac:dyDescent="0.35">
      <c r="N63" s="1" t="s">
        <v>98</v>
      </c>
      <c r="AB63" s="1" t="s">
        <v>98</v>
      </c>
    </row>
    <row r="64" spans="4:33" x14ac:dyDescent="0.35">
      <c r="N64" t="str">
        <f>N42</f>
        <v>Year</v>
      </c>
      <c r="O64" t="str">
        <f t="shared" ref="O64:Q64" si="78">O42</f>
        <v>C0D2(1%)</v>
      </c>
      <c r="P64" t="str">
        <f t="shared" si="78"/>
        <v>C3D1 (1%)</v>
      </c>
      <c r="Q64" t="str">
        <f t="shared" si="78"/>
        <v>C3D1 (1%)</v>
      </c>
      <c r="R64" t="str">
        <f>S42</f>
        <v>C3D1 (2%)</v>
      </c>
      <c r="S64" t="str">
        <f>T42</f>
        <v>C3D1 (2%)</v>
      </c>
      <c r="T64" t="str">
        <f>V42</f>
        <v>C3D1 (3%)</v>
      </c>
      <c r="U64" t="str">
        <f>W42</f>
        <v>C3D1 (3%)</v>
      </c>
      <c r="V64" t="str">
        <f>Y42</f>
        <v>C3D1 (4%)</v>
      </c>
      <c r="W64" t="str">
        <f>Z42</f>
        <v>C3D1 (4%)</v>
      </c>
      <c r="AB64" t="s">
        <v>93</v>
      </c>
      <c r="AC64" t="s">
        <v>11</v>
      </c>
      <c r="AD64" t="s">
        <v>94</v>
      </c>
      <c r="AE64" t="s">
        <v>95</v>
      </c>
      <c r="AF64" t="s">
        <v>96</v>
      </c>
      <c r="AG64" t="s">
        <v>97</v>
      </c>
    </row>
    <row r="65" spans="14:33" x14ac:dyDescent="0.35">
      <c r="N65" t="str">
        <f t="shared" ref="N65:P70" si="79">N43</f>
        <v>Year 0</v>
      </c>
      <c r="O65">
        <f t="shared" si="79"/>
        <v>0</v>
      </c>
      <c r="P65">
        <f t="shared" si="79"/>
        <v>125420</v>
      </c>
      <c r="Q65">
        <f>P65*J3</f>
        <v>125420</v>
      </c>
      <c r="R65">
        <f>S43</f>
        <v>125420</v>
      </c>
      <c r="S65">
        <f>R65*J3</f>
        <v>125420</v>
      </c>
      <c r="T65">
        <f>V43</f>
        <v>125420</v>
      </c>
      <c r="U65">
        <f>T65*J3</f>
        <v>125420</v>
      </c>
      <c r="V65">
        <f>Y43</f>
        <v>125420</v>
      </c>
      <c r="W65">
        <f>V65*J3</f>
        <v>125420</v>
      </c>
      <c r="AB65">
        <v>0</v>
      </c>
      <c r="AC65">
        <f>O65</f>
        <v>0</v>
      </c>
      <c r="AD65">
        <f>Q65</f>
        <v>125420</v>
      </c>
      <c r="AE65">
        <f>S65</f>
        <v>125420</v>
      </c>
      <c r="AF65">
        <f>U65</f>
        <v>125420</v>
      </c>
      <c r="AG65">
        <f>W65</f>
        <v>125420</v>
      </c>
    </row>
    <row r="66" spans="14:33" x14ac:dyDescent="0.35">
      <c r="N66" t="str">
        <f t="shared" si="79"/>
        <v>Year 1</v>
      </c>
      <c r="O66">
        <f t="shared" si="79"/>
        <v>331634.73950591998</v>
      </c>
      <c r="P66">
        <f>$B$17*3*12+$B$10*3*$B$11+(J14+K14)*$B$6*$B$7+2*12*J14+$F$4+$G$51+$E$46</f>
        <v>278829.33081918716</v>
      </c>
      <c r="Q66">
        <f t="shared" ref="Q66:Q70" si="80">P66*J4</f>
        <v>253481.20983562467</v>
      </c>
      <c r="R66">
        <f>$B$17*3*12+$B$10*3*$B$11+(J14+K14)*$B$6*$B$7+2*12*J14+$F$4+$G$52+$E$46</f>
        <v>269983.04880318721</v>
      </c>
      <c r="S66">
        <f t="shared" ref="S66:S70" si="81">R66*J4</f>
        <v>245439.13527562472</v>
      </c>
      <c r="T66">
        <f>$B$17*3*12+$B$10*3*$B$11+(J14+K14)*$B$6*$B$7+2*12*J14+$F$4+$G$53+$E$46</f>
        <v>261136.7667871872</v>
      </c>
      <c r="U66">
        <f t="shared" ref="U66:U70" si="82">T66*J4</f>
        <v>237397.06071562471</v>
      </c>
      <c r="V66">
        <f>$B$17*3*12+$B$10*3*$B$11+(J14+K14)*$B$6*$B$7+2*12*J14+$F$4+$G$54+$E$46</f>
        <v>251610.00153918719</v>
      </c>
      <c r="W66">
        <f t="shared" ref="W66:W70" si="83">V66*J4</f>
        <v>228736.36503562471</v>
      </c>
      <c r="AB66">
        <v>1</v>
      </c>
      <c r="AC66">
        <f t="shared" ref="AC66:AC70" si="84">O66</f>
        <v>331634.73950591998</v>
      </c>
      <c r="AD66">
        <f>AD65+Q66</f>
        <v>378901.20983562467</v>
      </c>
      <c r="AE66">
        <f>AE65+S66</f>
        <v>370859.13527562469</v>
      </c>
      <c r="AF66">
        <f>AF65+U66</f>
        <v>362817.06071562471</v>
      </c>
      <c r="AG66">
        <f>AG65+W66</f>
        <v>354156.36503562471</v>
      </c>
    </row>
    <row r="67" spans="14:33" x14ac:dyDescent="0.35">
      <c r="N67" t="str">
        <f t="shared" si="79"/>
        <v>Year 2</v>
      </c>
      <c r="O67">
        <f t="shared" si="79"/>
        <v>642059.26096948353</v>
      </c>
      <c r="P67">
        <f t="shared" ref="P67:P70" si="85">$B$17*3*12+$B$10*3*$B$11+(J15+K15)*$B$6*$B$7+2*12*J15+$F$4+$G$51+$E$46</f>
        <v>284255.44045638718</v>
      </c>
      <c r="Q67">
        <f t="shared" si="80"/>
        <v>234921.85161684887</v>
      </c>
      <c r="R67">
        <f t="shared" ref="R67:R70" si="86">$B$17*3*12+$B$10*3*$B$11+(J15+K15)*$B$6*$B$7+2*12*J15+$F$4+$G$52+$E$46</f>
        <v>275409.15844038723</v>
      </c>
      <c r="S67">
        <f t="shared" si="81"/>
        <v>227610.87474412165</v>
      </c>
      <c r="T67">
        <f t="shared" ref="T67:T70" si="87">$B$17*3*12+$B$10*3*$B$11+(J15+K15)*$B$6*$B$7+2*12*J15+$F$4+$G$53+$E$46</f>
        <v>266562.87642438721</v>
      </c>
      <c r="U67">
        <f t="shared" si="82"/>
        <v>220299.89787139438</v>
      </c>
      <c r="V67">
        <f t="shared" ref="V67:V70" si="88">$B$17*3*12+$B$10*3*$B$11+(J15+K15)*$B$6*$B$7+2*12*J15+$F$4+$G$54+$E$46</f>
        <v>257036.1111763872</v>
      </c>
      <c r="W67">
        <f t="shared" si="83"/>
        <v>212426.53816230345</v>
      </c>
      <c r="AB67">
        <v>2</v>
      </c>
      <c r="AC67">
        <f t="shared" si="84"/>
        <v>642059.26096948353</v>
      </c>
      <c r="AD67" s="3">
        <f t="shared" ref="AD67:AD70" si="89">AD66+Q67</f>
        <v>613823.06145247351</v>
      </c>
      <c r="AE67" s="3">
        <f t="shared" ref="AE67:AE70" si="90">AE66+S67</f>
        <v>598470.01001974638</v>
      </c>
      <c r="AF67" s="3">
        <f t="shared" ref="AF67:AF70" si="91">AF66+U67</f>
        <v>583116.95858701912</v>
      </c>
      <c r="AG67" s="3">
        <f t="shared" ref="AG67:AG70" si="92">AG66+W67</f>
        <v>566582.9031979281</v>
      </c>
    </row>
    <row r="68" spans="14:33" x14ac:dyDescent="0.35">
      <c r="N68" t="str">
        <f t="shared" si="79"/>
        <v>Year 3</v>
      </c>
      <c r="O68">
        <f t="shared" si="79"/>
        <v>932726.37242028676</v>
      </c>
      <c r="P68">
        <f t="shared" si="85"/>
        <v>289906.72051840078</v>
      </c>
      <c r="Q68">
        <f t="shared" si="80"/>
        <v>217811.21000631156</v>
      </c>
      <c r="R68">
        <f t="shared" si="86"/>
        <v>281060.43850240082</v>
      </c>
      <c r="S68">
        <f t="shared" si="81"/>
        <v>211164.86739474136</v>
      </c>
      <c r="T68">
        <f t="shared" si="87"/>
        <v>272214.15648640081</v>
      </c>
      <c r="U68">
        <f t="shared" si="82"/>
        <v>204518.5247831711</v>
      </c>
      <c r="V68">
        <f t="shared" si="88"/>
        <v>262687.39123840077</v>
      </c>
      <c r="W68">
        <f t="shared" si="83"/>
        <v>197360.92504763388</v>
      </c>
      <c r="AB68">
        <v>3</v>
      </c>
      <c r="AC68">
        <f t="shared" si="84"/>
        <v>932726.37242028676</v>
      </c>
      <c r="AD68">
        <f t="shared" si="89"/>
        <v>831634.27145878505</v>
      </c>
      <c r="AE68">
        <f t="shared" si="90"/>
        <v>809634.87741448777</v>
      </c>
      <c r="AF68">
        <f t="shared" si="91"/>
        <v>787635.48337019025</v>
      </c>
      <c r="AG68">
        <f t="shared" si="92"/>
        <v>763943.82824556204</v>
      </c>
    </row>
    <row r="69" spans="14:33" x14ac:dyDescent="0.35">
      <c r="N69" t="str">
        <f t="shared" si="79"/>
        <v>Year 4</v>
      </c>
      <c r="O69">
        <f t="shared" si="79"/>
        <v>1204982.1055294303</v>
      </c>
      <c r="P69">
        <f t="shared" si="85"/>
        <v>295792.52456823207</v>
      </c>
      <c r="Q69">
        <f t="shared" si="80"/>
        <v>202030.27427650569</v>
      </c>
      <c r="R69">
        <f t="shared" si="86"/>
        <v>286946.24255223211</v>
      </c>
      <c r="S69">
        <f t="shared" si="81"/>
        <v>195988.14462962368</v>
      </c>
      <c r="T69">
        <f t="shared" si="87"/>
        <v>278099.9605362321</v>
      </c>
      <c r="U69">
        <f t="shared" si="82"/>
        <v>189946.01498274165</v>
      </c>
      <c r="V69">
        <f t="shared" si="88"/>
        <v>268573.19528823206</v>
      </c>
      <c r="W69">
        <f t="shared" si="83"/>
        <v>183439.10613225325</v>
      </c>
      <c r="AB69">
        <v>4</v>
      </c>
      <c r="AC69">
        <f t="shared" si="84"/>
        <v>1204982.1055294303</v>
      </c>
      <c r="AD69">
        <f t="shared" si="89"/>
        <v>1033664.5457352907</v>
      </c>
      <c r="AE69">
        <f t="shared" si="90"/>
        <v>1005623.0220441115</v>
      </c>
      <c r="AF69">
        <f t="shared" si="91"/>
        <v>977581.49835293193</v>
      </c>
      <c r="AG69">
        <f t="shared" si="92"/>
        <v>947382.93437781534</v>
      </c>
    </row>
    <row r="70" spans="14:33" x14ac:dyDescent="0.35">
      <c r="N70" t="str">
        <f t="shared" si="79"/>
        <v>Year 5</v>
      </c>
      <c r="O70">
        <f t="shared" si="79"/>
        <v>1460074.0756903661</v>
      </c>
      <c r="P70">
        <f t="shared" si="85"/>
        <v>301922.59508192755</v>
      </c>
      <c r="Q70">
        <f t="shared" si="80"/>
        <v>187470.17719972396</v>
      </c>
      <c r="R70">
        <f t="shared" si="86"/>
        <v>293076.31306592753</v>
      </c>
      <c r="S70">
        <f t="shared" si="81"/>
        <v>181977.33206619482</v>
      </c>
      <c r="T70">
        <f t="shared" si="87"/>
        <v>284230.03104992758</v>
      </c>
      <c r="U70">
        <f t="shared" si="82"/>
        <v>176484.48693266572</v>
      </c>
      <c r="V70">
        <f t="shared" si="88"/>
        <v>274703.26580192754</v>
      </c>
      <c r="W70">
        <f t="shared" si="83"/>
        <v>170569.11525040356</v>
      </c>
      <c r="AB70">
        <v>5</v>
      </c>
      <c r="AC70">
        <f t="shared" si="84"/>
        <v>1460074.0756903661</v>
      </c>
      <c r="AD70">
        <f t="shared" si="89"/>
        <v>1221134.7229350146</v>
      </c>
      <c r="AE70">
        <f t="shared" si="90"/>
        <v>1187600.3541103064</v>
      </c>
      <c r="AF70">
        <f t="shared" si="91"/>
        <v>1154065.9852855976</v>
      </c>
      <c r="AG70">
        <f t="shared" si="92"/>
        <v>1117952.0496282189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Bhowmick, Joyjit</dc:creator>
  <cp:lastModifiedBy>Bhowmick, Joyjit</cp:lastModifiedBy>
  <dcterms:created xsi:type="dcterms:W3CDTF">2024-05-20T16:02:02Z</dcterms:created>
  <dcterms:modified xsi:type="dcterms:W3CDTF">2024-05-20T16:03:50Z</dcterms:modified>
</cp:coreProperties>
</file>