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760" activeTab="1"/>
  </bookViews>
  <sheets>
    <sheet name="caso abc imptos 10%" sheetId="8" r:id="rId1"/>
    <sheet name="CASO ABC CASO BASE" sheetId="7" r:id="rId2"/>
    <sheet name="CASO ABC IMPTOS 30%" sheetId="5" r:id="rId3"/>
    <sheet name="Hoja blanco" sheetId="4" r:id="rId4"/>
  </sheets>
  <calcPr calcId="125725"/>
</workbook>
</file>

<file path=xl/calcChain.xml><?xml version="1.0" encoding="utf-8"?>
<calcChain xmlns="http://schemas.openxmlformats.org/spreadsheetml/2006/main">
  <c r="C3" i="4"/>
  <c r="D3"/>
  <c r="E3" s="1"/>
  <c r="F3" s="1"/>
  <c r="G3" s="1"/>
  <c r="H3" s="1"/>
  <c r="I3" s="1"/>
  <c r="J3" s="1"/>
  <c r="K3" s="1"/>
  <c r="L3" s="1"/>
  <c r="M3" s="1"/>
  <c r="N3" s="1"/>
  <c r="N9" i="5"/>
  <c r="M9"/>
  <c r="L9"/>
  <c r="K9"/>
  <c r="J9"/>
  <c r="I9"/>
  <c r="H9"/>
  <c r="G9"/>
  <c r="F9"/>
  <c r="E9"/>
  <c r="N8"/>
  <c r="M8"/>
  <c r="M7" s="1"/>
  <c r="L8"/>
  <c r="K8"/>
  <c r="J8"/>
  <c r="I8"/>
  <c r="H8"/>
  <c r="N6"/>
  <c r="M6"/>
  <c r="L6"/>
  <c r="K6"/>
  <c r="J6"/>
  <c r="I6"/>
  <c r="H6"/>
  <c r="G6"/>
  <c r="D4"/>
  <c r="D12" s="1"/>
  <c r="D16" s="1"/>
  <c r="C4"/>
  <c r="C12" s="1"/>
  <c r="C16" s="1"/>
  <c r="K13"/>
  <c r="B4"/>
  <c r="L13" s="1"/>
  <c r="N9" i="7"/>
  <c r="M9"/>
  <c r="L9"/>
  <c r="K9"/>
  <c r="J9"/>
  <c r="I9"/>
  <c r="H9"/>
  <c r="G9"/>
  <c r="G7" s="1"/>
  <c r="N8"/>
  <c r="M8"/>
  <c r="L8"/>
  <c r="K8"/>
  <c r="J8"/>
  <c r="I8"/>
  <c r="H8"/>
  <c r="N6"/>
  <c r="M6"/>
  <c r="L6"/>
  <c r="K6"/>
  <c r="J6"/>
  <c r="I6"/>
  <c r="I14" s="1"/>
  <c r="H6"/>
  <c r="G6"/>
  <c r="D4"/>
  <c r="D12"/>
  <c r="D16" s="1"/>
  <c r="C4"/>
  <c r="C12"/>
  <c r="C16"/>
  <c r="B4"/>
  <c r="N13" s="1"/>
  <c r="N9" i="8"/>
  <c r="M9"/>
  <c r="L9"/>
  <c r="K9"/>
  <c r="J9"/>
  <c r="I9"/>
  <c r="H9"/>
  <c r="N6"/>
  <c r="M6"/>
  <c r="L6"/>
  <c r="K6"/>
  <c r="J6"/>
  <c r="I6"/>
  <c r="H6"/>
  <c r="G6"/>
  <c r="F6"/>
  <c r="C3"/>
  <c r="D3" s="1"/>
  <c r="E3" s="1"/>
  <c r="F3" s="1"/>
  <c r="G3" s="1"/>
  <c r="H3" s="1"/>
  <c r="I3" s="1"/>
  <c r="J3" s="1"/>
  <c r="K3" s="1"/>
  <c r="L3" s="1"/>
  <c r="M3" s="1"/>
  <c r="N3" s="1"/>
  <c r="B4"/>
  <c r="B12" s="1"/>
  <c r="B16" s="1"/>
  <c r="C4"/>
  <c r="D4"/>
  <c r="H8"/>
  <c r="I8"/>
  <c r="J8"/>
  <c r="K8"/>
  <c r="L8"/>
  <c r="M8"/>
  <c r="N8"/>
  <c r="G9"/>
  <c r="C12"/>
  <c r="D12"/>
  <c r="D16" s="1"/>
  <c r="E13"/>
  <c r="G13"/>
  <c r="H13"/>
  <c r="I13"/>
  <c r="K13"/>
  <c r="L13"/>
  <c r="M13"/>
  <c r="C16"/>
  <c r="D28"/>
  <c r="D29"/>
  <c r="L10" s="1"/>
  <c r="C3" i="7"/>
  <c r="D3" s="1"/>
  <c r="E3" s="1"/>
  <c r="F3" s="1"/>
  <c r="G3" s="1"/>
  <c r="H3" s="1"/>
  <c r="I3" s="1"/>
  <c r="J3" s="1"/>
  <c r="K3" s="1"/>
  <c r="L3" s="1"/>
  <c r="M3" s="1"/>
  <c r="N3" s="1"/>
  <c r="D28"/>
  <c r="K10" s="1"/>
  <c r="K7" s="1"/>
  <c r="D29"/>
  <c r="C3" i="5"/>
  <c r="D3" s="1"/>
  <c r="E3" s="1"/>
  <c r="F3" s="1"/>
  <c r="G3" s="1"/>
  <c r="H3" s="1"/>
  <c r="I3" s="1"/>
  <c r="J3" s="1"/>
  <c r="K3" s="1"/>
  <c r="L3" s="1"/>
  <c r="M3" s="1"/>
  <c r="N3" s="1"/>
  <c r="D28"/>
  <c r="M10" s="1"/>
  <c r="D29"/>
  <c r="K10" i="8"/>
  <c r="K7" s="1"/>
  <c r="F13" i="5"/>
  <c r="J13"/>
  <c r="N13"/>
  <c r="E13"/>
  <c r="I13"/>
  <c r="B12"/>
  <c r="B16"/>
  <c r="H13"/>
  <c r="F6" i="7"/>
  <c r="E6"/>
  <c r="E14" s="1"/>
  <c r="E9"/>
  <c r="H10"/>
  <c r="H7" s="1"/>
  <c r="J10"/>
  <c r="J7" s="1"/>
  <c r="J5" s="1"/>
  <c r="J12" s="1"/>
  <c r="I10"/>
  <c r="L10"/>
  <c r="L7" s="1"/>
  <c r="L5" s="1"/>
  <c r="L12" s="1"/>
  <c r="I7"/>
  <c r="I5" s="1"/>
  <c r="I12" s="1"/>
  <c r="G10"/>
  <c r="E13"/>
  <c r="I13"/>
  <c r="M13"/>
  <c r="H13"/>
  <c r="L13"/>
  <c r="K13"/>
  <c r="F13"/>
  <c r="J13"/>
  <c r="E6" i="8"/>
  <c r="F10" i="7"/>
  <c r="E10"/>
  <c r="E7" s="1"/>
  <c r="E5" s="1"/>
  <c r="B18" i="4"/>
  <c r="G7" i="8" l="1"/>
  <c r="L7"/>
  <c r="L14" i="7"/>
  <c r="I14" i="5"/>
  <c r="J7"/>
  <c r="K5" i="7"/>
  <c r="K12" s="1"/>
  <c r="K16" s="1"/>
  <c r="K14"/>
  <c r="E12"/>
  <c r="E16" s="1"/>
  <c r="H5"/>
  <c r="H12" s="1"/>
  <c r="H16" s="1"/>
  <c r="H14"/>
  <c r="L16"/>
  <c r="G14"/>
  <c r="I16"/>
  <c r="K14" i="8"/>
  <c r="J14" i="7"/>
  <c r="J16" s="1"/>
  <c r="N10" i="8"/>
  <c r="N7" s="1"/>
  <c r="M10"/>
  <c r="M7" s="1"/>
  <c r="M5" s="1"/>
  <c r="M12" s="1"/>
  <c r="G10"/>
  <c r="E9"/>
  <c r="H10" i="5"/>
  <c r="H7" s="1"/>
  <c r="L10"/>
  <c r="L7" s="1"/>
  <c r="G10"/>
  <c r="K10"/>
  <c r="K7" s="1"/>
  <c r="I10" i="8"/>
  <c r="I7" s="1"/>
  <c r="H10"/>
  <c r="H7" s="1"/>
  <c r="F9"/>
  <c r="F9" i="7"/>
  <c r="F7" s="1"/>
  <c r="J10" i="5"/>
  <c r="N10"/>
  <c r="N7" s="1"/>
  <c r="N14" s="1"/>
  <c r="G13" i="7"/>
  <c r="B12"/>
  <c r="B16" s="1"/>
  <c r="M10"/>
  <c r="M7" s="1"/>
  <c r="N10"/>
  <c r="N7" s="1"/>
  <c r="N14" s="1"/>
  <c r="G13" i="5"/>
  <c r="M13"/>
  <c r="M14" s="1"/>
  <c r="F6"/>
  <c r="J10" i="8"/>
  <c r="J7" s="1"/>
  <c r="N13"/>
  <c r="J13"/>
  <c r="F13"/>
  <c r="E6" i="5"/>
  <c r="I10"/>
  <c r="I7" s="1"/>
  <c r="I5" s="1"/>
  <c r="I12" s="1"/>
  <c r="I5" i="8" l="1"/>
  <c r="I12" s="1"/>
  <c r="I14"/>
  <c r="H14"/>
  <c r="H5"/>
  <c r="H12" s="1"/>
  <c r="H16" s="1"/>
  <c r="L5" i="5"/>
  <c r="L12" s="1"/>
  <c r="L16" s="1"/>
  <c r="M5"/>
  <c r="M12" s="1"/>
  <c r="M16" s="1"/>
  <c r="L14"/>
  <c r="K5"/>
  <c r="K12" s="1"/>
  <c r="K16" s="1"/>
  <c r="K14"/>
  <c r="J5" i="8"/>
  <c r="J12" s="1"/>
  <c r="J16" s="1"/>
  <c r="J14"/>
  <c r="J5" i="5"/>
  <c r="J12" s="1"/>
  <c r="J16" s="1"/>
  <c r="J14"/>
  <c r="E10"/>
  <c r="E7" s="1"/>
  <c r="E5" s="1"/>
  <c r="F10"/>
  <c r="F7" s="1"/>
  <c r="G7"/>
  <c r="F10" i="8"/>
  <c r="E10"/>
  <c r="L5"/>
  <c r="L12" s="1"/>
  <c r="L14"/>
  <c r="M16"/>
  <c r="I16" i="5"/>
  <c r="F7" i="8"/>
  <c r="F5" i="7"/>
  <c r="F14"/>
  <c r="G14" i="8"/>
  <c r="M5" i="7"/>
  <c r="M12" s="1"/>
  <c r="M14"/>
  <c r="E7" i="8"/>
  <c r="F14" i="5"/>
  <c r="H5"/>
  <c r="H12" s="1"/>
  <c r="N14" i="8"/>
  <c r="G5" i="7"/>
  <c r="G12" s="1"/>
  <c r="G16" s="1"/>
  <c r="K5" i="8"/>
  <c r="K12" s="1"/>
  <c r="K16" s="1"/>
  <c r="H14" i="5"/>
  <c r="M14" i="8"/>
  <c r="E5" l="1"/>
  <c r="E14"/>
  <c r="F14"/>
  <c r="F5"/>
  <c r="F12" s="1"/>
  <c r="F16" s="1"/>
  <c r="G5" i="5"/>
  <c r="G12" s="1"/>
  <c r="G14"/>
  <c r="F12" i="7"/>
  <c r="F16" s="1"/>
  <c r="N5"/>
  <c r="N12" s="1"/>
  <c r="N16" s="1"/>
  <c r="M16"/>
  <c r="E14" i="5"/>
  <c r="I16" i="8"/>
  <c r="N5" i="5"/>
  <c r="N12" s="1"/>
  <c r="N16" s="1"/>
  <c r="E12"/>
  <c r="H16"/>
  <c r="G5" i="8"/>
  <c r="G12" s="1"/>
  <c r="G16" s="1"/>
  <c r="L16"/>
  <c r="F5" i="5"/>
  <c r="F12" s="1"/>
  <c r="F16" s="1"/>
  <c r="E12" i="8" l="1"/>
  <c r="E16" s="1"/>
  <c r="N5"/>
  <c r="N12" s="1"/>
  <c r="N16" s="1"/>
  <c r="E16" i="5"/>
  <c r="B18" s="1"/>
  <c r="G21" i="7" s="1"/>
  <c r="G16" i="5"/>
  <c r="B18" i="7"/>
  <c r="G20" s="1"/>
  <c r="B18" i="8" l="1"/>
  <c r="G22" i="7" s="1"/>
  <c r="J19" i="8" s="1"/>
</calcChain>
</file>

<file path=xl/sharedStrings.xml><?xml version="1.0" encoding="utf-8"?>
<sst xmlns="http://schemas.openxmlformats.org/spreadsheetml/2006/main" count="95" uniqueCount="28">
  <si>
    <t>Estudio de la rentabilidad: Planta ABC. SA</t>
  </si>
  <si>
    <t>Inversión</t>
  </si>
  <si>
    <t>Ingresos por venta</t>
  </si>
  <si>
    <t>Costes fijos</t>
  </si>
  <si>
    <t>Materias primas</t>
  </si>
  <si>
    <t>Amortización</t>
  </si>
  <si>
    <t>Impuestos</t>
  </si>
  <si>
    <t>Datos Proyecto</t>
  </si>
  <si>
    <t>Inversión total</t>
  </si>
  <si>
    <t>Urea</t>
  </si>
  <si>
    <t>Gas natural</t>
  </si>
  <si>
    <t>Amoníaco</t>
  </si>
  <si>
    <t>Capital circulante</t>
  </si>
  <si>
    <t>Flujo de Caja Bruto</t>
  </si>
  <si>
    <t>Flujo de Caja Neto</t>
  </si>
  <si>
    <t>Precios y costes</t>
  </si>
  <si>
    <t>Concepto (datos en miles de Euros)</t>
  </si>
  <si>
    <t>Costes operación</t>
  </si>
  <si>
    <t>Electricidad</t>
  </si>
  <si>
    <t>Catalizador</t>
  </si>
  <si>
    <t>Costes totales</t>
  </si>
  <si>
    <t xml:space="preserve">TIR Proyecto: </t>
  </si>
  <si>
    <t>Tipo impositivo</t>
  </si>
  <si>
    <t>TIR</t>
  </si>
  <si>
    <t>Coef. Sensibilidad</t>
  </si>
  <si>
    <t>Ojo. Cambiados precios de base amoniaco y urea</t>
  </si>
  <si>
    <t>Estudio de la rentabilidad: Planta ABC. SA CASO BASE</t>
  </si>
  <si>
    <t>Estudio de la rentabilidad: Planta ABC. SA Caso 2 IMPUESTOS 30%</t>
  </si>
</sst>
</file>

<file path=xl/styles.xml><?xml version="1.0" encoding="utf-8"?>
<styleSheet xmlns="http://schemas.openxmlformats.org/spreadsheetml/2006/main">
  <numFmts count="1">
    <numFmt numFmtId="164" formatCode="0.0%"/>
  </numFmts>
  <fonts count="15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indexed="13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</font>
    <font>
      <b/>
      <sz val="14"/>
      <color rgb="FF002060"/>
      <name val="Arial"/>
      <family val="2"/>
    </font>
    <font>
      <sz val="14"/>
      <color rgb="FF002060"/>
      <name val="Arial"/>
      <family val="2"/>
    </font>
    <font>
      <b/>
      <sz val="14"/>
      <color rgb="FF0000CC"/>
      <name val="Arial"/>
      <family val="2"/>
    </font>
    <font>
      <b/>
      <sz val="12"/>
      <color rgb="FF0000CC"/>
      <name val="Arial"/>
      <family val="2"/>
    </font>
    <font>
      <sz val="14"/>
      <color rgb="FF0000CC"/>
      <name val="Arial"/>
      <family val="2"/>
    </font>
    <font>
      <b/>
      <sz val="10"/>
      <color rgb="FF0000CC"/>
      <name val="Arial"/>
      <family val="2"/>
    </font>
    <font>
      <sz val="10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justify"/>
    </xf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3" fontId="0" fillId="0" borderId="0" xfId="0" applyNumberFormat="1" applyFill="1" applyBorder="1"/>
    <xf numFmtId="0" fontId="1" fillId="0" borderId="0" xfId="0" applyFont="1" applyBorder="1" applyAlignment="1">
      <alignment horizontal="justify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/>
    <xf numFmtId="0" fontId="2" fillId="5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/>
    </xf>
    <xf numFmtId="3" fontId="9" fillId="0" borderId="6" xfId="0" applyNumberFormat="1" applyFont="1" applyFill="1" applyBorder="1"/>
    <xf numFmtId="3" fontId="9" fillId="0" borderId="7" xfId="0" applyNumberFormat="1" applyFont="1" applyFill="1" applyBorder="1"/>
    <xf numFmtId="3" fontId="9" fillId="0" borderId="8" xfId="0" applyNumberFormat="1" applyFont="1" applyFill="1" applyBorder="1"/>
    <xf numFmtId="0" fontId="8" fillId="2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3" fontId="9" fillId="0" borderId="11" xfId="0" applyNumberFormat="1" applyFont="1" applyFill="1" applyBorder="1"/>
    <xf numFmtId="3" fontId="9" fillId="0" borderId="12" xfId="0" applyNumberFormat="1" applyFont="1" applyFill="1" applyBorder="1"/>
    <xf numFmtId="0" fontId="8" fillId="2" borderId="13" xfId="0" applyFont="1" applyFill="1" applyBorder="1" applyAlignment="1">
      <alignment horizontal="center"/>
    </xf>
    <xf numFmtId="3" fontId="9" fillId="0" borderId="14" xfId="0" applyNumberFormat="1" applyFont="1" applyFill="1" applyBorder="1"/>
    <xf numFmtId="3" fontId="9" fillId="0" borderId="15" xfId="0" applyNumberFormat="1" applyFont="1" applyFill="1" applyBorder="1"/>
    <xf numFmtId="3" fontId="9" fillId="0" borderId="16" xfId="0" applyNumberFormat="1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7" xfId="0" applyNumberFormat="1" applyFont="1" applyFill="1" applyBorder="1"/>
    <xf numFmtId="3" fontId="8" fillId="2" borderId="3" xfId="0" applyNumberFormat="1" applyFont="1" applyFill="1" applyBorder="1"/>
    <xf numFmtId="3" fontId="8" fillId="2" borderId="4" xfId="0" applyNumberFormat="1" applyFont="1" applyFill="1" applyBorder="1"/>
    <xf numFmtId="3" fontId="9" fillId="0" borderId="18" xfId="0" applyNumberFormat="1" applyFont="1" applyFill="1" applyBorder="1"/>
    <xf numFmtId="3" fontId="9" fillId="0" borderId="19" xfId="0" applyNumberFormat="1" applyFont="1" applyFill="1" applyBorder="1"/>
    <xf numFmtId="3" fontId="9" fillId="0" borderId="20" xfId="0" applyNumberFormat="1" applyFont="1" applyFill="1" applyBorder="1"/>
    <xf numFmtId="0" fontId="10" fillId="4" borderId="21" xfId="0" applyFont="1" applyFill="1" applyBorder="1" applyAlignment="1">
      <alignment horizontal="center"/>
    </xf>
    <xf numFmtId="164" fontId="10" fillId="4" borderId="22" xfId="0" applyNumberFormat="1" applyFont="1" applyFill="1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12" fillId="0" borderId="6" xfId="0" applyNumberFormat="1" applyFont="1" applyFill="1" applyBorder="1"/>
    <xf numFmtId="3" fontId="12" fillId="0" borderId="7" xfId="0" applyNumberFormat="1" applyFont="1" applyFill="1" applyBorder="1"/>
    <xf numFmtId="3" fontId="12" fillId="0" borderId="8" xfId="0" applyNumberFormat="1" applyFont="1" applyFill="1" applyBorder="1"/>
    <xf numFmtId="3" fontId="12" fillId="0" borderId="10" xfId="0" applyNumberFormat="1" applyFont="1" applyFill="1" applyBorder="1"/>
    <xf numFmtId="3" fontId="12" fillId="0" borderId="11" xfId="0" applyNumberFormat="1" applyFont="1" applyFill="1" applyBorder="1"/>
    <xf numFmtId="3" fontId="12" fillId="0" borderId="12" xfId="0" applyNumberFormat="1" applyFont="1" applyFill="1" applyBorder="1"/>
    <xf numFmtId="3" fontId="12" fillId="0" borderId="14" xfId="0" applyNumberFormat="1" applyFont="1" applyFill="1" applyBorder="1"/>
    <xf numFmtId="3" fontId="12" fillId="0" borderId="15" xfId="0" applyNumberFormat="1" applyFont="1" applyFill="1" applyBorder="1"/>
    <xf numFmtId="3" fontId="12" fillId="0" borderId="16" xfId="0" applyNumberFormat="1" applyFont="1" applyFill="1" applyBorder="1"/>
    <xf numFmtId="3" fontId="10" fillId="2" borderId="17" xfId="0" applyNumberFormat="1" applyFont="1" applyFill="1" applyBorder="1"/>
    <xf numFmtId="3" fontId="10" fillId="2" borderId="3" xfId="0" applyNumberFormat="1" applyFont="1" applyFill="1" applyBorder="1"/>
    <xf numFmtId="3" fontId="10" fillId="2" borderId="4" xfId="0" applyNumberFormat="1" applyFont="1" applyFill="1" applyBorder="1"/>
    <xf numFmtId="3" fontId="12" fillId="0" borderId="18" xfId="0" applyNumberFormat="1" applyFont="1" applyFill="1" applyBorder="1"/>
    <xf numFmtId="3" fontId="12" fillId="0" borderId="19" xfId="0" applyNumberFormat="1" applyFont="1" applyFill="1" applyBorder="1"/>
    <xf numFmtId="3" fontId="12" fillId="0" borderId="20" xfId="0" applyNumberFormat="1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164" fontId="11" fillId="0" borderId="24" xfId="0" applyNumberFormat="1" applyFont="1" applyBorder="1" applyAlignment="1">
      <alignment horizontal="center" vertical="center"/>
    </xf>
    <xf numFmtId="164" fontId="11" fillId="0" borderId="25" xfId="0" applyNumberFormat="1" applyFont="1" applyBorder="1" applyAlignment="1">
      <alignment horizontal="center" vertical="center"/>
    </xf>
    <xf numFmtId="164" fontId="11" fillId="0" borderId="26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/>
    <xf numFmtId="0" fontId="13" fillId="0" borderId="0" xfId="0" applyFont="1"/>
    <xf numFmtId="0" fontId="14" fillId="0" borderId="0" xfId="0" applyFont="1"/>
    <xf numFmtId="0" fontId="13" fillId="5" borderId="0" xfId="0" applyFont="1" applyFill="1"/>
    <xf numFmtId="0" fontId="14" fillId="5" borderId="0" xfId="0" applyFont="1" applyFill="1"/>
    <xf numFmtId="0" fontId="10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opLeftCell="A7" workbookViewId="0">
      <selection activeCell="B28" sqref="B28"/>
    </sheetView>
  </sheetViews>
  <sheetFormatPr baseColWidth="10" defaultRowHeight="12.75"/>
  <cols>
    <col min="1" max="1" width="29.42578125" customWidth="1"/>
    <col min="2" max="4" width="12.28515625" bestFit="1" customWidth="1"/>
    <col min="9" max="9" width="12.85546875" customWidth="1"/>
  </cols>
  <sheetData>
    <row r="1" spans="1:14" ht="20.25">
      <c r="A1" s="78" t="s">
        <v>0</v>
      </c>
      <c r="B1" s="79"/>
      <c r="C1" s="79"/>
      <c r="D1" s="79"/>
      <c r="E1" s="79"/>
      <c r="F1" s="79"/>
      <c r="G1" s="79"/>
      <c r="H1" s="80"/>
      <c r="I1" s="80"/>
      <c r="J1" s="80"/>
      <c r="K1" s="80"/>
      <c r="L1" s="80"/>
      <c r="M1" s="80"/>
      <c r="N1" s="80"/>
    </row>
    <row r="2" spans="1:14" ht="13.5" thickBot="1"/>
    <row r="3" spans="1:14" s="4" customFormat="1" ht="36.75" thickBot="1">
      <c r="A3" s="12" t="s">
        <v>16</v>
      </c>
      <c r="B3" s="13">
        <v>1</v>
      </c>
      <c r="C3" s="14">
        <f t="shared" ref="C3:N3" si="0">B3+1</f>
        <v>2</v>
      </c>
      <c r="D3" s="14">
        <f t="shared" si="0"/>
        <v>3</v>
      </c>
      <c r="E3" s="14">
        <f t="shared" si="0"/>
        <v>4</v>
      </c>
      <c r="F3" s="14">
        <f t="shared" si="0"/>
        <v>5</v>
      </c>
      <c r="G3" s="14">
        <f t="shared" si="0"/>
        <v>6</v>
      </c>
      <c r="H3" s="14">
        <f t="shared" si="0"/>
        <v>7</v>
      </c>
      <c r="I3" s="14">
        <f t="shared" si="0"/>
        <v>8</v>
      </c>
      <c r="J3" s="14">
        <f t="shared" si="0"/>
        <v>9</v>
      </c>
      <c r="K3" s="14">
        <f t="shared" si="0"/>
        <v>10</v>
      </c>
      <c r="L3" s="14">
        <f t="shared" si="0"/>
        <v>11</v>
      </c>
      <c r="M3" s="14">
        <f t="shared" si="0"/>
        <v>12</v>
      </c>
      <c r="N3" s="15">
        <f t="shared" si="0"/>
        <v>13</v>
      </c>
    </row>
    <row r="4" spans="1:14" ht="18">
      <c r="A4" s="16" t="s">
        <v>1</v>
      </c>
      <c r="B4" s="17">
        <f>-0.2*$B$20</f>
        <v>-28000</v>
      </c>
      <c r="C4" s="18">
        <f>-0.5*$B$20</f>
        <v>-70000</v>
      </c>
      <c r="D4" s="18">
        <f>-0.3*$B$20</f>
        <v>-42000</v>
      </c>
      <c r="E4" s="18"/>
      <c r="F4" s="18"/>
      <c r="G4" s="18"/>
      <c r="H4" s="18"/>
      <c r="I4" s="18"/>
      <c r="J4" s="18"/>
      <c r="K4" s="18"/>
      <c r="L4" s="18"/>
      <c r="M4" s="18"/>
      <c r="N4" s="19"/>
    </row>
    <row r="5" spans="1:14" ht="18">
      <c r="A5" s="20" t="s">
        <v>12</v>
      </c>
      <c r="B5" s="21"/>
      <c r="C5" s="22"/>
      <c r="D5" s="22"/>
      <c r="E5" s="22">
        <f>-E7*(3/12)</f>
        <v>-4669.72</v>
      </c>
      <c r="F5" s="22">
        <f>-F7*(3/12)+E7*(3/12)</f>
        <v>-931.94399999999951</v>
      </c>
      <c r="G5" s="22">
        <f>-G7*(3/12)+F7*(3/12)</f>
        <v>-621.29600000000028</v>
      </c>
      <c r="H5" s="22">
        <f t="shared" ref="H5:M5" si="1">-H7*(3/12)+G7*(3/12)</f>
        <v>-1244.5919999999996</v>
      </c>
      <c r="I5" s="22">
        <f t="shared" si="1"/>
        <v>0</v>
      </c>
      <c r="J5" s="22">
        <f t="shared" si="1"/>
        <v>0</v>
      </c>
      <c r="K5" s="22">
        <f t="shared" si="1"/>
        <v>0</v>
      </c>
      <c r="L5" s="22">
        <f t="shared" si="1"/>
        <v>0</v>
      </c>
      <c r="M5" s="22">
        <f t="shared" si="1"/>
        <v>0</v>
      </c>
      <c r="N5" s="23">
        <f>SUM(E5:M5)*-1</f>
        <v>7467.5519999999997</v>
      </c>
    </row>
    <row r="6" spans="1:14" ht="18">
      <c r="A6" s="20" t="s">
        <v>2</v>
      </c>
      <c r="B6" s="21"/>
      <c r="C6" s="22"/>
      <c r="D6" s="22"/>
      <c r="E6" s="22">
        <f>0.75*G6</f>
        <v>58500</v>
      </c>
      <c r="F6" s="22">
        <f>0.9*G6</f>
        <v>70200</v>
      </c>
      <c r="G6" s="22">
        <f>($B$21*$B$25+$B$22*$B$26)</f>
        <v>78000</v>
      </c>
      <c r="H6" s="22">
        <f>($B$21*$B$25+$B$22*$B$26)</f>
        <v>78000</v>
      </c>
      <c r="I6" s="22">
        <f t="shared" ref="I6:N6" si="2">1.05*($B$21*$B$25+$B$22*$B$26)</f>
        <v>81900</v>
      </c>
      <c r="J6" s="22">
        <f t="shared" si="2"/>
        <v>81900</v>
      </c>
      <c r="K6" s="22">
        <f t="shared" si="2"/>
        <v>81900</v>
      </c>
      <c r="L6" s="22">
        <f t="shared" si="2"/>
        <v>81900</v>
      </c>
      <c r="M6" s="22">
        <f t="shared" si="2"/>
        <v>81900</v>
      </c>
      <c r="N6" s="23">
        <f t="shared" si="2"/>
        <v>81900</v>
      </c>
    </row>
    <row r="7" spans="1:14" ht="18">
      <c r="A7" s="20" t="s">
        <v>20</v>
      </c>
      <c r="B7" s="21"/>
      <c r="C7" s="22"/>
      <c r="D7" s="22"/>
      <c r="E7" s="22">
        <f t="shared" ref="E7:N7" si="3">SUM(E8:E10)</f>
        <v>18678.88</v>
      </c>
      <c r="F7" s="22">
        <f t="shared" si="3"/>
        <v>22406.655999999999</v>
      </c>
      <c r="G7" s="22">
        <f t="shared" si="3"/>
        <v>24891.84</v>
      </c>
      <c r="H7" s="22">
        <f t="shared" si="3"/>
        <v>29870.207999999999</v>
      </c>
      <c r="I7" s="22">
        <f t="shared" si="3"/>
        <v>29870.207999999999</v>
      </c>
      <c r="J7" s="22">
        <f t="shared" si="3"/>
        <v>29870.207999999999</v>
      </c>
      <c r="K7" s="22">
        <f t="shared" si="3"/>
        <v>29870.207999999999</v>
      </c>
      <c r="L7" s="22">
        <f t="shared" si="3"/>
        <v>29870.207999999999</v>
      </c>
      <c r="M7" s="22">
        <f t="shared" si="3"/>
        <v>29870.207999999999</v>
      </c>
      <c r="N7" s="23">
        <f t="shared" si="3"/>
        <v>29870.207999999999</v>
      </c>
    </row>
    <row r="8" spans="1:14" ht="18">
      <c r="A8" s="20" t="s">
        <v>3</v>
      </c>
      <c r="B8" s="21"/>
      <c r="C8" s="22"/>
      <c r="D8" s="22"/>
      <c r="E8" s="22">
        <v>40</v>
      </c>
      <c r="F8" s="22">
        <v>40</v>
      </c>
      <c r="G8" s="22">
        <v>40</v>
      </c>
      <c r="H8" s="22">
        <f t="shared" ref="H8:N8" si="4">$G$8*1.2</f>
        <v>48</v>
      </c>
      <c r="I8" s="22">
        <f t="shared" si="4"/>
        <v>48</v>
      </c>
      <c r="J8" s="22">
        <f t="shared" si="4"/>
        <v>48</v>
      </c>
      <c r="K8" s="22">
        <f t="shared" si="4"/>
        <v>48</v>
      </c>
      <c r="L8" s="22">
        <f t="shared" si="4"/>
        <v>48</v>
      </c>
      <c r="M8" s="22">
        <f t="shared" si="4"/>
        <v>48</v>
      </c>
      <c r="N8" s="23">
        <f t="shared" si="4"/>
        <v>48</v>
      </c>
    </row>
    <row r="9" spans="1:14" ht="18">
      <c r="A9" s="20" t="s">
        <v>4</v>
      </c>
      <c r="B9" s="21"/>
      <c r="C9" s="22"/>
      <c r="D9" s="22"/>
      <c r="E9" s="22">
        <f>0.75*G9</f>
        <v>18450</v>
      </c>
      <c r="F9" s="22">
        <f>0.9*G9</f>
        <v>22140</v>
      </c>
      <c r="G9" s="22">
        <f>($B$23*$B$27)</f>
        <v>24600</v>
      </c>
      <c r="H9" s="22">
        <f>1.2*($B$23*$B$27)</f>
        <v>29520</v>
      </c>
      <c r="I9" s="22">
        <f t="shared" ref="I9:N9" si="5">1.2*($B$23*$B$27)</f>
        <v>29520</v>
      </c>
      <c r="J9" s="22">
        <f t="shared" si="5"/>
        <v>29520</v>
      </c>
      <c r="K9" s="22">
        <f t="shared" si="5"/>
        <v>29520</v>
      </c>
      <c r="L9" s="22">
        <f t="shared" si="5"/>
        <v>29520</v>
      </c>
      <c r="M9" s="22">
        <f t="shared" si="5"/>
        <v>29520</v>
      </c>
      <c r="N9" s="23">
        <f t="shared" si="5"/>
        <v>29520</v>
      </c>
    </row>
    <row r="10" spans="1:14" ht="18">
      <c r="A10" s="20" t="s">
        <v>17</v>
      </c>
      <c r="B10" s="21"/>
      <c r="C10" s="22"/>
      <c r="D10" s="22"/>
      <c r="E10" s="22">
        <f>0.75*G10</f>
        <v>188.88</v>
      </c>
      <c r="F10" s="22">
        <f>0.9*G10</f>
        <v>226.65600000000001</v>
      </c>
      <c r="G10" s="22">
        <f>$D$28+$D$29</f>
        <v>251.84</v>
      </c>
      <c r="H10" s="22">
        <f t="shared" ref="H10:N10" si="6">($D$28+$D$29)*1.2</f>
        <v>302.20799999999997</v>
      </c>
      <c r="I10" s="22">
        <f t="shared" si="6"/>
        <v>302.20799999999997</v>
      </c>
      <c r="J10" s="22">
        <f t="shared" si="6"/>
        <v>302.20799999999997</v>
      </c>
      <c r="K10" s="22">
        <f t="shared" si="6"/>
        <v>302.20799999999997</v>
      </c>
      <c r="L10" s="22">
        <f t="shared" si="6"/>
        <v>302.20799999999997</v>
      </c>
      <c r="M10" s="22">
        <f t="shared" si="6"/>
        <v>302.20799999999997</v>
      </c>
      <c r="N10" s="23">
        <f t="shared" si="6"/>
        <v>302.20799999999997</v>
      </c>
    </row>
    <row r="11" spans="1:14" ht="18.75" thickBot="1">
      <c r="A11" s="24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7"/>
    </row>
    <row r="12" spans="1:14" s="1" customFormat="1" ht="18.75" thickBot="1">
      <c r="A12" s="28" t="s">
        <v>13</v>
      </c>
      <c r="B12" s="29">
        <f t="shared" ref="B12:N12" si="7">SUM(B4+B5+B6-B7)</f>
        <v>-28000</v>
      </c>
      <c r="C12" s="30">
        <f t="shared" si="7"/>
        <v>-70000</v>
      </c>
      <c r="D12" s="30">
        <f t="shared" si="7"/>
        <v>-42000</v>
      </c>
      <c r="E12" s="30">
        <f t="shared" si="7"/>
        <v>35151.399999999994</v>
      </c>
      <c r="F12" s="30">
        <f t="shared" si="7"/>
        <v>46861.399999999994</v>
      </c>
      <c r="G12" s="30">
        <f t="shared" si="7"/>
        <v>52486.864000000001</v>
      </c>
      <c r="H12" s="30">
        <f t="shared" si="7"/>
        <v>46885.2</v>
      </c>
      <c r="I12" s="30">
        <f t="shared" si="7"/>
        <v>52029.792000000001</v>
      </c>
      <c r="J12" s="30">
        <f t="shared" si="7"/>
        <v>52029.792000000001</v>
      </c>
      <c r="K12" s="30">
        <f t="shared" si="7"/>
        <v>52029.792000000001</v>
      </c>
      <c r="L12" s="30">
        <f t="shared" si="7"/>
        <v>52029.792000000001</v>
      </c>
      <c r="M12" s="30">
        <f t="shared" si="7"/>
        <v>52029.792000000001</v>
      </c>
      <c r="N12" s="31">
        <f t="shared" si="7"/>
        <v>59497.343999999997</v>
      </c>
    </row>
    <row r="13" spans="1:14" ht="18">
      <c r="A13" s="16" t="s">
        <v>5</v>
      </c>
      <c r="B13" s="32"/>
      <c r="C13" s="33"/>
      <c r="D13" s="33"/>
      <c r="E13" s="33">
        <f t="shared" ref="E13:N13" si="8">-SUM($B$4:$D$4)/10</f>
        <v>14000</v>
      </c>
      <c r="F13" s="33">
        <f t="shared" si="8"/>
        <v>14000</v>
      </c>
      <c r="G13" s="33">
        <f t="shared" si="8"/>
        <v>14000</v>
      </c>
      <c r="H13" s="33">
        <f t="shared" si="8"/>
        <v>14000</v>
      </c>
      <c r="I13" s="33">
        <f t="shared" si="8"/>
        <v>14000</v>
      </c>
      <c r="J13" s="33">
        <f t="shared" si="8"/>
        <v>14000</v>
      </c>
      <c r="K13" s="33">
        <f t="shared" si="8"/>
        <v>14000</v>
      </c>
      <c r="L13" s="33">
        <f t="shared" si="8"/>
        <v>14000</v>
      </c>
      <c r="M13" s="33">
        <f t="shared" si="8"/>
        <v>14000</v>
      </c>
      <c r="N13" s="34">
        <f t="shared" si="8"/>
        <v>14000</v>
      </c>
    </row>
    <row r="14" spans="1:14" ht="18">
      <c r="A14" s="20" t="s">
        <v>6</v>
      </c>
      <c r="B14" s="21"/>
      <c r="C14" s="22"/>
      <c r="D14" s="22"/>
      <c r="E14" s="22">
        <f>0.1*(E6-E7-E13)</f>
        <v>2582.1119999999996</v>
      </c>
      <c r="F14" s="22">
        <f t="shared" ref="F14:N14" si="9">0.1*(F6-F7-F13)</f>
        <v>3379.3343999999997</v>
      </c>
      <c r="G14" s="22">
        <f t="shared" si="9"/>
        <v>3910.8160000000007</v>
      </c>
      <c r="H14" s="22">
        <f t="shared" si="9"/>
        <v>3412.9792000000002</v>
      </c>
      <c r="I14" s="22">
        <f t="shared" si="9"/>
        <v>3802.9792000000002</v>
      </c>
      <c r="J14" s="22">
        <f t="shared" si="9"/>
        <v>3802.9792000000002</v>
      </c>
      <c r="K14" s="22">
        <f t="shared" si="9"/>
        <v>3802.9792000000002</v>
      </c>
      <c r="L14" s="22">
        <f t="shared" si="9"/>
        <v>3802.9792000000002</v>
      </c>
      <c r="M14" s="22">
        <f t="shared" si="9"/>
        <v>3802.9792000000002</v>
      </c>
      <c r="N14" s="23">
        <f t="shared" si="9"/>
        <v>3802.9792000000002</v>
      </c>
    </row>
    <row r="15" spans="1:14" ht="18.75" thickBot="1">
      <c r="A15" s="24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</row>
    <row r="16" spans="1:14" s="1" customFormat="1" ht="18.75" thickBot="1">
      <c r="A16" s="28" t="s">
        <v>14</v>
      </c>
      <c r="B16" s="29">
        <f t="shared" ref="B16:N16" si="10">B12-B14</f>
        <v>-28000</v>
      </c>
      <c r="C16" s="30">
        <f t="shared" si="10"/>
        <v>-70000</v>
      </c>
      <c r="D16" s="30">
        <f t="shared" si="10"/>
        <v>-42000</v>
      </c>
      <c r="E16" s="30">
        <f t="shared" si="10"/>
        <v>32569.287999999993</v>
      </c>
      <c r="F16" s="30">
        <f t="shared" si="10"/>
        <v>43482.065599999994</v>
      </c>
      <c r="G16" s="30">
        <f t="shared" si="10"/>
        <v>48576.048000000003</v>
      </c>
      <c r="H16" s="30">
        <f t="shared" si="10"/>
        <v>43472.220799999996</v>
      </c>
      <c r="I16" s="30">
        <f t="shared" si="10"/>
        <v>48226.8128</v>
      </c>
      <c r="J16" s="30">
        <f t="shared" si="10"/>
        <v>48226.8128</v>
      </c>
      <c r="K16" s="30">
        <f t="shared" si="10"/>
        <v>48226.8128</v>
      </c>
      <c r="L16" s="30">
        <f t="shared" si="10"/>
        <v>48226.8128</v>
      </c>
      <c r="M16" s="30">
        <f t="shared" si="10"/>
        <v>48226.8128</v>
      </c>
      <c r="N16" s="31">
        <f t="shared" si="10"/>
        <v>55694.364799999996</v>
      </c>
    </row>
    <row r="17" spans="1:10" ht="13.5" thickBot="1"/>
    <row r="18" spans="1:10" ht="18.75" thickBot="1">
      <c r="A18" s="35" t="s">
        <v>21</v>
      </c>
      <c r="B18" s="36">
        <f>IRR(B16:N16)</f>
        <v>0.22434040872510433</v>
      </c>
    </row>
    <row r="19" spans="1:10" ht="25.5">
      <c r="A19" s="11" t="s">
        <v>7</v>
      </c>
      <c r="B19" s="11"/>
      <c r="C19" s="1"/>
      <c r="D19" s="1"/>
      <c r="I19" s="8" t="s">
        <v>24</v>
      </c>
      <c r="J19" s="9">
        <f>('CASO ABC CASO BASE'!G20-'CASO ABC CASO BASE'!G22)/('CASO ABC CASO BASE'!F22-'CASO ABC CASO BASE'!F20)</f>
        <v>-1.9580558491587349E-3</v>
      </c>
    </row>
    <row r="20" spans="1:10">
      <c r="A20" s="1" t="s">
        <v>8</v>
      </c>
      <c r="B20" s="1">
        <v>140000</v>
      </c>
      <c r="C20" s="1"/>
      <c r="D20" s="1"/>
    </row>
    <row r="21" spans="1:10">
      <c r="A21" s="1" t="s">
        <v>9</v>
      </c>
      <c r="B21" s="1">
        <v>700</v>
      </c>
      <c r="C21" s="1"/>
      <c r="D21" s="1"/>
    </row>
    <row r="22" spans="1:10">
      <c r="A22" s="1" t="s">
        <v>11</v>
      </c>
      <c r="B22" s="1">
        <v>250</v>
      </c>
      <c r="C22" s="1"/>
      <c r="D22" s="1"/>
    </row>
    <row r="23" spans="1:10">
      <c r="A23" s="1" t="s">
        <v>10</v>
      </c>
      <c r="B23" s="1">
        <v>820</v>
      </c>
      <c r="C23" s="1"/>
      <c r="D23" s="1"/>
    </row>
    <row r="24" spans="1:10">
      <c r="A24" s="11" t="s">
        <v>15</v>
      </c>
      <c r="B24" s="11"/>
      <c r="C24" s="1"/>
      <c r="D24" s="1"/>
    </row>
    <row r="25" spans="1:10">
      <c r="A25" s="1" t="s">
        <v>9</v>
      </c>
      <c r="B25" s="10">
        <v>90</v>
      </c>
      <c r="C25" s="1"/>
      <c r="D25" s="1"/>
      <c r="F25" s="10" t="s">
        <v>25</v>
      </c>
    </row>
    <row r="26" spans="1:10">
      <c r="A26" s="1" t="s">
        <v>11</v>
      </c>
      <c r="B26" s="10">
        <v>60</v>
      </c>
      <c r="C26" s="1"/>
      <c r="D26" s="1"/>
    </row>
    <row r="27" spans="1:10">
      <c r="A27" s="1" t="s">
        <v>10</v>
      </c>
      <c r="B27" s="1">
        <v>30</v>
      </c>
      <c r="C27" s="1"/>
      <c r="D27" s="1"/>
    </row>
    <row r="28" spans="1:10">
      <c r="A28" s="1" t="s">
        <v>18</v>
      </c>
      <c r="B28" s="10">
        <v>22.5</v>
      </c>
      <c r="C28" s="1">
        <v>11</v>
      </c>
      <c r="D28" s="1">
        <f>B28*C28</f>
        <v>247.5</v>
      </c>
    </row>
    <row r="29" spans="1:10">
      <c r="A29" s="1" t="s">
        <v>19</v>
      </c>
      <c r="B29" s="1">
        <v>0.01</v>
      </c>
      <c r="C29" s="1">
        <v>434</v>
      </c>
      <c r="D29" s="1">
        <f>B29*C29</f>
        <v>4.34</v>
      </c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I6" sqref="I6"/>
    </sheetView>
  </sheetViews>
  <sheetFormatPr baseColWidth="10" defaultRowHeight="12.75"/>
  <cols>
    <col min="1" max="1" width="28.85546875" customWidth="1"/>
    <col min="2" max="4" width="12.28515625" bestFit="1" customWidth="1"/>
  </cols>
  <sheetData>
    <row r="1" spans="1:14" ht="20.25">
      <c r="A1" s="78" t="s">
        <v>26</v>
      </c>
      <c r="B1" s="79"/>
      <c r="C1" s="79"/>
      <c r="D1" s="79"/>
      <c r="E1" s="79"/>
      <c r="F1" s="79"/>
      <c r="G1" s="79"/>
      <c r="H1" s="80"/>
      <c r="I1" s="80"/>
      <c r="J1" s="80"/>
      <c r="K1" s="80"/>
      <c r="L1" s="80"/>
      <c r="M1" s="80"/>
      <c r="N1" s="80"/>
    </row>
    <row r="2" spans="1:14" ht="13.5" thickBot="1"/>
    <row r="3" spans="1:14" s="4" customFormat="1" ht="36.75" thickBot="1">
      <c r="A3" s="40" t="s">
        <v>16</v>
      </c>
      <c r="B3" s="37">
        <v>1</v>
      </c>
      <c r="C3" s="38">
        <f t="shared" ref="C3:N3" si="0">B3+1</f>
        <v>2</v>
      </c>
      <c r="D3" s="38">
        <f t="shared" si="0"/>
        <v>3</v>
      </c>
      <c r="E3" s="38">
        <f t="shared" si="0"/>
        <v>4</v>
      </c>
      <c r="F3" s="38">
        <f t="shared" si="0"/>
        <v>5</v>
      </c>
      <c r="G3" s="38">
        <f t="shared" si="0"/>
        <v>6</v>
      </c>
      <c r="H3" s="38">
        <f t="shared" si="0"/>
        <v>7</v>
      </c>
      <c r="I3" s="38">
        <f t="shared" si="0"/>
        <v>8</v>
      </c>
      <c r="J3" s="38">
        <f t="shared" si="0"/>
        <v>9</v>
      </c>
      <c r="K3" s="38">
        <f t="shared" si="0"/>
        <v>10</v>
      </c>
      <c r="L3" s="38">
        <f t="shared" si="0"/>
        <v>11</v>
      </c>
      <c r="M3" s="38">
        <f t="shared" si="0"/>
        <v>12</v>
      </c>
      <c r="N3" s="39">
        <f t="shared" si="0"/>
        <v>13</v>
      </c>
    </row>
    <row r="4" spans="1:14" ht="18">
      <c r="A4" s="41" t="s">
        <v>1</v>
      </c>
      <c r="B4" s="17">
        <f>-0.2*$B$20</f>
        <v>-28000</v>
      </c>
      <c r="C4" s="18">
        <f>-0.5*$B$20</f>
        <v>-70000</v>
      </c>
      <c r="D4" s="18">
        <f>-0.3*$B$20</f>
        <v>-42000</v>
      </c>
      <c r="E4" s="18"/>
      <c r="F4" s="18"/>
      <c r="G4" s="18"/>
      <c r="H4" s="18"/>
      <c r="I4" s="18"/>
      <c r="J4" s="18"/>
      <c r="K4" s="18"/>
      <c r="L4" s="18"/>
      <c r="M4" s="18"/>
      <c r="N4" s="19"/>
    </row>
    <row r="5" spans="1:14" ht="18">
      <c r="A5" s="42" t="s">
        <v>12</v>
      </c>
      <c r="B5" s="21"/>
      <c r="C5" s="22"/>
      <c r="D5" s="22"/>
      <c r="E5" s="22">
        <f>-E7*(3/12)</f>
        <v>-4669.72</v>
      </c>
      <c r="F5" s="22">
        <f>-F7*(3/12)+E7*(3/12)</f>
        <v>-931.94399999999951</v>
      </c>
      <c r="G5" s="22">
        <f>-G7*(3/12)+F7*(3/12)</f>
        <v>-621.29600000000028</v>
      </c>
      <c r="H5" s="22">
        <f t="shared" ref="H5:M5" si="1">-H7*(3/12)+G7*(3/12)</f>
        <v>-1244.5919999999996</v>
      </c>
      <c r="I5" s="22">
        <f t="shared" si="1"/>
        <v>0</v>
      </c>
      <c r="J5" s="22">
        <f t="shared" si="1"/>
        <v>0</v>
      </c>
      <c r="K5" s="22">
        <f t="shared" si="1"/>
        <v>0</v>
      </c>
      <c r="L5" s="22">
        <f t="shared" si="1"/>
        <v>0</v>
      </c>
      <c r="M5" s="22">
        <f t="shared" si="1"/>
        <v>0</v>
      </c>
      <c r="N5" s="23">
        <f>SUM(E5:M5)*-1</f>
        <v>7467.5519999999997</v>
      </c>
    </row>
    <row r="6" spans="1:14" ht="18">
      <c r="A6" s="42" t="s">
        <v>2</v>
      </c>
      <c r="B6" s="21"/>
      <c r="C6" s="22"/>
      <c r="D6" s="22"/>
      <c r="E6" s="22">
        <f>0.75*G6</f>
        <v>58500</v>
      </c>
      <c r="F6" s="22">
        <f>0.9*G6</f>
        <v>70200</v>
      </c>
      <c r="G6" s="22">
        <f>($B$21*$B$25+$B$22*$B$26)</f>
        <v>78000</v>
      </c>
      <c r="H6" s="22">
        <f>($B$21*$B$25+$B$22*$B$26)</f>
        <v>78000</v>
      </c>
      <c r="I6" s="22">
        <f t="shared" ref="I6:N6" si="2">1.05*($B$21*$B$25+$B$22*$B$26)</f>
        <v>81900</v>
      </c>
      <c r="J6" s="22">
        <f t="shared" si="2"/>
        <v>81900</v>
      </c>
      <c r="K6" s="22">
        <f t="shared" si="2"/>
        <v>81900</v>
      </c>
      <c r="L6" s="22">
        <f t="shared" si="2"/>
        <v>81900</v>
      </c>
      <c r="M6" s="22">
        <f t="shared" si="2"/>
        <v>81900</v>
      </c>
      <c r="N6" s="23">
        <f t="shared" si="2"/>
        <v>81900</v>
      </c>
    </row>
    <row r="7" spans="1:14" ht="18">
      <c r="A7" s="42" t="s">
        <v>20</v>
      </c>
      <c r="B7" s="21"/>
      <c r="C7" s="22"/>
      <c r="D7" s="22"/>
      <c r="E7" s="22">
        <f t="shared" ref="E7:N7" si="3">SUM(E8:E10)</f>
        <v>18678.88</v>
      </c>
      <c r="F7" s="22">
        <f t="shared" si="3"/>
        <v>22406.655999999999</v>
      </c>
      <c r="G7" s="22">
        <f t="shared" si="3"/>
        <v>24891.84</v>
      </c>
      <c r="H7" s="22">
        <f t="shared" si="3"/>
        <v>29870.207999999999</v>
      </c>
      <c r="I7" s="22">
        <f t="shared" si="3"/>
        <v>29870.207999999999</v>
      </c>
      <c r="J7" s="22">
        <f t="shared" si="3"/>
        <v>29870.207999999999</v>
      </c>
      <c r="K7" s="22">
        <f t="shared" si="3"/>
        <v>29870.207999999999</v>
      </c>
      <c r="L7" s="22">
        <f t="shared" si="3"/>
        <v>29870.207999999999</v>
      </c>
      <c r="M7" s="22">
        <f t="shared" si="3"/>
        <v>29870.207999999999</v>
      </c>
      <c r="N7" s="23">
        <f t="shared" si="3"/>
        <v>29870.207999999999</v>
      </c>
    </row>
    <row r="8" spans="1:14" ht="18">
      <c r="A8" s="42" t="s">
        <v>3</v>
      </c>
      <c r="B8" s="21"/>
      <c r="C8" s="22"/>
      <c r="D8" s="22"/>
      <c r="E8" s="22">
        <v>40</v>
      </c>
      <c r="F8" s="22">
        <v>40</v>
      </c>
      <c r="G8" s="22">
        <v>40</v>
      </c>
      <c r="H8" s="22">
        <f t="shared" ref="H8:N8" si="4">$G$8*1.2</f>
        <v>48</v>
      </c>
      <c r="I8" s="22">
        <f t="shared" si="4"/>
        <v>48</v>
      </c>
      <c r="J8" s="22">
        <f t="shared" si="4"/>
        <v>48</v>
      </c>
      <c r="K8" s="22">
        <f t="shared" si="4"/>
        <v>48</v>
      </c>
      <c r="L8" s="22">
        <f t="shared" si="4"/>
        <v>48</v>
      </c>
      <c r="M8" s="22">
        <f t="shared" si="4"/>
        <v>48</v>
      </c>
      <c r="N8" s="23">
        <f t="shared" si="4"/>
        <v>48</v>
      </c>
    </row>
    <row r="9" spans="1:14" ht="18">
      <c r="A9" s="42" t="s">
        <v>4</v>
      </c>
      <c r="B9" s="21"/>
      <c r="C9" s="22"/>
      <c r="D9" s="22"/>
      <c r="E9" s="22">
        <f>0.75*G9</f>
        <v>18450</v>
      </c>
      <c r="F9" s="22">
        <f>0.9*G9</f>
        <v>22140</v>
      </c>
      <c r="G9" s="22">
        <f>($B$23*$B$27)</f>
        <v>24600</v>
      </c>
      <c r="H9" s="22">
        <f>1.2*($B$23*$B$27)</f>
        <v>29520</v>
      </c>
      <c r="I9" s="22">
        <f t="shared" ref="I9:N9" si="5">1.2*($B$23*$B$27)</f>
        <v>29520</v>
      </c>
      <c r="J9" s="22">
        <f t="shared" si="5"/>
        <v>29520</v>
      </c>
      <c r="K9" s="22">
        <f t="shared" si="5"/>
        <v>29520</v>
      </c>
      <c r="L9" s="22">
        <f t="shared" si="5"/>
        <v>29520</v>
      </c>
      <c r="M9" s="22">
        <f t="shared" si="5"/>
        <v>29520</v>
      </c>
      <c r="N9" s="23">
        <f t="shared" si="5"/>
        <v>29520</v>
      </c>
    </row>
    <row r="10" spans="1:14" ht="18">
      <c r="A10" s="42" t="s">
        <v>17</v>
      </c>
      <c r="B10" s="21"/>
      <c r="C10" s="22"/>
      <c r="D10" s="22"/>
      <c r="E10" s="22">
        <f>0.75*G10</f>
        <v>188.88</v>
      </c>
      <c r="F10" s="22">
        <f>0.9*G10</f>
        <v>226.65600000000001</v>
      </c>
      <c r="G10" s="22">
        <f>$D$28+$D$29</f>
        <v>251.84</v>
      </c>
      <c r="H10" s="22">
        <f t="shared" ref="H10:N10" si="6">($D$28+$D$29)*1.2</f>
        <v>302.20799999999997</v>
      </c>
      <c r="I10" s="22">
        <f t="shared" si="6"/>
        <v>302.20799999999997</v>
      </c>
      <c r="J10" s="22">
        <f t="shared" si="6"/>
        <v>302.20799999999997</v>
      </c>
      <c r="K10" s="22">
        <f t="shared" si="6"/>
        <v>302.20799999999997</v>
      </c>
      <c r="L10" s="22">
        <f t="shared" si="6"/>
        <v>302.20799999999997</v>
      </c>
      <c r="M10" s="22">
        <f t="shared" si="6"/>
        <v>302.20799999999997</v>
      </c>
      <c r="N10" s="23">
        <f t="shared" si="6"/>
        <v>302.20799999999997</v>
      </c>
    </row>
    <row r="11" spans="1:14" ht="18.75" thickBot="1">
      <c r="A11" s="43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7"/>
    </row>
    <row r="12" spans="1:14" s="1" customFormat="1" ht="18.75" thickBot="1">
      <c r="A12" s="44" t="s">
        <v>13</v>
      </c>
      <c r="B12" s="29">
        <f t="shared" ref="B12:N12" si="7">SUM(B4+B5+B6-B7)</f>
        <v>-28000</v>
      </c>
      <c r="C12" s="30">
        <f t="shared" si="7"/>
        <v>-70000</v>
      </c>
      <c r="D12" s="30">
        <f t="shared" si="7"/>
        <v>-42000</v>
      </c>
      <c r="E12" s="30">
        <f t="shared" si="7"/>
        <v>35151.399999999994</v>
      </c>
      <c r="F12" s="30">
        <f t="shared" si="7"/>
        <v>46861.399999999994</v>
      </c>
      <c r="G12" s="30">
        <f t="shared" si="7"/>
        <v>52486.864000000001</v>
      </c>
      <c r="H12" s="30">
        <f t="shared" si="7"/>
        <v>46885.2</v>
      </c>
      <c r="I12" s="30">
        <f t="shared" si="7"/>
        <v>52029.792000000001</v>
      </c>
      <c r="J12" s="30">
        <f t="shared" si="7"/>
        <v>52029.792000000001</v>
      </c>
      <c r="K12" s="30">
        <f t="shared" si="7"/>
        <v>52029.792000000001</v>
      </c>
      <c r="L12" s="30">
        <f t="shared" si="7"/>
        <v>52029.792000000001</v>
      </c>
      <c r="M12" s="30">
        <f t="shared" si="7"/>
        <v>52029.792000000001</v>
      </c>
      <c r="N12" s="31">
        <f t="shared" si="7"/>
        <v>59497.343999999997</v>
      </c>
    </row>
    <row r="13" spans="1:14" ht="18">
      <c r="A13" s="41" t="s">
        <v>5</v>
      </c>
      <c r="B13" s="32"/>
      <c r="C13" s="33"/>
      <c r="D13" s="33"/>
      <c r="E13" s="33">
        <f t="shared" ref="E13:N13" si="8">-SUM($B$4:$D$4)/10</f>
        <v>14000</v>
      </c>
      <c r="F13" s="33">
        <f t="shared" si="8"/>
        <v>14000</v>
      </c>
      <c r="G13" s="33">
        <f t="shared" si="8"/>
        <v>14000</v>
      </c>
      <c r="H13" s="33">
        <f t="shared" si="8"/>
        <v>14000</v>
      </c>
      <c r="I13" s="33">
        <f t="shared" si="8"/>
        <v>14000</v>
      </c>
      <c r="J13" s="33">
        <f t="shared" si="8"/>
        <v>14000</v>
      </c>
      <c r="K13" s="33">
        <f t="shared" si="8"/>
        <v>14000</v>
      </c>
      <c r="L13" s="33">
        <f t="shared" si="8"/>
        <v>14000</v>
      </c>
      <c r="M13" s="33">
        <f t="shared" si="8"/>
        <v>14000</v>
      </c>
      <c r="N13" s="34">
        <f t="shared" si="8"/>
        <v>14000</v>
      </c>
    </row>
    <row r="14" spans="1:14" ht="18">
      <c r="A14" s="42" t="s">
        <v>6</v>
      </c>
      <c r="B14" s="21"/>
      <c r="C14" s="22"/>
      <c r="D14" s="22"/>
      <c r="E14" s="22">
        <f>0.36*(E6-E7-E13)</f>
        <v>9295.6031999999977</v>
      </c>
      <c r="F14" s="22">
        <f t="shared" ref="F14:N14" si="9">0.36*(F6-F7-F13)</f>
        <v>12165.603839999998</v>
      </c>
      <c r="G14" s="22">
        <f t="shared" si="9"/>
        <v>14078.937600000001</v>
      </c>
      <c r="H14" s="22">
        <f t="shared" si="9"/>
        <v>12286.725119999999</v>
      </c>
      <c r="I14" s="22">
        <f t="shared" si="9"/>
        <v>13690.725119999999</v>
      </c>
      <c r="J14" s="22">
        <f t="shared" si="9"/>
        <v>13690.725119999999</v>
      </c>
      <c r="K14" s="22">
        <f t="shared" si="9"/>
        <v>13690.725119999999</v>
      </c>
      <c r="L14" s="22">
        <f t="shared" si="9"/>
        <v>13690.725119999999</v>
      </c>
      <c r="M14" s="22">
        <f t="shared" si="9"/>
        <v>13690.725119999999</v>
      </c>
      <c r="N14" s="22">
        <f t="shared" si="9"/>
        <v>13690.725119999999</v>
      </c>
    </row>
    <row r="15" spans="1:14" ht="18.75" thickBot="1">
      <c r="A15" s="43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</row>
    <row r="16" spans="1:14" s="1" customFormat="1" ht="18.75" thickBot="1">
      <c r="A16" s="44" t="s">
        <v>14</v>
      </c>
      <c r="B16" s="29">
        <f t="shared" ref="B16:N16" si="10">B12-B14</f>
        <v>-28000</v>
      </c>
      <c r="C16" s="30">
        <f t="shared" si="10"/>
        <v>-70000</v>
      </c>
      <c r="D16" s="30">
        <f t="shared" si="10"/>
        <v>-42000</v>
      </c>
      <c r="E16" s="30">
        <f t="shared" si="10"/>
        <v>25855.796799999996</v>
      </c>
      <c r="F16" s="30">
        <f t="shared" si="10"/>
        <v>34695.796159999998</v>
      </c>
      <c r="G16" s="30">
        <f t="shared" si="10"/>
        <v>38407.926399999997</v>
      </c>
      <c r="H16" s="30">
        <f t="shared" si="10"/>
        <v>34598.474879999994</v>
      </c>
      <c r="I16" s="30">
        <f t="shared" si="10"/>
        <v>38339.066879999998</v>
      </c>
      <c r="J16" s="30">
        <f t="shared" si="10"/>
        <v>38339.066879999998</v>
      </c>
      <c r="K16" s="30">
        <f t="shared" si="10"/>
        <v>38339.066879999998</v>
      </c>
      <c r="L16" s="30">
        <f t="shared" si="10"/>
        <v>38339.066879999998</v>
      </c>
      <c r="M16" s="30">
        <f t="shared" si="10"/>
        <v>38339.066879999998</v>
      </c>
      <c r="N16" s="31">
        <f t="shared" si="10"/>
        <v>45806.618879999995</v>
      </c>
    </row>
    <row r="17" spans="1:14" ht="13.5" thickBot="1"/>
    <row r="18" spans="1:14" ht="18.75" thickBot="1">
      <c r="A18" s="71" t="s">
        <v>21</v>
      </c>
      <c r="B18" s="72">
        <f>IRR(B16:N16)</f>
        <v>0.17343095664697722</v>
      </c>
    </row>
    <row r="19" spans="1:14" ht="48" thickBot="1">
      <c r="A19" s="73" t="s">
        <v>7</v>
      </c>
      <c r="B19" s="74"/>
      <c r="C19" s="74"/>
      <c r="D19" s="74"/>
      <c r="F19" s="63" t="s">
        <v>22</v>
      </c>
      <c r="G19" s="64" t="s">
        <v>23</v>
      </c>
    </row>
    <row r="20" spans="1:14" ht="15.75">
      <c r="A20" s="73" t="s">
        <v>8</v>
      </c>
      <c r="B20" s="74">
        <v>140000</v>
      </c>
      <c r="C20" s="74"/>
      <c r="D20" s="74"/>
      <c r="F20" s="65">
        <v>10</v>
      </c>
      <c r="G20" s="68">
        <f>B18</f>
        <v>0.17343095664697722</v>
      </c>
    </row>
    <row r="21" spans="1:14" ht="15.75">
      <c r="A21" s="74" t="s">
        <v>9</v>
      </c>
      <c r="B21" s="74">
        <v>700</v>
      </c>
      <c r="C21" s="74"/>
      <c r="D21" s="74"/>
      <c r="F21" s="66">
        <v>30</v>
      </c>
      <c r="G21" s="69">
        <f>'CASO ABC IMPTOS 30%'!B18</f>
        <v>0.18578393378177949</v>
      </c>
    </row>
    <row r="22" spans="1:14" ht="16.5" thickBot="1">
      <c r="A22" s="74" t="s">
        <v>11</v>
      </c>
      <c r="B22" s="74">
        <v>250</v>
      </c>
      <c r="C22" s="74"/>
      <c r="D22" s="74"/>
      <c r="F22" s="67">
        <v>36</v>
      </c>
      <c r="G22" s="70">
        <f>'caso abc imptos 10%'!B18</f>
        <v>0.22434040872510433</v>
      </c>
    </row>
    <row r="23" spans="1:14">
      <c r="A23" s="74" t="s">
        <v>10</v>
      </c>
      <c r="B23" s="74">
        <v>820</v>
      </c>
      <c r="C23" s="74"/>
      <c r="D23" s="74"/>
    </row>
    <row r="24" spans="1:14">
      <c r="A24" s="75" t="s">
        <v>15</v>
      </c>
      <c r="B24" s="76"/>
      <c r="C24" s="74"/>
      <c r="D24" s="74"/>
    </row>
    <row r="25" spans="1:14">
      <c r="A25" s="74" t="s">
        <v>9</v>
      </c>
      <c r="B25" s="73">
        <v>90</v>
      </c>
      <c r="C25" s="74"/>
      <c r="D25" s="74"/>
      <c r="E25" s="10" t="s">
        <v>25</v>
      </c>
    </row>
    <row r="26" spans="1:14">
      <c r="A26" s="74" t="s">
        <v>11</v>
      </c>
      <c r="B26" s="73">
        <v>60</v>
      </c>
      <c r="C26" s="74"/>
      <c r="D26" s="74"/>
    </row>
    <row r="27" spans="1:14">
      <c r="A27" s="74" t="s">
        <v>10</v>
      </c>
      <c r="B27" s="74">
        <v>30</v>
      </c>
      <c r="C27" s="74"/>
      <c r="D27" s="74"/>
    </row>
    <row r="28" spans="1:14">
      <c r="A28" s="74" t="s">
        <v>18</v>
      </c>
      <c r="B28" s="10">
        <v>22.5</v>
      </c>
      <c r="C28" s="74">
        <v>11</v>
      </c>
      <c r="D28" s="74">
        <f>B28*C28</f>
        <v>247.5</v>
      </c>
    </row>
    <row r="29" spans="1:14">
      <c r="A29" s="74" t="s">
        <v>19</v>
      </c>
      <c r="B29" s="74">
        <v>0.01</v>
      </c>
      <c r="C29" s="74">
        <v>434</v>
      </c>
      <c r="D29" s="74">
        <f>B29*C29</f>
        <v>4.34</v>
      </c>
    </row>
    <row r="30" spans="1:14" ht="13.5" thickBot="1">
      <c r="A30" s="74"/>
      <c r="B30" s="74"/>
      <c r="C30" s="74"/>
      <c r="D30" s="74"/>
    </row>
    <row r="31" spans="1:14" ht="18.75" thickBot="1">
      <c r="B31" s="29">
        <v>-28000</v>
      </c>
      <c r="C31" s="30">
        <v>-70000</v>
      </c>
      <c r="D31" s="30">
        <v>-42000</v>
      </c>
      <c r="E31" s="30">
        <v>32526.399999999998</v>
      </c>
      <c r="F31" s="30">
        <v>43711.399999999994</v>
      </c>
      <c r="G31" s="30">
        <v>48986.864000000001</v>
      </c>
      <c r="H31" s="30">
        <v>43385.2</v>
      </c>
      <c r="I31" s="30">
        <v>48354.792000000001</v>
      </c>
      <c r="J31" s="30">
        <v>48354.792000000001</v>
      </c>
      <c r="K31" s="30">
        <v>48354.792000000001</v>
      </c>
      <c r="L31" s="30">
        <v>48354.792000000001</v>
      </c>
      <c r="M31" s="30">
        <v>48354.792000000001</v>
      </c>
      <c r="N31" s="31">
        <v>55822.343999999997</v>
      </c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9"/>
  <sheetViews>
    <sheetView workbookViewId="0">
      <selection activeCell="Q16" sqref="Q16"/>
    </sheetView>
  </sheetViews>
  <sheetFormatPr baseColWidth="10" defaultRowHeight="12.75"/>
  <cols>
    <col min="1" max="1" width="28" customWidth="1"/>
    <col min="2" max="4" width="12.28515625" bestFit="1" customWidth="1"/>
  </cols>
  <sheetData>
    <row r="1" spans="1:16" ht="20.25">
      <c r="A1" s="78" t="s">
        <v>27</v>
      </c>
      <c r="B1" s="79"/>
      <c r="C1" s="79"/>
      <c r="D1" s="79"/>
      <c r="E1" s="79"/>
      <c r="F1" s="79"/>
      <c r="G1" s="79"/>
      <c r="H1" s="80"/>
      <c r="I1" s="80"/>
      <c r="J1" s="80"/>
      <c r="K1" s="80"/>
      <c r="L1" s="80"/>
      <c r="M1" s="80"/>
      <c r="N1" s="80"/>
    </row>
    <row r="2" spans="1:16" ht="13.5" thickBot="1"/>
    <row r="3" spans="1:16" s="4" customFormat="1" ht="36.75" thickBot="1">
      <c r="A3" s="40" t="s">
        <v>16</v>
      </c>
      <c r="B3" s="45">
        <v>1</v>
      </c>
      <c r="C3" s="46">
        <f t="shared" ref="C3:N3" si="0">B3+1</f>
        <v>2</v>
      </c>
      <c r="D3" s="46">
        <f t="shared" si="0"/>
        <v>3</v>
      </c>
      <c r="E3" s="46">
        <f t="shared" si="0"/>
        <v>4</v>
      </c>
      <c r="F3" s="46">
        <f t="shared" si="0"/>
        <v>5</v>
      </c>
      <c r="G3" s="46">
        <f t="shared" si="0"/>
        <v>6</v>
      </c>
      <c r="H3" s="46">
        <f t="shared" si="0"/>
        <v>7</v>
      </c>
      <c r="I3" s="46">
        <f t="shared" si="0"/>
        <v>8</v>
      </c>
      <c r="J3" s="46">
        <f t="shared" si="0"/>
        <v>9</v>
      </c>
      <c r="K3" s="46">
        <f t="shared" si="0"/>
        <v>10</v>
      </c>
      <c r="L3" s="46">
        <f t="shared" si="0"/>
        <v>11</v>
      </c>
      <c r="M3" s="46">
        <f t="shared" si="0"/>
        <v>12</v>
      </c>
      <c r="N3" s="47">
        <f t="shared" si="0"/>
        <v>13</v>
      </c>
      <c r="P3" s="77"/>
    </row>
    <row r="4" spans="1:16" ht="18">
      <c r="A4" s="41" t="s">
        <v>1</v>
      </c>
      <c r="B4" s="48">
        <f>-0.2*$B$20</f>
        <v>-28000</v>
      </c>
      <c r="C4" s="49">
        <f>-0.5*$B$20</f>
        <v>-70000</v>
      </c>
      <c r="D4" s="49">
        <f>-0.3*$B$20</f>
        <v>-42000</v>
      </c>
      <c r="E4" s="49"/>
      <c r="F4" s="49"/>
      <c r="G4" s="49"/>
      <c r="H4" s="49"/>
      <c r="I4" s="49"/>
      <c r="J4" s="49"/>
      <c r="K4" s="49"/>
      <c r="L4" s="49"/>
      <c r="M4" s="49"/>
      <c r="N4" s="50"/>
    </row>
    <row r="5" spans="1:16" ht="18">
      <c r="A5" s="42" t="s">
        <v>12</v>
      </c>
      <c r="B5" s="51"/>
      <c r="C5" s="52"/>
      <c r="D5" s="52"/>
      <c r="E5" s="52">
        <f>-E7*(3/12)</f>
        <v>-4669.72</v>
      </c>
      <c r="F5" s="52">
        <f>-F7*(3/12)+E7*(3/12)</f>
        <v>-931.94399999999951</v>
      </c>
      <c r="G5" s="52">
        <f>-G7*(3/12)+F7*(3/12)</f>
        <v>-621.29600000000028</v>
      </c>
      <c r="H5" s="52">
        <f t="shared" ref="H5:M5" si="1">-H7*(3/12)+G7*(3/12)</f>
        <v>-1244.5919999999996</v>
      </c>
      <c r="I5" s="52">
        <f t="shared" si="1"/>
        <v>0</v>
      </c>
      <c r="J5" s="52">
        <f t="shared" si="1"/>
        <v>0</v>
      </c>
      <c r="K5" s="52">
        <f t="shared" si="1"/>
        <v>0</v>
      </c>
      <c r="L5" s="52">
        <f t="shared" si="1"/>
        <v>0</v>
      </c>
      <c r="M5" s="52">
        <f t="shared" si="1"/>
        <v>0</v>
      </c>
      <c r="N5" s="53">
        <f>SUM(E5:M5)*-1</f>
        <v>7467.5519999999997</v>
      </c>
    </row>
    <row r="6" spans="1:16" ht="18">
      <c r="A6" s="42" t="s">
        <v>2</v>
      </c>
      <c r="B6" s="51"/>
      <c r="C6" s="52"/>
      <c r="D6" s="52"/>
      <c r="E6" s="52">
        <f>0.75*G6</f>
        <v>58500</v>
      </c>
      <c r="F6" s="52">
        <f>0.9*G6</f>
        <v>70200</v>
      </c>
      <c r="G6" s="52">
        <f>($B$21*$B$25+$B$22*$B$26)</f>
        <v>78000</v>
      </c>
      <c r="H6" s="52">
        <f>($B$21*$B$25+$B$22*$B$26)</f>
        <v>78000</v>
      </c>
      <c r="I6" s="52">
        <f t="shared" ref="I6:N6" si="2">1.05*($B$21*$B$25+$B$22*$B$26)</f>
        <v>81900</v>
      </c>
      <c r="J6" s="52">
        <f t="shared" si="2"/>
        <v>81900</v>
      </c>
      <c r="K6" s="52">
        <f t="shared" si="2"/>
        <v>81900</v>
      </c>
      <c r="L6" s="52">
        <f t="shared" si="2"/>
        <v>81900</v>
      </c>
      <c r="M6" s="52">
        <f t="shared" si="2"/>
        <v>81900</v>
      </c>
      <c r="N6" s="53">
        <f t="shared" si="2"/>
        <v>81900</v>
      </c>
    </row>
    <row r="7" spans="1:16" ht="18">
      <c r="A7" s="42" t="s">
        <v>20</v>
      </c>
      <c r="B7" s="51"/>
      <c r="C7" s="52"/>
      <c r="D7" s="52"/>
      <c r="E7" s="52">
        <f t="shared" ref="E7:N7" si="3">SUM(E8:E10)</f>
        <v>18678.88</v>
      </c>
      <c r="F7" s="52">
        <f t="shared" si="3"/>
        <v>22406.655999999999</v>
      </c>
      <c r="G7" s="52">
        <f t="shared" si="3"/>
        <v>24891.84</v>
      </c>
      <c r="H7" s="52">
        <f t="shared" si="3"/>
        <v>29870.207999999999</v>
      </c>
      <c r="I7" s="52">
        <f t="shared" si="3"/>
        <v>29870.207999999999</v>
      </c>
      <c r="J7" s="52">
        <f t="shared" si="3"/>
        <v>29870.207999999999</v>
      </c>
      <c r="K7" s="52">
        <f t="shared" si="3"/>
        <v>29870.207999999999</v>
      </c>
      <c r="L7" s="52">
        <f t="shared" si="3"/>
        <v>29870.207999999999</v>
      </c>
      <c r="M7" s="52">
        <f t="shared" si="3"/>
        <v>29870.207999999999</v>
      </c>
      <c r="N7" s="53">
        <f t="shared" si="3"/>
        <v>29870.207999999999</v>
      </c>
    </row>
    <row r="8" spans="1:16" ht="18">
      <c r="A8" s="42" t="s">
        <v>3</v>
      </c>
      <c r="B8" s="51"/>
      <c r="C8" s="52"/>
      <c r="D8" s="52"/>
      <c r="E8" s="52">
        <v>40</v>
      </c>
      <c r="F8" s="52">
        <v>40</v>
      </c>
      <c r="G8" s="52">
        <v>40</v>
      </c>
      <c r="H8" s="52">
        <f t="shared" ref="H8:N8" si="4">$G$8*1.2</f>
        <v>48</v>
      </c>
      <c r="I8" s="52">
        <f t="shared" si="4"/>
        <v>48</v>
      </c>
      <c r="J8" s="52">
        <f t="shared" si="4"/>
        <v>48</v>
      </c>
      <c r="K8" s="52">
        <f t="shared" si="4"/>
        <v>48</v>
      </c>
      <c r="L8" s="52">
        <f t="shared" si="4"/>
        <v>48</v>
      </c>
      <c r="M8" s="52">
        <f t="shared" si="4"/>
        <v>48</v>
      </c>
      <c r="N8" s="53">
        <f t="shared" si="4"/>
        <v>48</v>
      </c>
    </row>
    <row r="9" spans="1:16" ht="18">
      <c r="A9" s="42" t="s">
        <v>4</v>
      </c>
      <c r="B9" s="51"/>
      <c r="C9" s="52"/>
      <c r="D9" s="52"/>
      <c r="E9" s="52">
        <f>0.75*G9</f>
        <v>18450</v>
      </c>
      <c r="F9" s="52">
        <f>0.9*G9</f>
        <v>22140</v>
      </c>
      <c r="G9" s="52">
        <f>($B$23*$B$27)</f>
        <v>24600</v>
      </c>
      <c r="H9" s="52">
        <f>1.2*($B$23*$B$27)</f>
        <v>29520</v>
      </c>
      <c r="I9" s="52">
        <f t="shared" ref="I9:N9" si="5">1.2*($B$23*$B$27)</f>
        <v>29520</v>
      </c>
      <c r="J9" s="52">
        <f t="shared" si="5"/>
        <v>29520</v>
      </c>
      <c r="K9" s="52">
        <f t="shared" si="5"/>
        <v>29520</v>
      </c>
      <c r="L9" s="52">
        <f t="shared" si="5"/>
        <v>29520</v>
      </c>
      <c r="M9" s="52">
        <f t="shared" si="5"/>
        <v>29520</v>
      </c>
      <c r="N9" s="53">
        <f t="shared" si="5"/>
        <v>29520</v>
      </c>
    </row>
    <row r="10" spans="1:16" ht="18">
      <c r="A10" s="42" t="s">
        <v>17</v>
      </c>
      <c r="B10" s="51"/>
      <c r="C10" s="52"/>
      <c r="D10" s="52"/>
      <c r="E10" s="52">
        <f>0.75*G10</f>
        <v>188.88</v>
      </c>
      <c r="F10" s="52">
        <f>0.9*G10</f>
        <v>226.65600000000001</v>
      </c>
      <c r="G10" s="52">
        <f>$D$28+$D$29</f>
        <v>251.84</v>
      </c>
      <c r="H10" s="52">
        <f t="shared" ref="H10:N10" si="6">($D$28+$D$29)*1.2</f>
        <v>302.20799999999997</v>
      </c>
      <c r="I10" s="52">
        <f t="shared" si="6"/>
        <v>302.20799999999997</v>
      </c>
      <c r="J10" s="52">
        <f t="shared" si="6"/>
        <v>302.20799999999997</v>
      </c>
      <c r="K10" s="52">
        <f t="shared" si="6"/>
        <v>302.20799999999997</v>
      </c>
      <c r="L10" s="52">
        <f t="shared" si="6"/>
        <v>302.20799999999997</v>
      </c>
      <c r="M10" s="52">
        <f t="shared" si="6"/>
        <v>302.20799999999997</v>
      </c>
      <c r="N10" s="53">
        <f t="shared" si="6"/>
        <v>302.20799999999997</v>
      </c>
    </row>
    <row r="11" spans="1:16" ht="18.75" thickBot="1">
      <c r="A11" s="42"/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6"/>
    </row>
    <row r="12" spans="1:16" s="1" customFormat="1" ht="18.75" thickBot="1">
      <c r="A12" s="42" t="s">
        <v>13</v>
      </c>
      <c r="B12" s="57">
        <f t="shared" ref="B12:N12" si="7">SUM(B4+B5+B6-B7)</f>
        <v>-28000</v>
      </c>
      <c r="C12" s="58">
        <f t="shared" si="7"/>
        <v>-70000</v>
      </c>
      <c r="D12" s="58">
        <f t="shared" si="7"/>
        <v>-42000</v>
      </c>
      <c r="E12" s="58">
        <f t="shared" si="7"/>
        <v>35151.399999999994</v>
      </c>
      <c r="F12" s="58">
        <f t="shared" si="7"/>
        <v>46861.399999999994</v>
      </c>
      <c r="G12" s="58">
        <f t="shared" si="7"/>
        <v>52486.864000000001</v>
      </c>
      <c r="H12" s="58">
        <f t="shared" si="7"/>
        <v>46885.2</v>
      </c>
      <c r="I12" s="58">
        <f t="shared" si="7"/>
        <v>52029.792000000001</v>
      </c>
      <c r="J12" s="58">
        <f t="shared" si="7"/>
        <v>52029.792000000001</v>
      </c>
      <c r="K12" s="58">
        <f t="shared" si="7"/>
        <v>52029.792000000001</v>
      </c>
      <c r="L12" s="58">
        <f t="shared" si="7"/>
        <v>52029.792000000001</v>
      </c>
      <c r="M12" s="58">
        <f t="shared" si="7"/>
        <v>52029.792000000001</v>
      </c>
      <c r="N12" s="59">
        <f t="shared" si="7"/>
        <v>59497.343999999997</v>
      </c>
    </row>
    <row r="13" spans="1:16" ht="18">
      <c r="A13" s="42" t="s">
        <v>5</v>
      </c>
      <c r="B13" s="60"/>
      <c r="C13" s="61"/>
      <c r="D13" s="61"/>
      <c r="E13" s="61">
        <f t="shared" ref="E13:N13" si="8">-SUM($B$4:$D$4)/10</f>
        <v>14000</v>
      </c>
      <c r="F13" s="61">
        <f t="shared" si="8"/>
        <v>14000</v>
      </c>
      <c r="G13" s="61">
        <f t="shared" si="8"/>
        <v>14000</v>
      </c>
      <c r="H13" s="61">
        <f t="shared" si="8"/>
        <v>14000</v>
      </c>
      <c r="I13" s="61">
        <f t="shared" si="8"/>
        <v>14000</v>
      </c>
      <c r="J13" s="61">
        <f t="shared" si="8"/>
        <v>14000</v>
      </c>
      <c r="K13" s="61">
        <f t="shared" si="8"/>
        <v>14000</v>
      </c>
      <c r="L13" s="61">
        <f t="shared" si="8"/>
        <v>14000</v>
      </c>
      <c r="M13" s="61">
        <f t="shared" si="8"/>
        <v>14000</v>
      </c>
      <c r="N13" s="62">
        <f t="shared" si="8"/>
        <v>14000</v>
      </c>
    </row>
    <row r="14" spans="1:16" ht="18">
      <c r="A14" s="42" t="s">
        <v>6</v>
      </c>
      <c r="B14" s="51"/>
      <c r="C14" s="52"/>
      <c r="D14" s="52"/>
      <c r="E14" s="52">
        <f>0.3*(E6-E7-E13)</f>
        <v>7746.3359999999984</v>
      </c>
      <c r="F14" s="52">
        <f t="shared" ref="F14:N14" si="9">0.3*(F6-F7-F13)</f>
        <v>10138.003199999999</v>
      </c>
      <c r="G14" s="52">
        <f t="shared" si="9"/>
        <v>11732.448</v>
      </c>
      <c r="H14" s="52">
        <f t="shared" si="9"/>
        <v>10238.937599999999</v>
      </c>
      <c r="I14" s="52">
        <f t="shared" si="9"/>
        <v>11408.937599999999</v>
      </c>
      <c r="J14" s="52">
        <f t="shared" si="9"/>
        <v>11408.937599999999</v>
      </c>
      <c r="K14" s="52">
        <f t="shared" si="9"/>
        <v>11408.937599999999</v>
      </c>
      <c r="L14" s="52">
        <f t="shared" si="9"/>
        <v>11408.937599999999</v>
      </c>
      <c r="M14" s="52">
        <f t="shared" si="9"/>
        <v>11408.937599999999</v>
      </c>
      <c r="N14" s="53">
        <f t="shared" si="9"/>
        <v>11408.937599999999</v>
      </c>
    </row>
    <row r="15" spans="1:16" ht="18.75" thickBot="1">
      <c r="A15" s="43"/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6"/>
    </row>
    <row r="16" spans="1:16" s="1" customFormat="1" ht="18.75" thickBot="1">
      <c r="A16" s="44" t="s">
        <v>14</v>
      </c>
      <c r="B16" s="57">
        <f t="shared" ref="B16:N16" si="10">B12-B14</f>
        <v>-28000</v>
      </c>
      <c r="C16" s="58">
        <f t="shared" si="10"/>
        <v>-70000</v>
      </c>
      <c r="D16" s="58">
        <f t="shared" si="10"/>
        <v>-42000</v>
      </c>
      <c r="E16" s="58">
        <f t="shared" si="10"/>
        <v>27405.063999999995</v>
      </c>
      <c r="F16" s="58">
        <f t="shared" si="10"/>
        <v>36723.396799999995</v>
      </c>
      <c r="G16" s="58">
        <f t="shared" si="10"/>
        <v>40754.415999999997</v>
      </c>
      <c r="H16" s="58">
        <f t="shared" si="10"/>
        <v>36646.2624</v>
      </c>
      <c r="I16" s="58">
        <f t="shared" si="10"/>
        <v>40620.854400000004</v>
      </c>
      <c r="J16" s="58">
        <f t="shared" si="10"/>
        <v>40620.854400000004</v>
      </c>
      <c r="K16" s="58">
        <f t="shared" si="10"/>
        <v>40620.854400000004</v>
      </c>
      <c r="L16" s="58">
        <f t="shared" si="10"/>
        <v>40620.854400000004</v>
      </c>
      <c r="M16" s="58">
        <f t="shared" si="10"/>
        <v>40620.854400000004</v>
      </c>
      <c r="N16" s="59">
        <f t="shared" si="10"/>
        <v>48088.4064</v>
      </c>
    </row>
    <row r="17" spans="1:14" ht="13.5" thickBot="1"/>
    <row r="18" spans="1:14" ht="18.75" thickBot="1">
      <c r="A18" s="71" t="s">
        <v>21</v>
      </c>
      <c r="B18" s="72">
        <f>IRR(B16:N16)</f>
        <v>0.18578393378177949</v>
      </c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>
      <c r="A19" s="1" t="s">
        <v>7</v>
      </c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5.75">
      <c r="A20" s="1" t="s">
        <v>8</v>
      </c>
      <c r="B20">
        <v>140000</v>
      </c>
      <c r="E20" s="5"/>
      <c r="F20" s="7"/>
      <c r="G20" s="5"/>
      <c r="H20" s="5"/>
      <c r="I20" s="5"/>
      <c r="J20" s="5"/>
      <c r="K20" s="5"/>
      <c r="L20" s="5"/>
      <c r="M20" s="5"/>
      <c r="N20" s="5"/>
    </row>
    <row r="21" spans="1:14" ht="15.75">
      <c r="A21" s="2" t="s">
        <v>9</v>
      </c>
      <c r="B21">
        <v>700</v>
      </c>
      <c r="F21" s="3"/>
    </row>
    <row r="22" spans="1:14">
      <c r="A22" s="2" t="s">
        <v>11</v>
      </c>
      <c r="B22">
        <v>250</v>
      </c>
    </row>
    <row r="23" spans="1:14">
      <c r="A23" s="2" t="s">
        <v>10</v>
      </c>
      <c r="B23">
        <v>820</v>
      </c>
    </row>
    <row r="24" spans="1:14">
      <c r="A24" s="1" t="s">
        <v>15</v>
      </c>
    </row>
    <row r="25" spans="1:14">
      <c r="A25" s="2" t="s">
        <v>9</v>
      </c>
      <c r="B25" s="10">
        <v>90</v>
      </c>
    </row>
    <row r="26" spans="1:14">
      <c r="A26" s="2" t="s">
        <v>11</v>
      </c>
      <c r="B26" s="10">
        <v>60</v>
      </c>
      <c r="F26" s="10" t="s">
        <v>25</v>
      </c>
    </row>
    <row r="27" spans="1:14">
      <c r="A27" s="2" t="s">
        <v>10</v>
      </c>
      <c r="B27">
        <v>30</v>
      </c>
    </row>
    <row r="28" spans="1:14">
      <c r="A28" s="2" t="s">
        <v>18</v>
      </c>
      <c r="B28" s="10">
        <v>22.5</v>
      </c>
      <c r="C28">
        <v>11</v>
      </c>
      <c r="D28">
        <f>B28*C28</f>
        <v>247.5</v>
      </c>
    </row>
    <row r="29" spans="1:14">
      <c r="A29" s="2" t="s">
        <v>19</v>
      </c>
      <c r="B29">
        <v>0.01</v>
      </c>
      <c r="C29">
        <v>434</v>
      </c>
      <c r="D29">
        <f>B29*C29</f>
        <v>4.34</v>
      </c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H25" sqref="H25"/>
    </sheetView>
  </sheetViews>
  <sheetFormatPr baseColWidth="10" defaultRowHeight="12.75"/>
  <cols>
    <col min="1" max="1" width="29.7109375" customWidth="1"/>
    <col min="2" max="4" width="12.28515625" bestFit="1" customWidth="1"/>
  </cols>
  <sheetData>
    <row r="1" spans="1:14" ht="20.25">
      <c r="A1" s="78" t="s">
        <v>26</v>
      </c>
      <c r="B1" s="79"/>
      <c r="C1" s="79"/>
      <c r="D1" s="79"/>
      <c r="E1" s="79"/>
      <c r="F1" s="79"/>
      <c r="G1" s="79"/>
      <c r="H1" s="80"/>
      <c r="I1" s="80"/>
      <c r="J1" s="80"/>
      <c r="K1" s="80"/>
      <c r="L1" s="80"/>
      <c r="M1" s="80"/>
      <c r="N1" s="80"/>
    </row>
    <row r="2" spans="1:14" ht="13.5" thickBot="1"/>
    <row r="3" spans="1:14" s="4" customFormat="1" ht="36.75" thickBot="1">
      <c r="A3" s="40" t="s">
        <v>16</v>
      </c>
      <c r="B3" s="37">
        <v>1</v>
      </c>
      <c r="C3" s="38">
        <f t="shared" ref="C3:N3" si="0">B3+1</f>
        <v>2</v>
      </c>
      <c r="D3" s="38">
        <f t="shared" si="0"/>
        <v>3</v>
      </c>
      <c r="E3" s="38">
        <f t="shared" si="0"/>
        <v>4</v>
      </c>
      <c r="F3" s="38">
        <f t="shared" si="0"/>
        <v>5</v>
      </c>
      <c r="G3" s="38">
        <f t="shared" si="0"/>
        <v>6</v>
      </c>
      <c r="H3" s="38">
        <f t="shared" si="0"/>
        <v>7</v>
      </c>
      <c r="I3" s="38">
        <f t="shared" si="0"/>
        <v>8</v>
      </c>
      <c r="J3" s="38">
        <f t="shared" si="0"/>
        <v>9</v>
      </c>
      <c r="K3" s="38">
        <f t="shared" si="0"/>
        <v>10</v>
      </c>
      <c r="L3" s="38">
        <f t="shared" si="0"/>
        <v>11</v>
      </c>
      <c r="M3" s="38">
        <f t="shared" si="0"/>
        <v>12</v>
      </c>
      <c r="N3" s="39">
        <f t="shared" si="0"/>
        <v>13</v>
      </c>
    </row>
    <row r="4" spans="1:14" ht="18">
      <c r="A4" s="41" t="s">
        <v>1</v>
      </c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</row>
    <row r="5" spans="1:14" ht="18">
      <c r="A5" s="42" t="s">
        <v>12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ht="18">
      <c r="A6" s="42" t="s">
        <v>2</v>
      </c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3"/>
    </row>
    <row r="7" spans="1:14" ht="18">
      <c r="A7" s="42" t="s">
        <v>20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3"/>
    </row>
    <row r="8" spans="1:14" ht="18">
      <c r="A8" s="42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1:14" ht="18">
      <c r="A9" s="42" t="s">
        <v>4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ht="18">
      <c r="A10" s="42" t="s">
        <v>17</v>
      </c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3"/>
    </row>
    <row r="11" spans="1:14" ht="18.75" thickBot="1">
      <c r="A11" s="43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7"/>
    </row>
    <row r="12" spans="1:14" s="1" customFormat="1" ht="18.75" thickBot="1">
      <c r="A12" s="44" t="s">
        <v>13</v>
      </c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</row>
    <row r="13" spans="1:14" ht="18">
      <c r="A13" s="41" t="s">
        <v>5</v>
      </c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</row>
    <row r="14" spans="1:14" ht="18">
      <c r="A14" s="42" t="s">
        <v>6</v>
      </c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4" ht="18.75" thickBot="1">
      <c r="A15" s="43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</row>
    <row r="16" spans="1:14" s="1" customFormat="1" ht="18.75" thickBot="1">
      <c r="A16" s="44" t="s">
        <v>14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1"/>
    </row>
    <row r="17" spans="1:6" ht="13.5" thickBot="1"/>
    <row r="18" spans="1:6" ht="18.75" thickBot="1">
      <c r="A18" s="71" t="s">
        <v>21</v>
      </c>
      <c r="B18" s="72" t="e">
        <f>IRR(B16:N16)</f>
        <v>#NUM!</v>
      </c>
    </row>
    <row r="19" spans="1:6" ht="15.75">
      <c r="A19" s="1"/>
      <c r="F19" s="3"/>
    </row>
    <row r="20" spans="1:6" ht="15.75">
      <c r="A20" s="1"/>
      <c r="F20" s="3"/>
    </row>
    <row r="21" spans="1:6" ht="15.75">
      <c r="A21" s="2"/>
      <c r="F21" s="3"/>
    </row>
    <row r="22" spans="1:6">
      <c r="A22" s="2"/>
    </row>
    <row r="23" spans="1:6">
      <c r="A23" s="2"/>
    </row>
    <row r="24" spans="1:6">
      <c r="A24" s="1"/>
    </row>
    <row r="25" spans="1:6">
      <c r="A25" s="2"/>
    </row>
    <row r="26" spans="1:6">
      <c r="A26" s="2"/>
    </row>
    <row r="27" spans="1:6">
      <c r="A27" s="2"/>
    </row>
    <row r="28" spans="1:6">
      <c r="A28" s="2"/>
    </row>
    <row r="29" spans="1:6">
      <c r="A29" s="2"/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abc imptos 10%</vt:lpstr>
      <vt:lpstr>CASO ABC CASO BASE</vt:lpstr>
      <vt:lpstr>CASO ABC IMPTOS 30%</vt:lpstr>
      <vt:lpstr>Hoja blanco</vt:lpstr>
    </vt:vector>
  </TitlesOfParts>
  <Company>IGF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ignacio</cp:lastModifiedBy>
  <dcterms:created xsi:type="dcterms:W3CDTF">2013-07-26T10:04:17Z</dcterms:created>
  <dcterms:modified xsi:type="dcterms:W3CDTF">2019-01-16T07:18:48Z</dcterms:modified>
</cp:coreProperties>
</file>