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ponader/Desktop/MILR-Nueral-Network/Testing/"/>
    </mc:Choice>
  </mc:AlternateContent>
  <xr:revisionPtr revIDLastSave="0" documentId="13_ncr:1_{196D3322-E8AA-494F-AA14-2AE61CFCBEF6}" xr6:coauthVersionLast="36" xr6:coauthVersionMax="36" xr10:uidLastSave="{00000000-0000-0000-0000-000000000000}"/>
  <bookViews>
    <workbookView xWindow="-33180" yWindow="200" windowWidth="28800" windowHeight="16560" activeTab="2" xr2:uid="{092AEE80-1F09-6346-80A0-61769927207A}"/>
  </bookViews>
  <sheets>
    <sheet name="TimeGraph" sheetId="2" r:id="rId1"/>
    <sheet name="Sheet2" sheetId="3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K33" i="3"/>
  <c r="L33" i="3"/>
  <c r="K34" i="3"/>
  <c r="K40" i="3" s="1"/>
  <c r="K46" i="3" s="1"/>
  <c r="K51" i="3" s="1"/>
  <c r="L34" i="3"/>
  <c r="L40" i="3" s="1"/>
  <c r="L46" i="3" s="1"/>
  <c r="L51" i="3" s="1"/>
  <c r="K35" i="3"/>
  <c r="L35" i="3"/>
  <c r="K39" i="3"/>
  <c r="K45" i="3" s="1"/>
  <c r="K50" i="3" s="1"/>
  <c r="L39" i="3"/>
  <c r="L45" i="3" s="1"/>
  <c r="L50" i="3" s="1"/>
  <c r="K41" i="3"/>
  <c r="K47" i="3" s="1"/>
  <c r="K52" i="3" s="1"/>
  <c r="L41" i="3"/>
  <c r="L47" i="3" s="1"/>
  <c r="L52" i="3" s="1"/>
  <c r="B51" i="3"/>
  <c r="C51" i="3"/>
  <c r="D51" i="3"/>
  <c r="E51" i="3"/>
  <c r="F51" i="3"/>
  <c r="G51" i="3"/>
  <c r="H51" i="3"/>
  <c r="I51" i="3"/>
  <c r="J51" i="3"/>
  <c r="B52" i="3"/>
  <c r="C52" i="3"/>
  <c r="D52" i="3"/>
  <c r="E52" i="3"/>
  <c r="F52" i="3"/>
  <c r="G52" i="3"/>
  <c r="H52" i="3"/>
  <c r="I52" i="3"/>
  <c r="J52" i="3"/>
  <c r="C50" i="3"/>
  <c r="D50" i="3"/>
  <c r="E50" i="3"/>
  <c r="F50" i="3"/>
  <c r="G50" i="3"/>
  <c r="H50" i="3"/>
  <c r="I50" i="3"/>
  <c r="J50" i="3"/>
  <c r="B50" i="3"/>
  <c r="B46" i="3"/>
  <c r="C46" i="3"/>
  <c r="D46" i="3"/>
  <c r="E46" i="3"/>
  <c r="F46" i="3"/>
  <c r="G46" i="3"/>
  <c r="H46" i="3"/>
  <c r="I46" i="3"/>
  <c r="J46" i="3"/>
  <c r="B47" i="3"/>
  <c r="C47" i="3"/>
  <c r="D47" i="3"/>
  <c r="E47" i="3"/>
  <c r="F47" i="3"/>
  <c r="G47" i="3"/>
  <c r="H47" i="3"/>
  <c r="I47" i="3"/>
  <c r="J47" i="3"/>
  <c r="C45" i="3"/>
  <c r="D45" i="3"/>
  <c r="E45" i="3"/>
  <c r="F45" i="3"/>
  <c r="G45" i="3"/>
  <c r="H45" i="3"/>
  <c r="I45" i="3"/>
  <c r="J45" i="3"/>
  <c r="B45" i="3"/>
  <c r="B40" i="3"/>
  <c r="C40" i="3"/>
  <c r="D40" i="3"/>
  <c r="E40" i="3"/>
  <c r="F40" i="3"/>
  <c r="G40" i="3"/>
  <c r="H40" i="3"/>
  <c r="I40" i="3"/>
  <c r="J40" i="3"/>
  <c r="B41" i="3"/>
  <c r="C41" i="3"/>
  <c r="D41" i="3"/>
  <c r="E41" i="3"/>
  <c r="F41" i="3"/>
  <c r="G41" i="3"/>
  <c r="H41" i="3"/>
  <c r="I41" i="3"/>
  <c r="J41" i="3"/>
  <c r="C39" i="3"/>
  <c r="D39" i="3"/>
  <c r="E39" i="3"/>
  <c r="F39" i="3"/>
  <c r="G39" i="3"/>
  <c r="H39" i="3"/>
  <c r="I39" i="3"/>
  <c r="J39" i="3"/>
  <c r="B39" i="3"/>
  <c r="B34" i="3"/>
  <c r="C34" i="3"/>
  <c r="D34" i="3"/>
  <c r="E34" i="3"/>
  <c r="F34" i="3"/>
  <c r="G34" i="3"/>
  <c r="H34" i="3"/>
  <c r="I34" i="3"/>
  <c r="J34" i="3"/>
  <c r="B35" i="3"/>
  <c r="C35" i="3"/>
  <c r="D35" i="3"/>
  <c r="E35" i="3"/>
  <c r="F35" i="3"/>
  <c r="G35" i="3"/>
  <c r="H35" i="3"/>
  <c r="I35" i="3"/>
  <c r="J35" i="3"/>
  <c r="C33" i="3"/>
  <c r="D33" i="3"/>
  <c r="E33" i="3"/>
  <c r="F33" i="3"/>
  <c r="G33" i="3"/>
  <c r="H33" i="3"/>
  <c r="I33" i="3"/>
  <c r="J33" i="3"/>
  <c r="B33" i="3"/>
  <c r="K26" i="3"/>
  <c r="K27" i="3"/>
  <c r="K25" i="3"/>
  <c r="P26" i="3"/>
  <c r="P27" i="3"/>
  <c r="P25" i="3"/>
  <c r="D26" i="3" l="1"/>
  <c r="D27" i="3"/>
  <c r="D25" i="3"/>
  <c r="E11" i="3" l="1"/>
  <c r="J25" i="3"/>
  <c r="J26" i="3"/>
  <c r="J27" i="3"/>
  <c r="M23" i="3"/>
  <c r="E26" i="3"/>
  <c r="E27" i="3"/>
  <c r="E25" i="3"/>
  <c r="P23" i="3"/>
  <c r="I20" i="3"/>
  <c r="K20" i="3"/>
  <c r="L11" i="3"/>
  <c r="L14" i="3" s="1"/>
  <c r="B8" i="3"/>
  <c r="F9" i="3" s="1"/>
  <c r="F11" i="3" l="1"/>
  <c r="F16" i="3"/>
  <c r="H16" i="3" s="1"/>
  <c r="F15" i="3"/>
  <c r="H15" i="3" s="1"/>
  <c r="F14" i="3"/>
  <c r="H14" i="3" s="1"/>
</calcChain>
</file>

<file path=xl/sharedStrings.xml><?xml version="1.0" encoding="utf-8"?>
<sst xmlns="http://schemas.openxmlformats.org/spreadsheetml/2006/main" count="70" uniqueCount="37">
  <si>
    <t>MNIST</t>
  </si>
  <si>
    <t>ACC</t>
  </si>
  <si>
    <t xml:space="preserve">Recov </t>
  </si>
  <si>
    <t>Erros</t>
  </si>
  <si>
    <t>CIFAR Small</t>
  </si>
  <si>
    <t>Cifar Large</t>
  </si>
  <si>
    <t>FIT</t>
  </si>
  <si>
    <t>Billion hours</t>
  </si>
  <si>
    <t>Mbit - Bits</t>
  </si>
  <si>
    <t>Errors per Hour</t>
  </si>
  <si>
    <t>MB</t>
  </si>
  <si>
    <t>CIFAR Large</t>
  </si>
  <si>
    <t>per MB per hour</t>
  </si>
  <si>
    <t>Errors per Year</t>
  </si>
  <si>
    <t>Max Degredation</t>
  </si>
  <si>
    <t>Actual Error Count</t>
  </si>
  <si>
    <t>Recov Time</t>
  </si>
  <si>
    <t>Detection Time</t>
  </si>
  <si>
    <t>Size</t>
  </si>
  <si>
    <t>Time to Error</t>
  </si>
  <si>
    <t>Days</t>
  </si>
  <si>
    <t>Detection/Correction Intervals calculated from availabilty goals over a year</t>
  </si>
  <si>
    <t>One Year</t>
  </si>
  <si>
    <t>seoncds</t>
  </si>
  <si>
    <t>Sum</t>
  </si>
  <si>
    <t>Seconds Year</t>
  </si>
  <si>
    <t>Days between times</t>
  </si>
  <si>
    <t>Slope</t>
  </si>
  <si>
    <t>Assume erros occur at constat rate</t>
  </si>
  <si>
    <t>Recovery per year</t>
  </si>
  <si>
    <t>AVG acc</t>
  </si>
  <si>
    <t>Column1</t>
  </si>
  <si>
    <t>ECC ACC</t>
  </si>
  <si>
    <t>slope 2</t>
  </si>
  <si>
    <t>Whole</t>
  </si>
  <si>
    <t>Slop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</si>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</sst>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0000000"/>
    <numFmt numFmtId="168" formatCode="0.00000000000000000000"/>
    <numFmt numFmtId="169" formatCode="_(* #,##0.0000_);_(* \(#,##0.0000\);_(* &quot;-&quot;??_);_(@_)"/>
    <numFmt numFmtId="170" formatCode="_(* #,##0.000000_);_(* \(#,##0.000000\);_(* &quot;-&quot;??_);_(@_)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NumberFormat="1" applyFont="1" applyBorder="1"/>
    <xf numFmtId="166" fontId="0" fillId="0" borderId="1" xfId="0" applyNumberFormat="1" applyFont="1" applyBorder="1"/>
    <xf numFmtId="43" fontId="0" fillId="0" borderId="0" xfId="1" applyFont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9" fontId="0" fillId="0" borderId="0" xfId="2" applyFont="1"/>
    <xf numFmtId="166" fontId="0" fillId="0" borderId="0" xfId="2" applyNumberFormat="1" applyFont="1"/>
    <xf numFmtId="170" fontId="0" fillId="0" borderId="0" xfId="0" applyNumberFormat="1"/>
    <xf numFmtId="0" fontId="0" fillId="0" borderId="0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0.0%"/>
    </dxf>
    <dxf>
      <numFmt numFmtId="164" formatCode="0.000"/>
    </dxf>
    <dxf>
      <numFmt numFmtId="0" formatCode="General"/>
    </dxf>
    <dxf>
      <numFmt numFmtId="0" formatCode="General"/>
    </dxf>
    <dxf>
      <numFmt numFmtId="166" formatCode="0.0%"/>
    </dxf>
    <dxf>
      <numFmt numFmtId="164" formatCode="0.000"/>
    </dxf>
    <dxf>
      <numFmt numFmtId="0" formatCode="General"/>
    </dxf>
    <dxf>
      <numFmt numFmtId="165" formatCode="0.0000"/>
    </dxf>
    <dxf>
      <numFmt numFmtId="165" formatCode="0.0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MNIST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Sheet1!$C$5:$C$22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3.75</c:v>
                </c:pt>
                <c:pt idx="6" formatCode="0.000">
                  <c:v>5.75</c:v>
                </c:pt>
                <c:pt idx="7">
                  <c:v>15.8</c:v>
                </c:pt>
                <c:pt idx="8" formatCode="0.000">
                  <c:v>26.225000000000001</c:v>
                </c:pt>
                <c:pt idx="9" formatCode="0.000">
                  <c:v>51.024999999999999</c:v>
                </c:pt>
                <c:pt idx="10" formatCode="0.000">
                  <c:v>259.60000000000002</c:v>
                </c:pt>
                <c:pt idx="11">
                  <c:v>388.2</c:v>
                </c:pt>
                <c:pt idx="12" formatCode="0.000">
                  <c:v>520.82500000000005</c:v>
                </c:pt>
                <c:pt idx="13">
                  <c:v>1525.65</c:v>
                </c:pt>
                <c:pt idx="14" formatCode="0.000">
                  <c:v>2594.4</c:v>
                </c:pt>
                <c:pt idx="15" formatCode="0.000">
                  <c:v>5169.1000000000004</c:v>
                </c:pt>
                <c:pt idx="16" formatCode="0.000">
                  <c:v>25891.85</c:v>
                </c:pt>
                <c:pt idx="17" formatCode="0.000">
                  <c:v>51739.05</c:v>
                </c:pt>
              </c:numCache>
            </c:numRef>
          </c:xVal>
          <c:yVal>
            <c:numRef>
              <c:f>Sheet1!$B$5:$B$22</c:f>
              <c:numCache>
                <c:formatCode>0.000</c:formatCode>
                <c:ptCount val="18"/>
                <c:pt idx="0">
                  <c:v>1.2825000112570662E-6</c:v>
                </c:pt>
                <c:pt idx="1">
                  <c:v>1.2824999657823313E-6</c:v>
                </c:pt>
                <c:pt idx="2">
                  <c:v>1.3949999868145767E-6</c:v>
                </c:pt>
                <c:pt idx="3">
                  <c:v>1.3025000043853598E-6</c:v>
                </c:pt>
                <c:pt idx="4">
                  <c:v>1.2689937499999327E-2</c:v>
                </c:pt>
                <c:pt idx="5">
                  <c:v>0.12582540249999827</c:v>
                </c:pt>
                <c:pt idx="6">
                  <c:v>0.15089435250001723</c:v>
                </c:pt>
                <c:pt idx="7">
                  <c:v>0.17367899000000717</c:v>
                </c:pt>
                <c:pt idx="8">
                  <c:v>0.17386645750000249</c:v>
                </c:pt>
                <c:pt idx="9">
                  <c:v>0.18230728250003325</c:v>
                </c:pt>
                <c:pt idx="10">
                  <c:v>0.20159218000001089</c:v>
                </c:pt>
                <c:pt idx="11">
                  <c:v>0.19737731500000227</c:v>
                </c:pt>
                <c:pt idx="12">
                  <c:v>0.21133891500002119</c:v>
                </c:pt>
                <c:pt idx="13">
                  <c:v>0.23129158249999984</c:v>
                </c:pt>
                <c:pt idx="14">
                  <c:v>0.26274960000002323</c:v>
                </c:pt>
                <c:pt idx="15">
                  <c:v>0.31364082999998544</c:v>
                </c:pt>
                <c:pt idx="16">
                  <c:v>1.162055942499989</c:v>
                </c:pt>
                <c:pt idx="17">
                  <c:v>3.8493452299999964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82-9F4D-9A5F-C92D40A22832}"/>
            </c:ext>
          </c:extLst>
        </c:ser>
        <c:ser>
          <c:idx val="1"/>
          <c:order val="1"/>
          <c:tx>
            <c:v>Cifar-10 Small</c:v>
          </c:tx>
          <c:spPr>
            <a:ln w="28575" cap="rnd" cmpd="dbl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Sheet1!$I$5:$I$22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1.85</c:v>
                </c:pt>
                <c:pt idx="6">
                  <c:v>1.95</c:v>
                </c:pt>
                <c:pt idx="7">
                  <c:v>6.5750000000000002</c:v>
                </c:pt>
                <c:pt idx="8">
                  <c:v>10.824999999999999</c:v>
                </c:pt>
                <c:pt idx="9">
                  <c:v>21.45</c:v>
                </c:pt>
                <c:pt idx="10">
                  <c:v>110.15</c:v>
                </c:pt>
                <c:pt idx="11">
                  <c:v>157.85</c:v>
                </c:pt>
                <c:pt idx="12">
                  <c:v>218.75</c:v>
                </c:pt>
                <c:pt idx="13">
                  <c:v>1088.875</c:v>
                </c:pt>
                <c:pt idx="14">
                  <c:v>2159.8000000000002</c:v>
                </c:pt>
                <c:pt idx="15">
                  <c:v>10833.075000000001</c:v>
                </c:pt>
                <c:pt idx="17">
                  <c:v>10833.075000000001</c:v>
                </c:pt>
              </c:numCache>
            </c:numRef>
          </c:xVal>
          <c:yVal>
            <c:numRef>
              <c:f>Sheet1!$H$5:$H$22</c:f>
              <c:numCache>
                <c:formatCode>General</c:formatCode>
                <c:ptCount val="18"/>
                <c:pt idx="0">
                  <c:v>1.5249998796207327E-6</c:v>
                </c:pt>
                <c:pt idx="1">
                  <c:v>1.4924999277354761E-6</c:v>
                </c:pt>
                <c:pt idx="2">
                  <c:v>1.5925000525385204E-6</c:v>
                </c:pt>
                <c:pt idx="3">
                  <c:v>1.5825000446056902E-6</c:v>
                </c:pt>
                <c:pt idx="4">
                  <c:v>4.177032500069797E-3</c:v>
                </c:pt>
                <c:pt idx="5">
                  <c:v>5.7370137500129079E-2</c:v>
                </c:pt>
                <c:pt idx="6">
                  <c:v>9.1628487500019867E-2</c:v>
                </c:pt>
                <c:pt idx="7">
                  <c:v>0.18601133999993605</c:v>
                </c:pt>
                <c:pt idx="8">
                  <c:v>0.32152289999999056</c:v>
                </c:pt>
                <c:pt idx="9">
                  <c:v>0.45258006999994194</c:v>
                </c:pt>
                <c:pt idx="10">
                  <c:v>0.59328378000003557</c:v>
                </c:pt>
                <c:pt idx="11">
                  <c:v>0.57425578749991912</c:v>
                </c:pt>
                <c:pt idx="12">
                  <c:v>0.67557092499996529</c:v>
                </c:pt>
                <c:pt idx="13">
                  <c:v>1.3813435574999982</c:v>
                </c:pt>
                <c:pt idx="14">
                  <c:v>2.7080596400000236</c:v>
                </c:pt>
                <c:pt idx="15">
                  <c:v>37.847229017499963</c:v>
                </c:pt>
                <c:pt idx="17">
                  <c:v>37.847229017499963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82-9F4D-9A5F-C92D40A22832}"/>
            </c:ext>
          </c:extLst>
        </c:ser>
        <c:ser>
          <c:idx val="0"/>
          <c:order val="2"/>
          <c:tx>
            <c:v>Cifar-10 Large</c:v>
          </c:tx>
          <c:spPr>
            <a:ln w="28575" cap="rnd" cmpd="sng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Sheet1!$O$5:$O$22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5</c:v>
                </c:pt>
                <c:pt idx="6">
                  <c:v>7.5</c:v>
                </c:pt>
                <c:pt idx="7">
                  <c:v>21.4</c:v>
                </c:pt>
                <c:pt idx="8">
                  <c:v>36.700000000000003</c:v>
                </c:pt>
                <c:pt idx="9">
                  <c:v>73.599999999999994</c:v>
                </c:pt>
                <c:pt idx="10">
                  <c:v>368.25</c:v>
                </c:pt>
                <c:pt idx="11">
                  <c:v>555.77499999999998</c:v>
                </c:pt>
                <c:pt idx="12">
                  <c:v>739.6</c:v>
                </c:pt>
                <c:pt idx="13">
                  <c:v>3702.25</c:v>
                </c:pt>
                <c:pt idx="14">
                  <c:v>7401.2</c:v>
                </c:pt>
                <c:pt idx="15">
                  <c:v>37006.625</c:v>
                </c:pt>
                <c:pt idx="17">
                  <c:v>37006.625</c:v>
                </c:pt>
              </c:numCache>
            </c:numRef>
          </c:xVal>
          <c:yVal>
            <c:numRef>
              <c:f>Sheet1!$N$5:$N$22</c:f>
              <c:numCache>
                <c:formatCode>General</c:formatCode>
                <c:ptCount val="18"/>
                <c:pt idx="0">
                  <c:v>1.4050000345378009E-6</c:v>
                </c:pt>
                <c:pt idx="1">
                  <c:v>1.7224999965037525E-6</c:v>
                </c:pt>
                <c:pt idx="2">
                  <c:v>1.7700000171316744E-6</c:v>
                </c:pt>
                <c:pt idx="3">
                  <c:v>1.4174999478200294E-6</c:v>
                </c:pt>
                <c:pt idx="4">
                  <c:v>1.4946369999984171E-2</c:v>
                </c:pt>
                <c:pt idx="5">
                  <c:v>0.19998113249998789</c:v>
                </c:pt>
                <c:pt idx="6">
                  <c:v>0.30392190999999658</c:v>
                </c:pt>
                <c:pt idx="7">
                  <c:v>0.55854668250012751</c:v>
                </c:pt>
                <c:pt idx="8">
                  <c:v>0.78619923999999586</c:v>
                </c:pt>
                <c:pt idx="9">
                  <c:v>0.96694186000001792</c:v>
                </c:pt>
                <c:pt idx="10">
                  <c:v>1.1875904949999854</c:v>
                </c:pt>
                <c:pt idx="11">
                  <c:v>1.1424633949999534</c:v>
                </c:pt>
                <c:pt idx="12">
                  <c:v>1.3330677850000094</c:v>
                </c:pt>
                <c:pt idx="13">
                  <c:v>3.0700002000000022</c:v>
                </c:pt>
                <c:pt idx="14">
                  <c:v>7.038936595</c:v>
                </c:pt>
                <c:pt idx="15">
                  <c:v>138.68415711249949</c:v>
                </c:pt>
                <c:pt idx="17">
                  <c:v>138.68415711249949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2-9F4D-9A5F-C92D40A2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475967"/>
        <c:axId val="2101471583"/>
      </c:scatterChart>
      <c:valAx>
        <c:axId val="2101475967"/>
        <c:scaling>
          <c:orientation val="minMax"/>
          <c:max val="5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71583"/>
        <c:crossesAt val="0"/>
        <c:crossBetween val="midCat"/>
      </c:valAx>
      <c:valAx>
        <c:axId val="2101471583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Recovery</a:t>
                </a:r>
                <a:r>
                  <a:rPr lang="en-US" sz="2400" baseline="0">
                    <a:solidFill>
                      <a:schemeClr val="tx1"/>
                    </a:solidFill>
                  </a:rPr>
                  <a:t> Time</a:t>
                </a:r>
                <a:endParaRPr lang="en-US" sz="2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7596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Sheet2!$A$50</c:f>
              <c:strCache>
                <c:ptCount val="1"/>
                <c:pt idx="0">
                  <c:v>MNIST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Sheet2!$B$49:$J$49</c:f>
              <c:numCache>
                <c:formatCode>General</c:formatCode>
                <c:ptCount val="9"/>
              </c:numCache>
            </c:numRef>
          </c:cat>
          <c:val>
            <c:numRef>
              <c:f>Sheet2!$B$50:$J$50</c:f>
              <c:numCache>
                <c:formatCode>0%</c:formatCode>
                <c:ptCount val="9"/>
                <c:pt idx="0">
                  <c:v>0.99999845935934772</c:v>
                </c:pt>
                <c:pt idx="1">
                  <c:v>0.99998445353523591</c:v>
                </c:pt>
                <c:pt idx="2">
                  <c:v>0.99984439529411751</c:v>
                </c:pt>
                <c:pt idx="3">
                  <c:v>0.99844381288292938</c:v>
                </c:pt>
                <c:pt idx="4">
                  <c:v>0.98443798877120003</c:v>
                </c:pt>
                <c:pt idx="5">
                  <c:v>0.84437974773130453</c:v>
                </c:pt>
                <c:pt idx="6">
                  <c:v>-0.55620265399457525</c:v>
                </c:pt>
                <c:pt idx="7">
                  <c:v>-14.562025503306625</c:v>
                </c:pt>
                <c:pt idx="8">
                  <c:v>-154.62025503306629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5-0F45-85B8-AADB5550A4D8}"/>
            </c:ext>
          </c:extLst>
        </c:ser>
        <c:ser>
          <c:idx val="1"/>
          <c:order val="1"/>
          <c:tx>
            <c:strRef>
              <c:f>Sheet2!$A$51</c:f>
              <c:strCache>
                <c:ptCount val="1"/>
                <c:pt idx="0">
                  <c:v>CIFAR Small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Sheet2!$B$49:$J$49</c:f>
              <c:numCache>
                <c:formatCode>General</c:formatCode>
                <c:ptCount val="9"/>
              </c:numCache>
            </c:numRef>
          </c:cat>
          <c:val>
            <c:numRef>
              <c:f>Sheet2!$B$51:$J$51</c:f>
              <c:numCache>
                <c:formatCode>0%</c:formatCode>
                <c:ptCount val="9"/>
                <c:pt idx="0">
                  <c:v>0.99999870829647597</c:v>
                </c:pt>
                <c:pt idx="1">
                  <c:v>0.99998696553716648</c:v>
                </c:pt>
                <c:pt idx="2">
                  <c:v>0.99986953794407185</c:v>
                </c:pt>
                <c:pt idx="3">
                  <c:v>0.99869526201312098</c:v>
                </c:pt>
                <c:pt idx="4">
                  <c:v>0.98695250270374024</c:v>
                </c:pt>
                <c:pt idx="5">
                  <c:v>0.86952490967482432</c:v>
                </c:pt>
                <c:pt idx="6">
                  <c:v>-0.3047510133426572</c:v>
                </c:pt>
                <c:pt idx="7">
                  <c:v>-12.047509264287873</c:v>
                </c:pt>
                <c:pt idx="8">
                  <c:v>-129.47509264287874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5-0F45-85B8-AADB5550A4D8}"/>
            </c:ext>
          </c:extLst>
        </c:ser>
        <c:ser>
          <c:idx val="2"/>
          <c:order val="2"/>
          <c:tx>
            <c:strRef>
              <c:f>Sheet2!$A$52</c:f>
              <c:strCache>
                <c:ptCount val="1"/>
                <c:pt idx="0">
                  <c:v>CIFAR Large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Sheet2!$B$49:$J$49</c:f>
              <c:numCache>
                <c:formatCode>General</c:formatCode>
                <c:ptCount val="9"/>
              </c:numCache>
            </c:numRef>
          </c:cat>
          <c:val>
            <c:numRef>
              <c:f>Sheet2!$B$52:$J$52</c:f>
              <c:numCache>
                <c:formatCode>0%</c:formatCode>
                <c:ptCount val="9"/>
                <c:pt idx="0">
                  <c:v>0.9999991615399636</c:v>
                </c:pt>
                <c:pt idx="1">
                  <c:v>0.99999153917599581</c:v>
                </c:pt>
                <c:pt idx="2">
                  <c:v>0.99991531553631863</c:v>
                </c:pt>
                <c:pt idx="3">
                  <c:v>0.99915307913954376</c:v>
                </c:pt>
                <c:pt idx="4">
                  <c:v>0.99153071517187796</c:v>
                </c:pt>
                <c:pt idx="5">
                  <c:v>0.91530707553734203</c:v>
                </c:pt>
                <c:pt idx="6">
                  <c:v>0.15307068391211565</c:v>
                </c:pt>
                <c:pt idx="7">
                  <c:v>-7.4692925967106341</c:v>
                </c:pt>
                <c:pt idx="8">
                  <c:v>-83.692925967106362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65-0F45-85B8-AADB5550A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989263"/>
        <c:axId val="1599531423"/>
      </c:lineChart>
      <c:catAx>
        <c:axId val="1607989263"/>
        <c:scaling>
          <c:orientation val="minMax"/>
        </c:scaling>
        <c:delete val="0"/>
        <c:axPos val="b"/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31423"/>
        <c:crosses val="autoZero"/>
        <c:auto val="1"/>
        <c:lblAlgn val="ctr"/>
        <c:lblOffset val="100"/>
        <c:noMultiLvlLbl val="0"/>
      </c:catAx>
      <c:valAx>
        <c:axId val="15995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98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DCFE7C-4DEA-704A-B506-C0BD51A9D9BF}">
  <sheetPr/>
  <sheetViews>
    <sheetView workbookViewId="0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7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FDBD12-2823-6348-AFAF-78BE3ADEF7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666750</xdr:colOff>
      <xdr:row>36</xdr:row>
      <xdr:rowOff>146050</xdr:rowOff>
    </xdr:from>
    <xdr:to>
      <xdr:col>17</xdr:col>
      <xdr:colOff>323850</xdr:colOff>
      <xdr:row>50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C9D2C7-63AE-A74A-AF0D-C4A09B822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5FEB53-A487-304E-89B5-CC97E28F5F91}" name="Table1" displayName="Table1" ref="A4:E22" totalsRowShown="0" headerRowDxfId="17">
  <autoFilter ref="A4:E22" xr:uid="{A42D9A70-CFA3-9D4F-B9CF-8413D7B28CA4}"/>
  <sortState ref="A5:C22">
    <sortCondition ref="C4:C22"/>
  </sortState>
  <tableColumns count="5">
    <tableColumn id="1" xr3:uid="{3BB8D5A0-5A78-8A42-8471-8C99B1677A2D}" name="ACC" dataDxfId="16"/>
    <tableColumn id="2" xr3:uid="{71AC0561-6532-6C45-9822-2E932072326D}" name="Recov " dataDxfId="15"/>
    <tableColumn id="3" xr3:uid="{38334C13-1E79-4D4A-AE6F-248DE8A7F791}" name="Erros" dataDxfId="14"/>
    <tableColumn id="5" xr3:uid="{036EC81A-1ED3-C548-B328-83407DD4804A}" name="Column2" dataDxfId="5">
      <calculatedColumnFormula>Table1[[#This Row],[Erros]]/1000</calculatedColumnFormula>
    </tableColumn>
    <tableColumn id="4" xr3:uid="{2086EBC7-1E40-4945-92EC-846086C6E45C}" name="Column1" dataDxfId="4">
      <calculatedColumnFormula>CONCATENATE("(",Table1[[#This Row],[Column2]],",",Table1[[#This Row],[Recov ]],")")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B02C19-B7BB-5346-9835-9C152B811893}" name="Table2" displayName="Table2" ref="M4:Q20" totalsRowShown="0" headerRowDxfId="13">
  <autoFilter ref="M4:Q20" xr:uid="{6C39FF00-9E99-8F45-8DAD-707461EFB28B}"/>
  <sortState ref="M5:O20">
    <sortCondition ref="O4:O20"/>
  </sortState>
  <tableColumns count="5">
    <tableColumn id="1" xr3:uid="{903AD2F4-44D3-C54F-A15E-D3A00CBBD1DE}" name="ACC" dataDxfId="12"/>
    <tableColumn id="2" xr3:uid="{A643AE1B-F621-434C-97B9-E77ED989FC42}" name="Recov " dataDxfId="11"/>
    <tableColumn id="3" xr3:uid="{DA65F678-BA09-EF40-8ABD-AC3DA9AC8662}" name="Erros" dataDxfId="10"/>
    <tableColumn id="5" xr3:uid="{6455D262-7F9F-1347-B964-62900276C88A}" name="Column2" dataDxfId="1">
      <calculatedColumnFormula>Table2[[#This Row],[Erros]]/1000</calculatedColumnFormula>
    </tableColumn>
    <tableColumn id="4" xr3:uid="{5FF24807-2F97-9240-A0DD-DD3DB5B8768F}" name="Column1" dataDxfId="0">
      <calculatedColumnFormula>CONCATENATE("(",Table2[[#This Row],[Column2]],",",Table2[[#This Row],[Recov ]],")")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7C1E48-D704-D040-9391-4AE2CA423805}" name="Table3" displayName="Table3" ref="G4:K20" totalsRowShown="0" headerRowDxfId="9">
  <autoFilter ref="G4:K20" xr:uid="{BF972B30-878E-BA40-8BA2-0E077D2907A2}"/>
  <sortState ref="G5:I20">
    <sortCondition ref="I4:I20"/>
  </sortState>
  <tableColumns count="5">
    <tableColumn id="1" xr3:uid="{7E036FBF-E3DC-FE48-9D09-3E0A0D85384F}" name="ACC" dataDxfId="8"/>
    <tableColumn id="2" xr3:uid="{7EACD0A9-0F5C-3E47-B5B9-214E44754527}" name="Recov " dataDxfId="7"/>
    <tableColumn id="3" xr3:uid="{18522A01-9512-354E-90FA-9B1395885FA8}" name="Erros" dataDxfId="6"/>
    <tableColumn id="5" xr3:uid="{9FC5F169-CE14-6B42-91C6-821953D85BDE}" name="Column2" dataDxfId="3">
      <calculatedColumnFormula>Table3[[#This Row],[Erros]]/1000</calculatedColumnFormula>
    </tableColumn>
    <tableColumn id="4" xr3:uid="{130F6A4E-B678-404E-9665-527811684E78}" name="Column1" dataDxfId="2">
      <calculatedColumnFormula>CONCATENATE("(",Table3[[#This Row],[Column2]],",",Table3[[#This Row],[Recov ]],")")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82A4-7C77-A549-87F3-7057F06087D0}">
  <dimension ref="A5:P58"/>
  <sheetViews>
    <sheetView topLeftCell="A20" workbookViewId="0">
      <selection activeCell="K50" sqref="K50"/>
    </sheetView>
  </sheetViews>
  <sheetFormatPr baseColWidth="10" defaultRowHeight="16"/>
  <cols>
    <col min="1" max="1" width="18.6640625" customWidth="1"/>
    <col min="2" max="2" width="12.6640625" bestFit="1" customWidth="1"/>
    <col min="3" max="3" width="16.6640625" bestFit="1" customWidth="1"/>
    <col min="4" max="4" width="16.6640625" customWidth="1"/>
    <col min="5" max="5" width="13.5" bestFit="1" customWidth="1"/>
    <col min="6" max="6" width="15.1640625" bestFit="1" customWidth="1"/>
    <col min="7" max="7" width="16.6640625" bestFit="1" customWidth="1"/>
    <col min="8" max="8" width="12.6640625" bestFit="1" customWidth="1"/>
    <col min="9" max="9" width="13" bestFit="1" customWidth="1"/>
    <col min="10" max="10" width="12.6640625" customWidth="1"/>
    <col min="11" max="11" width="13" bestFit="1" customWidth="1"/>
    <col min="12" max="12" width="12.6640625" bestFit="1" customWidth="1"/>
    <col min="13" max="13" width="23" bestFit="1" customWidth="1"/>
  </cols>
  <sheetData>
    <row r="5" spans="1:12">
      <c r="A5" t="s">
        <v>6</v>
      </c>
      <c r="C5" t="s">
        <v>7</v>
      </c>
      <c r="F5" t="s">
        <v>8</v>
      </c>
      <c r="H5" t="s">
        <v>10</v>
      </c>
    </row>
    <row r="6" spans="1:12">
      <c r="A6" s="7">
        <v>75000</v>
      </c>
      <c r="C6" s="7">
        <v>1000000000</v>
      </c>
      <c r="D6" s="7"/>
      <c r="F6" s="7">
        <v>1000000</v>
      </c>
      <c r="H6" s="7">
        <v>8000000</v>
      </c>
    </row>
    <row r="8" spans="1:12">
      <c r="A8" t="s">
        <v>9</v>
      </c>
      <c r="B8">
        <f>A6/C6</f>
        <v>7.4999999999999993E-5</v>
      </c>
    </row>
    <row r="9" spans="1:12">
      <c r="F9">
        <f>B8*(H6/F6)</f>
        <v>5.9999999999999995E-4</v>
      </c>
      <c r="G9" t="s">
        <v>12</v>
      </c>
    </row>
    <row r="11" spans="1:12">
      <c r="E11">
        <f>1/F9</f>
        <v>1666.6666666666667</v>
      </c>
      <c r="F11">
        <f>E11/24</f>
        <v>69.444444444444443</v>
      </c>
      <c r="L11">
        <f>24*60*60</f>
        <v>86400</v>
      </c>
    </row>
    <row r="14" spans="1:12">
      <c r="A14" t="s">
        <v>0</v>
      </c>
      <c r="B14">
        <v>6.68</v>
      </c>
      <c r="C14" t="s">
        <v>10</v>
      </c>
      <c r="F14">
        <f>B14*F9</f>
        <v>4.0079999999999994E-3</v>
      </c>
      <c r="H14">
        <f>1/F14/24</f>
        <v>10.395874916833003</v>
      </c>
      <c r="L14">
        <f>L11/(L11+1)</f>
        <v>0.99998842605988358</v>
      </c>
    </row>
    <row r="15" spans="1:12">
      <c r="A15" t="s">
        <v>4</v>
      </c>
      <c r="B15">
        <v>2.79</v>
      </c>
      <c r="C15" t="s">
        <v>10</v>
      </c>
      <c r="F15">
        <f>B15*F9</f>
        <v>1.6739999999999999E-3</v>
      </c>
      <c r="H15">
        <f t="shared" ref="H15:H16" si="0">1/F15/24</f>
        <v>24.890481879729194</v>
      </c>
    </row>
    <row r="16" spans="1:12">
      <c r="A16" t="s">
        <v>11</v>
      </c>
      <c r="B16">
        <v>9.56</v>
      </c>
      <c r="C16" t="s">
        <v>10</v>
      </c>
      <c r="F16">
        <f>F9*B16</f>
        <v>5.7359999999999998E-3</v>
      </c>
      <c r="H16">
        <f t="shared" si="0"/>
        <v>7.2640632264063223</v>
      </c>
    </row>
    <row r="20" spans="1:16">
      <c r="H20">
        <v>0.99999999900000003</v>
      </c>
      <c r="I20">
        <f>H20*(7*24*60*60) - (7*24*60*60)</f>
        <v>-6.0479994863271713E-4</v>
      </c>
      <c r="K20">
        <f>7*24*60*60</f>
        <v>604800</v>
      </c>
    </row>
    <row r="21" spans="1:16">
      <c r="J21" s="9"/>
    </row>
    <row r="22" spans="1:16">
      <c r="M22" t="s">
        <v>22</v>
      </c>
    </row>
    <row r="23" spans="1:16">
      <c r="B23" t="s">
        <v>18</v>
      </c>
      <c r="C23" t="s">
        <v>19</v>
      </c>
      <c r="E23" t="s">
        <v>13</v>
      </c>
      <c r="F23" t="s">
        <v>14</v>
      </c>
      <c r="G23" t="s">
        <v>15</v>
      </c>
      <c r="H23" t="s">
        <v>16</v>
      </c>
      <c r="I23" t="s">
        <v>17</v>
      </c>
      <c r="J23" t="s">
        <v>24</v>
      </c>
      <c r="K23" t="s">
        <v>27</v>
      </c>
      <c r="M23">
        <f>365*24*60*60</f>
        <v>31536000</v>
      </c>
      <c r="N23" t="s">
        <v>23</v>
      </c>
      <c r="P23">
        <f>K20/(K20+1)</f>
        <v>0.99999834656358044</v>
      </c>
    </row>
    <row r="24" spans="1:16">
      <c r="C24" t="s">
        <v>20</v>
      </c>
      <c r="L24" t="s">
        <v>32</v>
      </c>
      <c r="M24" t="s">
        <v>33</v>
      </c>
      <c r="N24" t="s">
        <v>34</v>
      </c>
      <c r="P24" t="s">
        <v>35</v>
      </c>
    </row>
    <row r="25" spans="1:16">
      <c r="A25" t="s">
        <v>0</v>
      </c>
      <c r="B25">
        <v>6.68</v>
      </c>
      <c r="C25">
        <v>10.395874916833</v>
      </c>
      <c r="D25">
        <f>C25*24*60*60</f>
        <v>898203.59281437111</v>
      </c>
      <c r="E25" s="7">
        <f>365/C25</f>
        <v>35.110080000000004</v>
      </c>
      <c r="F25" s="12">
        <v>0.85599999999999998</v>
      </c>
      <c r="G25" s="7">
        <v>51</v>
      </c>
      <c r="H25">
        <v>0.182</v>
      </c>
      <c r="I25" s="10">
        <v>0.01</v>
      </c>
      <c r="J25">
        <f>SUM(H25:I25)</f>
        <v>0.192</v>
      </c>
      <c r="K25" s="13">
        <f>(F25-1)/G25</f>
        <v>-2.8235294117647061E-3</v>
      </c>
      <c r="L25">
        <v>1</v>
      </c>
      <c r="M25">
        <v>0</v>
      </c>
      <c r="N25">
        <v>0.2636</v>
      </c>
      <c r="O25">
        <v>83.85</v>
      </c>
      <c r="P25">
        <f>(1-N25)/O25</f>
        <v>8.7823494335122244E-3</v>
      </c>
    </row>
    <row r="26" spans="1:16">
      <c r="A26" t="s">
        <v>4</v>
      </c>
      <c r="B26">
        <v>2.79</v>
      </c>
      <c r="C26">
        <v>24.890481879729194</v>
      </c>
      <c r="D26">
        <f t="shared" ref="D26:D27" si="1">C26*24*60*60</f>
        <v>2150537.6344086025</v>
      </c>
      <c r="E26" s="7">
        <f t="shared" ref="E26:E27" si="2">365/C26</f>
        <v>14.664239999999999</v>
      </c>
      <c r="F26" s="12">
        <v>0.70499999999999996</v>
      </c>
      <c r="G26" s="7">
        <v>21.5</v>
      </c>
      <c r="H26">
        <v>0.45300000000000001</v>
      </c>
      <c r="I26" s="10">
        <v>1.7999999999999999E-2</v>
      </c>
      <c r="J26">
        <f t="shared" ref="J26:J27" si="3">SUM(H26:I26)</f>
        <v>0.47100000000000003</v>
      </c>
      <c r="K26" s="13">
        <f t="shared" ref="K26:K27" si="4">(F26-1)/G26</f>
        <v>-1.3720930232558142E-2</v>
      </c>
      <c r="L26">
        <v>1</v>
      </c>
      <c r="M26">
        <v>0</v>
      </c>
      <c r="N26">
        <v>0.11700000000000001</v>
      </c>
      <c r="O26">
        <v>35</v>
      </c>
      <c r="P26">
        <f t="shared" ref="P26:P27" si="5">(1-N26)/O26</f>
        <v>2.522857142857143E-2</v>
      </c>
    </row>
    <row r="27" spans="1:16">
      <c r="A27" t="s">
        <v>11</v>
      </c>
      <c r="B27">
        <v>9.56</v>
      </c>
      <c r="C27">
        <v>7.2640632264063223</v>
      </c>
      <c r="D27">
        <f t="shared" si="1"/>
        <v>627615.0627615063</v>
      </c>
      <c r="E27" s="7">
        <f t="shared" si="2"/>
        <v>50.24736</v>
      </c>
      <c r="F27" s="12">
        <v>0.60799999999999998</v>
      </c>
      <c r="G27" s="7">
        <v>73.599999999999994</v>
      </c>
      <c r="H27">
        <v>0.97</v>
      </c>
      <c r="I27" s="10">
        <v>1.6E-2</v>
      </c>
      <c r="J27">
        <f t="shared" si="3"/>
        <v>0.98599999999999999</v>
      </c>
      <c r="K27" s="13">
        <f t="shared" si="4"/>
        <v>-5.3260869565217401E-3</v>
      </c>
      <c r="L27">
        <v>1</v>
      </c>
      <c r="M27">
        <v>0</v>
      </c>
      <c r="N27">
        <v>0.12</v>
      </c>
      <c r="O27">
        <v>121.7</v>
      </c>
      <c r="P27">
        <f t="shared" si="5"/>
        <v>7.2308956450287589E-3</v>
      </c>
    </row>
    <row r="30" spans="1:16">
      <c r="A30" t="s">
        <v>21</v>
      </c>
    </row>
    <row r="31" spans="1:16">
      <c r="A31" t="s">
        <v>25</v>
      </c>
      <c r="B31">
        <v>9</v>
      </c>
      <c r="C31">
        <v>8</v>
      </c>
      <c r="D31">
        <v>7</v>
      </c>
      <c r="E31">
        <v>6</v>
      </c>
      <c r="F31">
        <v>5</v>
      </c>
      <c r="G31">
        <v>4</v>
      </c>
      <c r="H31">
        <v>3</v>
      </c>
      <c r="I31">
        <v>2</v>
      </c>
      <c r="J31">
        <v>1</v>
      </c>
      <c r="K31">
        <v>1</v>
      </c>
      <c r="L31">
        <v>1</v>
      </c>
      <c r="M31" t="s">
        <v>28</v>
      </c>
    </row>
    <row r="32" spans="1:16">
      <c r="B32" s="8">
        <v>0.99</v>
      </c>
      <c r="C32" s="8">
        <v>0.999</v>
      </c>
      <c r="D32" s="8">
        <v>0.99990000000000001</v>
      </c>
      <c r="E32" s="8">
        <v>0.99999000000000005</v>
      </c>
      <c r="F32" s="8">
        <v>0.99999899999999997</v>
      </c>
      <c r="G32" s="8">
        <v>0.99999990000000005</v>
      </c>
      <c r="H32" s="8">
        <v>0.99999998999999995</v>
      </c>
      <c r="I32" s="8">
        <v>0.99999999900000003</v>
      </c>
      <c r="J32" s="8">
        <v>0.99999999989999999</v>
      </c>
      <c r="K32" s="8">
        <v>1.01</v>
      </c>
      <c r="L32" s="8">
        <v>2</v>
      </c>
      <c r="M32" s="8">
        <v>0.99999910999999897</v>
      </c>
    </row>
    <row r="33" spans="1:12">
      <c r="A33" t="s">
        <v>0</v>
      </c>
      <c r="B33">
        <f>1/((1/B$32)-1)</f>
        <v>98.999999999999361</v>
      </c>
      <c r="C33">
        <f t="shared" ref="C33:L35" si="6">1/((1/C$32)-1)</f>
        <v>998.99999999991167</v>
      </c>
      <c r="D33">
        <f t="shared" si="6"/>
        <v>9999.0000000082873</v>
      </c>
      <c r="E33">
        <f t="shared" si="6"/>
        <v>99999.000000380445</v>
      </c>
      <c r="F33">
        <f t="shared" si="6"/>
        <v>999998.99999436608</v>
      </c>
      <c r="G33">
        <f t="shared" si="6"/>
        <v>9999998.9949607067</v>
      </c>
      <c r="H33">
        <f t="shared" si="6"/>
        <v>99999998.387301072</v>
      </c>
      <c r="I33">
        <f t="shared" si="6"/>
        <v>999999917.25963581</v>
      </c>
      <c r="J33">
        <f t="shared" si="6"/>
        <v>9999999172.5963593</v>
      </c>
      <c r="K33">
        <f t="shared" si="6"/>
        <v>-100.99999999999991</v>
      </c>
      <c r="L33">
        <f t="shared" si="6"/>
        <v>-2</v>
      </c>
    </row>
    <row r="34" spans="1:12">
      <c r="A34" t="s">
        <v>4</v>
      </c>
      <c r="B34">
        <f t="shared" ref="B34:B35" si="7">1/((1/B$32)-1)</f>
        <v>98.999999999999361</v>
      </c>
      <c r="C34">
        <f t="shared" si="6"/>
        <v>998.99999999991167</v>
      </c>
      <c r="D34">
        <f t="shared" si="6"/>
        <v>9999.0000000082873</v>
      </c>
      <c r="E34">
        <f t="shared" si="6"/>
        <v>99999.000000380445</v>
      </c>
      <c r="F34">
        <f t="shared" si="6"/>
        <v>999998.99999436608</v>
      </c>
      <c r="G34">
        <f t="shared" si="6"/>
        <v>9999998.9949607067</v>
      </c>
      <c r="H34">
        <f t="shared" si="6"/>
        <v>99999998.387301072</v>
      </c>
      <c r="I34">
        <f t="shared" si="6"/>
        <v>999999917.25963581</v>
      </c>
      <c r="J34">
        <f t="shared" si="6"/>
        <v>9999999172.5963593</v>
      </c>
      <c r="K34">
        <f t="shared" si="6"/>
        <v>-100.99999999999991</v>
      </c>
      <c r="L34">
        <f t="shared" si="6"/>
        <v>-2</v>
      </c>
    </row>
    <row r="35" spans="1:12">
      <c r="A35" t="s">
        <v>11</v>
      </c>
      <c r="B35">
        <f t="shared" si="7"/>
        <v>98.999999999999361</v>
      </c>
      <c r="C35">
        <f t="shared" si="6"/>
        <v>998.99999999991167</v>
      </c>
      <c r="D35">
        <f t="shared" si="6"/>
        <v>9999.0000000082873</v>
      </c>
      <c r="E35">
        <f t="shared" si="6"/>
        <v>99999.000000380445</v>
      </c>
      <c r="F35">
        <f t="shared" si="6"/>
        <v>999998.99999436608</v>
      </c>
      <c r="G35">
        <f t="shared" si="6"/>
        <v>9999998.9949607067</v>
      </c>
      <c r="H35">
        <f t="shared" si="6"/>
        <v>99999998.387301072</v>
      </c>
      <c r="I35">
        <f t="shared" si="6"/>
        <v>999999917.25963581</v>
      </c>
      <c r="J35">
        <f t="shared" si="6"/>
        <v>9999999172.5963593</v>
      </c>
      <c r="K35">
        <f t="shared" si="6"/>
        <v>-100.99999999999991</v>
      </c>
      <c r="L35">
        <f t="shared" si="6"/>
        <v>-2</v>
      </c>
    </row>
    <row r="37" spans="1:12">
      <c r="A37" t="s">
        <v>29</v>
      </c>
    </row>
    <row r="38" spans="1:12">
      <c r="B38" s="8"/>
    </row>
    <row r="39" spans="1:12">
      <c r="A39" t="s">
        <v>0</v>
      </c>
      <c r="B39">
        <f>B33/(($I25*2)+$H25)</f>
        <v>490.09900990098697</v>
      </c>
      <c r="C39">
        <f t="shared" ref="C39:J39" si="8">C33/(($I25*2)+$H25)</f>
        <v>4945.5445544550084</v>
      </c>
      <c r="D39">
        <f t="shared" si="8"/>
        <v>49500.000000041029</v>
      </c>
      <c r="E39">
        <f t="shared" si="8"/>
        <v>495044.55445732898</v>
      </c>
      <c r="F39">
        <f t="shared" si="8"/>
        <v>4950490.098982011</v>
      </c>
      <c r="G39">
        <f t="shared" si="8"/>
        <v>49504945.519607462</v>
      </c>
      <c r="H39">
        <f t="shared" si="8"/>
        <v>495049496.96683705</v>
      </c>
      <c r="I39">
        <f t="shared" si="8"/>
        <v>4950494639.8991871</v>
      </c>
      <c r="J39">
        <f t="shared" si="8"/>
        <v>49504946398.991882</v>
      </c>
      <c r="K39">
        <f t="shared" ref="K39:L39" si="9">K33/(($I25*2)+$H25)</f>
        <v>-499.9999999999996</v>
      </c>
      <c r="L39">
        <f t="shared" si="9"/>
        <v>-9.9009900990099009</v>
      </c>
    </row>
    <row r="40" spans="1:12">
      <c r="A40" t="s">
        <v>4</v>
      </c>
      <c r="B40">
        <f t="shared" ref="B40:J40" si="10">B34/(($I26*2)+$H26)</f>
        <v>202.45398773006005</v>
      </c>
      <c r="C40">
        <f t="shared" si="10"/>
        <v>2042.9447852758931</v>
      </c>
      <c r="D40">
        <f t="shared" si="10"/>
        <v>20447.852760753143</v>
      </c>
      <c r="E40">
        <f t="shared" si="10"/>
        <v>204496.93251611543</v>
      </c>
      <c r="F40">
        <f t="shared" si="10"/>
        <v>2044987.7300498285</v>
      </c>
      <c r="G40">
        <f t="shared" si="10"/>
        <v>20449895.695216168</v>
      </c>
      <c r="H40">
        <f t="shared" si="10"/>
        <v>204498974.20715967</v>
      </c>
      <c r="I40">
        <f t="shared" si="10"/>
        <v>2044989605.8479261</v>
      </c>
      <c r="J40">
        <f t="shared" si="10"/>
        <v>20449896058.479263</v>
      </c>
      <c r="K40">
        <f t="shared" ref="K40:L40" si="11">K34/(($I26*2)+$H26)</f>
        <v>-206.54396728016343</v>
      </c>
      <c r="L40">
        <f t="shared" si="11"/>
        <v>-4.0899795501022496</v>
      </c>
    </row>
    <row r="41" spans="1:12">
      <c r="A41" t="s">
        <v>11</v>
      </c>
      <c r="B41">
        <f t="shared" ref="B41:J41" si="12">B35/(($I27*2)+$H27)</f>
        <v>98.802395209580197</v>
      </c>
      <c r="C41">
        <f t="shared" si="12"/>
        <v>997.00598802386389</v>
      </c>
      <c r="D41">
        <f t="shared" si="12"/>
        <v>9979.0419161759346</v>
      </c>
      <c r="E41">
        <f t="shared" si="12"/>
        <v>99799.40119798448</v>
      </c>
      <c r="F41">
        <f t="shared" si="12"/>
        <v>998002.99400635331</v>
      </c>
      <c r="G41">
        <f t="shared" si="12"/>
        <v>9980038.9171264544</v>
      </c>
      <c r="H41">
        <f t="shared" si="12"/>
        <v>99800397.592116833</v>
      </c>
      <c r="I41">
        <f t="shared" si="12"/>
        <v>998003909.44075429</v>
      </c>
      <c r="J41">
        <f t="shared" si="12"/>
        <v>9980039094.4075451</v>
      </c>
      <c r="K41">
        <f t="shared" ref="K41:L41" si="13">K35/(($I27*2)+$H27)</f>
        <v>-100.79840319361269</v>
      </c>
      <c r="L41">
        <f t="shared" si="13"/>
        <v>-1.996007984031936</v>
      </c>
    </row>
    <row r="43" spans="1:12">
      <c r="A43" t="s">
        <v>26</v>
      </c>
    </row>
    <row r="44" spans="1:12">
      <c r="B44" s="8"/>
    </row>
    <row r="45" spans="1:12">
      <c r="A45" t="s">
        <v>0</v>
      </c>
      <c r="B45">
        <f>B39/$D25</f>
        <v>5.456435643564322E-4</v>
      </c>
      <c r="C45">
        <f t="shared" ref="C45:J45" si="14">C39/$D25</f>
        <v>5.5060396039599106E-3</v>
      </c>
      <c r="D45">
        <f t="shared" si="14"/>
        <v>5.5110000000045685E-2</v>
      </c>
      <c r="E45">
        <f t="shared" si="14"/>
        <v>0.55114960396249302</v>
      </c>
      <c r="F45">
        <f t="shared" si="14"/>
        <v>5.5115456435333066</v>
      </c>
      <c r="G45">
        <f t="shared" si="14"/>
        <v>55.115506011829652</v>
      </c>
      <c r="H45">
        <f t="shared" si="14"/>
        <v>551.15510662307872</v>
      </c>
      <c r="I45">
        <f t="shared" si="14"/>
        <v>5511.550699087763</v>
      </c>
      <c r="J45">
        <f t="shared" si="14"/>
        <v>55115.506990877635</v>
      </c>
      <c r="K45">
        <f t="shared" ref="K45:L45" si="15">K39/$D25</f>
        <v>-5.5666666666666636E-4</v>
      </c>
      <c r="L45">
        <f t="shared" si="15"/>
        <v>-1.1023102310231025E-5</v>
      </c>
    </row>
    <row r="46" spans="1:12">
      <c r="A46" t="s">
        <v>4</v>
      </c>
      <c r="B46">
        <f t="shared" ref="B46:J46" si="16">B40/$D26</f>
        <v>9.4141104294477912E-5</v>
      </c>
      <c r="C46">
        <f t="shared" si="16"/>
        <v>9.4996932515329009E-4</v>
      </c>
      <c r="D46">
        <f t="shared" si="16"/>
        <v>9.5082515337502095E-3</v>
      </c>
      <c r="E46">
        <f t="shared" si="16"/>
        <v>9.5091073619993652E-2</v>
      </c>
      <c r="F46">
        <f t="shared" si="16"/>
        <v>0.95091929447317014</v>
      </c>
      <c r="G46">
        <f t="shared" si="16"/>
        <v>9.509201498275516</v>
      </c>
      <c r="H46">
        <f t="shared" si="16"/>
        <v>95.092023006329228</v>
      </c>
      <c r="I46">
        <f t="shared" si="16"/>
        <v>950.92016671928548</v>
      </c>
      <c r="J46">
        <f t="shared" si="16"/>
        <v>9509.2016671928559</v>
      </c>
      <c r="K46">
        <f t="shared" ref="K46:L46" si="17">K40/$D26</f>
        <v>-9.6042944785275974E-5</v>
      </c>
      <c r="L46">
        <f t="shared" si="17"/>
        <v>-1.9018404907975458E-6</v>
      </c>
    </row>
    <row r="47" spans="1:12">
      <c r="A47" t="s">
        <v>11</v>
      </c>
      <c r="B47">
        <f t="shared" ref="B47:J47" si="18">B41/$D27</f>
        <v>1.5742514970059778E-4</v>
      </c>
      <c r="C47">
        <f t="shared" si="18"/>
        <v>1.5885628742513564E-3</v>
      </c>
      <c r="D47">
        <f t="shared" si="18"/>
        <v>1.5899940119773654E-2</v>
      </c>
      <c r="E47">
        <f t="shared" si="18"/>
        <v>0.15901371257545527</v>
      </c>
      <c r="F47">
        <f t="shared" si="18"/>
        <v>1.5901514371167895</v>
      </c>
      <c r="G47">
        <f t="shared" si="18"/>
        <v>15.901528674621483</v>
      </c>
      <c r="H47">
        <f t="shared" si="18"/>
        <v>159.01530016343949</v>
      </c>
      <c r="I47">
        <f t="shared" si="18"/>
        <v>1590.1528957089351</v>
      </c>
      <c r="J47">
        <f t="shared" si="18"/>
        <v>15901.528957089355</v>
      </c>
      <c r="K47">
        <f t="shared" ref="K47:L47" si="19">K41/$D27</f>
        <v>-1.6060545575515621E-4</v>
      </c>
      <c r="L47">
        <f t="shared" si="19"/>
        <v>-3.1803060545575514E-6</v>
      </c>
    </row>
    <row r="49" spans="1:12">
      <c r="B49" s="8"/>
    </row>
    <row r="50" spans="1:12">
      <c r="A50" t="s">
        <v>0</v>
      </c>
      <c r="B50" s="11">
        <f>(B45*$K25)+1</f>
        <v>0.99999845935934772</v>
      </c>
      <c r="C50" s="11">
        <f t="shared" ref="C50:J50" si="20">(C45*$K25)+1</f>
        <v>0.99998445353523591</v>
      </c>
      <c r="D50" s="11">
        <f t="shared" si="20"/>
        <v>0.99984439529411751</v>
      </c>
      <c r="E50" s="11">
        <f t="shared" si="20"/>
        <v>0.99844381288292938</v>
      </c>
      <c r="F50" s="11">
        <f t="shared" si="20"/>
        <v>0.98443798877120003</v>
      </c>
      <c r="G50" s="11">
        <f t="shared" si="20"/>
        <v>0.84437974773130453</v>
      </c>
      <c r="H50" s="11">
        <f t="shared" si="20"/>
        <v>-0.55620265399457525</v>
      </c>
      <c r="I50" s="11">
        <f t="shared" si="20"/>
        <v>-14.562025503306625</v>
      </c>
      <c r="J50" s="11">
        <f t="shared" si="20"/>
        <v>-154.62025503306629</v>
      </c>
      <c r="K50" s="11">
        <f t="shared" ref="K50:L50" si="21">(K45*$K25)+1</f>
        <v>1.0000015717647059</v>
      </c>
      <c r="L50" s="11">
        <f t="shared" si="21"/>
        <v>1.0000000311240536</v>
      </c>
    </row>
    <row r="51" spans="1:12">
      <c r="A51" t="s">
        <v>4</v>
      </c>
      <c r="B51" s="11">
        <f t="shared" ref="B51:J51" si="22">(B46*$K26)+1</f>
        <v>0.99999870829647597</v>
      </c>
      <c r="C51" s="11">
        <f t="shared" si="22"/>
        <v>0.99998696553716648</v>
      </c>
      <c r="D51" s="11">
        <f t="shared" si="22"/>
        <v>0.99986953794407185</v>
      </c>
      <c r="E51" s="11">
        <f t="shared" si="22"/>
        <v>0.99869526201312098</v>
      </c>
      <c r="F51" s="11">
        <f t="shared" si="22"/>
        <v>0.98695250270374024</v>
      </c>
      <c r="G51" s="11">
        <f t="shared" si="22"/>
        <v>0.86952490967482432</v>
      </c>
      <c r="H51" s="11">
        <f t="shared" si="22"/>
        <v>-0.3047510133426572</v>
      </c>
      <c r="I51" s="11">
        <f t="shared" si="22"/>
        <v>-12.047509264287873</v>
      </c>
      <c r="J51" s="11">
        <f t="shared" si="22"/>
        <v>-129.47509264287874</v>
      </c>
      <c r="K51" s="11">
        <f t="shared" ref="K51:L51" si="23">(K46*$K26)+1</f>
        <v>1.0000013177985447</v>
      </c>
      <c r="L51" s="11">
        <f t="shared" si="23"/>
        <v>1.0000000260950206</v>
      </c>
    </row>
    <row r="52" spans="1:12">
      <c r="A52" t="s">
        <v>11</v>
      </c>
      <c r="B52" s="11">
        <f t="shared" ref="B52:J52" si="24">(B47*$K27)+1</f>
        <v>0.9999991615399636</v>
      </c>
      <c r="C52" s="11">
        <f t="shared" si="24"/>
        <v>0.99999153917599581</v>
      </c>
      <c r="D52" s="11">
        <f t="shared" si="24"/>
        <v>0.99991531553631863</v>
      </c>
      <c r="E52" s="11">
        <f t="shared" si="24"/>
        <v>0.99915307913954376</v>
      </c>
      <c r="F52" s="11">
        <f t="shared" si="24"/>
        <v>0.99153071517187796</v>
      </c>
      <c r="G52" s="11">
        <f t="shared" si="24"/>
        <v>0.91530707553734203</v>
      </c>
      <c r="H52" s="11">
        <f t="shared" si="24"/>
        <v>0.15307068391211565</v>
      </c>
      <c r="I52" s="11">
        <f t="shared" si="24"/>
        <v>-7.4692925967106341</v>
      </c>
      <c r="J52" s="11">
        <f t="shared" si="24"/>
        <v>-83.692925967106362</v>
      </c>
      <c r="K52" s="11">
        <f t="shared" ref="K52:L52" si="25">(K47*$K27)+1</f>
        <v>1.000000855398623</v>
      </c>
      <c r="L52" s="11">
        <f t="shared" si="25"/>
        <v>1.0000000169385865</v>
      </c>
    </row>
    <row r="55" spans="1:12">
      <c r="A55" t="s">
        <v>30</v>
      </c>
      <c r="B55" s="8"/>
    </row>
    <row r="56" spans="1:12">
      <c r="A56" t="s">
        <v>0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2">
      <c r="A57" t="s">
        <v>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</row>
    <row r="58" spans="1:12">
      <c r="A58" t="s">
        <v>11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36F3A-FBD7-CC41-ABA6-9186D2327107}">
  <dimension ref="A3:Q32"/>
  <sheetViews>
    <sheetView tabSelected="1" topLeftCell="A3" workbookViewId="0">
      <selection activeCell="Q5" sqref="Q5:Q20"/>
    </sheetView>
  </sheetViews>
  <sheetFormatPr baseColWidth="10" defaultRowHeight="16"/>
  <cols>
    <col min="5" max="5" width="26.33203125" bestFit="1" customWidth="1"/>
    <col min="11" max="11" width="26.33203125" bestFit="1" customWidth="1"/>
  </cols>
  <sheetData>
    <row r="3" spans="1:17">
      <c r="A3" t="s">
        <v>0</v>
      </c>
      <c r="G3" t="s">
        <v>4</v>
      </c>
      <c r="M3" t="s">
        <v>5</v>
      </c>
    </row>
    <row r="4" spans="1:17">
      <c r="A4" s="1" t="s">
        <v>1</v>
      </c>
      <c r="B4" s="1" t="s">
        <v>2</v>
      </c>
      <c r="C4" s="1" t="s">
        <v>3</v>
      </c>
      <c r="D4" s="1" t="s">
        <v>36</v>
      </c>
      <c r="E4" s="1" t="s">
        <v>31</v>
      </c>
      <c r="G4" s="1" t="s">
        <v>1</v>
      </c>
      <c r="H4" s="1" t="s">
        <v>2</v>
      </c>
      <c r="I4" s="1" t="s">
        <v>3</v>
      </c>
      <c r="J4" s="1" t="s">
        <v>36</v>
      </c>
      <c r="K4" s="1" t="s">
        <v>31</v>
      </c>
      <c r="M4" s="1" t="s">
        <v>1</v>
      </c>
      <c r="N4" s="1" t="s">
        <v>2</v>
      </c>
      <c r="O4" s="1" t="s">
        <v>3</v>
      </c>
      <c r="P4" s="1" t="s">
        <v>36</v>
      </c>
      <c r="Q4" s="1" t="s">
        <v>31</v>
      </c>
    </row>
    <row r="5" spans="1:17">
      <c r="A5" s="1">
        <v>1</v>
      </c>
      <c r="B5" s="1">
        <v>1.2825000112570662E-6</v>
      </c>
      <c r="C5" s="2">
        <v>0</v>
      </c>
      <c r="D5" s="2">
        <f>Table1[[#This Row],[Erros]]/1000</f>
        <v>0</v>
      </c>
      <c r="E5" s="2" t="str">
        <f>CONCATENATE("(",Table1[[#This Row],[Column2]],",",Table1[[#This Row],[Recov ]],")")</f>
        <v>(0,1.28250001125707E-06)</v>
      </c>
      <c r="G5" s="4">
        <v>1</v>
      </c>
      <c r="H5" s="2">
        <v>1.5249998796207327E-6</v>
      </c>
      <c r="I5" s="2">
        <v>0</v>
      </c>
      <c r="J5" s="2">
        <f>Table3[[#This Row],[Erros]]/1000</f>
        <v>0</v>
      </c>
      <c r="K5" s="2" t="str">
        <f>CONCATENATE("(",Table3[[#This Row],[Column2]],",",Table3[[#This Row],[Recov ]],")")</f>
        <v>(0,1.52499987962073E-06)</v>
      </c>
      <c r="M5" s="4">
        <v>1</v>
      </c>
      <c r="N5" s="2">
        <v>1.4050000345378009E-6</v>
      </c>
      <c r="O5" s="2">
        <v>0</v>
      </c>
      <c r="P5" s="2">
        <f>Table2[[#This Row],[Erros]]/1000</f>
        <v>0</v>
      </c>
      <c r="Q5" s="2" t="str">
        <f>CONCATENATE("(",Table2[[#This Row],[Column2]],",",Table2[[#This Row],[Recov ]],")")</f>
        <v>(0,1.4050000345378E-06)</v>
      </c>
    </row>
    <row r="6" spans="1:17">
      <c r="A6" s="1">
        <v>1</v>
      </c>
      <c r="B6" s="1">
        <v>1.2824999657823313E-6</v>
      </c>
      <c r="C6" s="2">
        <v>0</v>
      </c>
      <c r="D6" s="2">
        <f>Table1[[#This Row],[Erros]]/1000</f>
        <v>0</v>
      </c>
      <c r="E6" s="2" t="str">
        <f>CONCATENATE("(",Table1[[#This Row],[Column2]],",",Table1[[#This Row],[Recov ]],")")</f>
        <v>(0,1.28249996578233E-06)</v>
      </c>
      <c r="G6" s="4">
        <v>1</v>
      </c>
      <c r="H6" s="2">
        <v>1.4924999277354761E-6</v>
      </c>
      <c r="I6" s="2">
        <v>0</v>
      </c>
      <c r="J6" s="2">
        <f>Table3[[#This Row],[Erros]]/1000</f>
        <v>0</v>
      </c>
      <c r="K6" s="2" t="str">
        <f>CONCATENATE("(",Table3[[#This Row],[Column2]],",",Table3[[#This Row],[Recov ]],")")</f>
        <v>(0,1.49249992773548E-06)</v>
      </c>
      <c r="M6" s="4">
        <v>1</v>
      </c>
      <c r="N6" s="2">
        <v>1.7224999965037525E-6</v>
      </c>
      <c r="O6" s="2">
        <v>0</v>
      </c>
      <c r="P6" s="2">
        <f>Table2[[#This Row],[Erros]]/1000</f>
        <v>0</v>
      </c>
      <c r="Q6" t="str">
        <f>CONCATENATE("(",Table2[[#This Row],[Column2]],",",Table2[[#This Row],[Recov ]],")")</f>
        <v>(0,1.72249999650375E-06)</v>
      </c>
    </row>
    <row r="7" spans="1:17">
      <c r="A7" s="1">
        <v>1</v>
      </c>
      <c r="B7" s="1">
        <v>1.3949999868145767E-6</v>
      </c>
      <c r="C7" s="2">
        <v>0</v>
      </c>
      <c r="D7" s="2">
        <f>Table1[[#This Row],[Erros]]/1000</f>
        <v>0</v>
      </c>
      <c r="E7" s="2" t="str">
        <f>CONCATENATE("(",Table1[[#This Row],[Column2]],",",Table1[[#This Row],[Recov ]],")")</f>
        <v>(0,1.39499998681458E-06)</v>
      </c>
      <c r="G7" s="4">
        <v>1</v>
      </c>
      <c r="H7" s="2">
        <v>1.5925000525385204E-6</v>
      </c>
      <c r="I7" s="2">
        <v>0</v>
      </c>
      <c r="J7" s="2">
        <f>Table3[[#This Row],[Erros]]/1000</f>
        <v>0</v>
      </c>
      <c r="K7" s="2" t="str">
        <f>CONCATENATE("(",Table3[[#This Row],[Column2]],",",Table3[[#This Row],[Recov ]],")")</f>
        <v>(0,1.59250005253852E-06)</v>
      </c>
      <c r="M7" s="4">
        <v>1</v>
      </c>
      <c r="N7" s="2">
        <v>1.7700000171316744E-6</v>
      </c>
      <c r="O7" s="2">
        <v>0</v>
      </c>
      <c r="P7" s="2">
        <f>Table2[[#This Row],[Erros]]/1000</f>
        <v>0</v>
      </c>
      <c r="Q7" t="str">
        <f>CONCATENATE("(",Table2[[#This Row],[Column2]],",",Table2[[#This Row],[Recov ]],")")</f>
        <v>(0,1.77000001713167E-06)</v>
      </c>
    </row>
    <row r="8" spans="1:17">
      <c r="A8" s="1">
        <v>1</v>
      </c>
      <c r="B8" s="1">
        <v>1.3025000043853598E-6</v>
      </c>
      <c r="C8" s="2">
        <v>0</v>
      </c>
      <c r="D8" s="2">
        <f>Table1[[#This Row],[Erros]]/1000</f>
        <v>0</v>
      </c>
      <c r="E8" s="2" t="str">
        <f>CONCATENATE("(",Table1[[#This Row],[Column2]],",",Table1[[#This Row],[Recov ]],")")</f>
        <v>(0,1.30250000438536E-06)</v>
      </c>
      <c r="G8" s="4">
        <v>1</v>
      </c>
      <c r="H8" s="2">
        <v>1.5825000446056902E-6</v>
      </c>
      <c r="I8" s="2">
        <v>0</v>
      </c>
      <c r="J8" s="2">
        <f>Table3[[#This Row],[Erros]]/1000</f>
        <v>0</v>
      </c>
      <c r="K8" s="2" t="str">
        <f>CONCATENATE("(",Table3[[#This Row],[Column2]],",",Table3[[#This Row],[Recov ]],")")</f>
        <v>(0,1.58250004460569E-06)</v>
      </c>
      <c r="M8" s="4">
        <v>1</v>
      </c>
      <c r="N8" s="2">
        <v>1.4174999478200294E-6</v>
      </c>
      <c r="O8" s="2">
        <v>0</v>
      </c>
      <c r="P8" s="2">
        <f>Table2[[#This Row],[Erros]]/1000</f>
        <v>0</v>
      </c>
      <c r="Q8" t="str">
        <f>CONCATENATE("(",Table2[[#This Row],[Column2]],",",Table2[[#This Row],[Recov ]],")")</f>
        <v>(0,1.41749994782003E-06)</v>
      </c>
    </row>
    <row r="9" spans="1:17">
      <c r="A9" s="1">
        <v>1</v>
      </c>
      <c r="B9" s="1">
        <v>1.2689937499999327E-2</v>
      </c>
      <c r="C9" s="2">
        <v>0.25</v>
      </c>
      <c r="D9" s="2">
        <f>Table1[[#This Row],[Erros]]/1000</f>
        <v>2.5000000000000001E-4</v>
      </c>
      <c r="E9" s="2" t="str">
        <f>CONCATENATE("(",Table1[[#This Row],[Column2]],",",Table1[[#This Row],[Recov ]],")")</f>
        <v>(0.00025,0.0126899374999993)</v>
      </c>
      <c r="G9" s="4">
        <v>0.99999410385689669</v>
      </c>
      <c r="H9" s="2">
        <v>4.177032500069797E-3</v>
      </c>
      <c r="I9" s="2">
        <v>0.05</v>
      </c>
      <c r="J9" s="2">
        <f>Table3[[#This Row],[Erros]]/1000</f>
        <v>5.0000000000000002E-5</v>
      </c>
      <c r="K9" s="2" t="str">
        <f>CONCATENATE("(",Table3[[#This Row],[Column2]],",",Table3[[#This Row],[Recov ]],")")</f>
        <v>(0.00005,0.0041770325000698)</v>
      </c>
      <c r="M9" s="4">
        <v>1</v>
      </c>
      <c r="N9" s="2">
        <v>1.4946369999984171E-2</v>
      </c>
      <c r="O9" s="2">
        <v>0.25</v>
      </c>
      <c r="P9" s="2">
        <f>Table2[[#This Row],[Erros]]/1000</f>
        <v>2.5000000000000001E-4</v>
      </c>
      <c r="Q9" t="str">
        <f>CONCATENATE("(",Table2[[#This Row],[Column2]],",",Table2[[#This Row],[Recov ]],")")</f>
        <v>(0.00025,0.0149463699999842)</v>
      </c>
    </row>
    <row r="10" spans="1:17">
      <c r="A10" s="1">
        <v>0.9948815546934513</v>
      </c>
      <c r="B10" s="1">
        <v>0.12582540249999827</v>
      </c>
      <c r="C10" s="2">
        <v>3.75</v>
      </c>
      <c r="D10" s="2">
        <f>Table1[[#This Row],[Erros]]/1000</f>
        <v>3.7499999999999999E-3</v>
      </c>
      <c r="E10" s="2" t="str">
        <f>CONCATENATE("(",Table1[[#This Row],[Column2]],",",Table1[[#This Row],[Recov ]],")")</f>
        <v>(0.00375,0.125825402499998)</v>
      </c>
      <c r="G10" s="4">
        <v>0.97801038526084449</v>
      </c>
      <c r="H10" s="2">
        <v>5.7370137500129079E-2</v>
      </c>
      <c r="I10" s="2">
        <v>1.85</v>
      </c>
      <c r="J10" s="2">
        <f>Table3[[#This Row],[Erros]]/1000</f>
        <v>1.8500000000000001E-3</v>
      </c>
      <c r="K10" s="2" t="str">
        <f>CONCATENATE("(",Table3[[#This Row],[Column2]],",",Table3[[#This Row],[Recov ]],")")</f>
        <v>(0.00185,0.0573701375001291)</v>
      </c>
      <c r="M10" s="4">
        <v>0.9948690405156182</v>
      </c>
      <c r="N10" s="2">
        <v>0.19998113249998789</v>
      </c>
      <c r="O10" s="2">
        <v>5</v>
      </c>
      <c r="P10" s="2">
        <f>Table2[[#This Row],[Erros]]/1000</f>
        <v>5.0000000000000001E-3</v>
      </c>
      <c r="Q10" t="str">
        <f>CONCATENATE("(",Table2[[#This Row],[Column2]],",",Table2[[#This Row],[Recov ]],")")</f>
        <v>(0.005,0.199981132499988)</v>
      </c>
    </row>
    <row r="11" spans="1:17">
      <c r="A11" s="1">
        <v>0.99113407482233673</v>
      </c>
      <c r="B11" s="1">
        <v>0.15089435250001723</v>
      </c>
      <c r="C11" s="1">
        <v>5.75</v>
      </c>
      <c r="D11" s="1">
        <f>Table1[[#This Row],[Erros]]/1000</f>
        <v>5.7499999999999999E-3</v>
      </c>
      <c r="E11" s="1" t="str">
        <f>CONCATENATE("(",Table1[[#This Row],[Column2]],",",Table1[[#This Row],[Recov ]],")")</f>
        <v>(0.00575,0.150894352500017)</v>
      </c>
      <c r="G11" s="4">
        <v>0.99125192674709139</v>
      </c>
      <c r="H11" s="2">
        <v>9.1628487500019867E-2</v>
      </c>
      <c r="I11" s="2">
        <v>1.95</v>
      </c>
      <c r="J11" s="2">
        <f>Table3[[#This Row],[Erros]]/1000</f>
        <v>1.9499999999999999E-3</v>
      </c>
      <c r="K11" s="2" t="str">
        <f>CONCATENATE("(",Table3[[#This Row],[Column2]],",",Table3[[#This Row],[Recov ]],")")</f>
        <v>(0.00195,0.0916284875000199)</v>
      </c>
      <c r="M11" s="4">
        <v>0.95063390108701318</v>
      </c>
      <c r="N11" s="2">
        <v>0.30392190999999658</v>
      </c>
      <c r="O11" s="2">
        <v>7.5</v>
      </c>
      <c r="P11" s="2">
        <f>Table2[[#This Row],[Erros]]/1000</f>
        <v>7.4999999999999997E-3</v>
      </c>
      <c r="Q11" t="str">
        <f>CONCATENATE("(",Table2[[#This Row],[Column2]],",",Table2[[#This Row],[Recov ]],")")</f>
        <v>(0.0075,0.303921909999997)</v>
      </c>
    </row>
    <row r="12" spans="1:17">
      <c r="A12" s="1">
        <v>0.96992943819376776</v>
      </c>
      <c r="B12" s="1">
        <v>0.17367899000000717</v>
      </c>
      <c r="C12" s="2">
        <v>15.8</v>
      </c>
      <c r="D12" s="2">
        <f>Table1[[#This Row],[Erros]]/1000</f>
        <v>1.5800000000000002E-2</v>
      </c>
      <c r="E12" s="2" t="str">
        <f>CONCATENATE("(",Table1[[#This Row],[Column2]],",",Table1[[#This Row],[Recov ]],")")</f>
        <v>(0.0158,0.173678990000007)</v>
      </c>
      <c r="G12" s="4">
        <v>0.82391792857016832</v>
      </c>
      <c r="H12" s="2">
        <v>0.18601133999993605</v>
      </c>
      <c r="I12" s="2">
        <v>6.5750000000000002</v>
      </c>
      <c r="J12" s="2">
        <f>Table3[[#This Row],[Erros]]/1000</f>
        <v>6.5750000000000001E-3</v>
      </c>
      <c r="K12" s="2" t="str">
        <f>CONCATENATE("(",Table3[[#This Row],[Column2]],",",Table3[[#This Row],[Recov ]],")")</f>
        <v>(0.006575,0.186011339999936)</v>
      </c>
      <c r="M12" s="4">
        <v>0.86984512888319543</v>
      </c>
      <c r="N12" s="2">
        <v>0.55854668250012751</v>
      </c>
      <c r="O12" s="2">
        <v>21.4</v>
      </c>
      <c r="P12" s="2">
        <f>Table2[[#This Row],[Erros]]/1000</f>
        <v>2.1399999999999999E-2</v>
      </c>
      <c r="Q12" t="str">
        <f>CONCATENATE("(",Table2[[#This Row],[Column2]],",",Table2[[#This Row],[Recov ]],")")</f>
        <v>(0.0214,0.558546682500128)</v>
      </c>
    </row>
    <row r="13" spans="1:17">
      <c r="A13" s="1">
        <v>0.94286038714298959</v>
      </c>
      <c r="B13" s="1">
        <v>0.17386645750000249</v>
      </c>
      <c r="C13" s="1">
        <v>26.225000000000001</v>
      </c>
      <c r="D13" s="1">
        <f>Table1[[#This Row],[Erros]]/1000</f>
        <v>2.6225000000000002E-2</v>
      </c>
      <c r="E13" s="1" t="str">
        <f>CONCATENATE("(",Table1[[#This Row],[Column2]],",",Table1[[#This Row],[Recov ]],")")</f>
        <v>(0.026225,0.173866457500002)</v>
      </c>
      <c r="G13" s="4">
        <v>0.81527304770705589</v>
      </c>
      <c r="H13" s="2">
        <v>0.32152289999999056</v>
      </c>
      <c r="I13" s="2">
        <v>10.824999999999999</v>
      </c>
      <c r="J13" s="2">
        <f>Table3[[#This Row],[Erros]]/1000</f>
        <v>1.0825E-2</v>
      </c>
      <c r="K13" s="2" t="str">
        <f>CONCATENATE("(",Table3[[#This Row],[Column2]],",",Table3[[#This Row],[Recov ]],")")</f>
        <v>(0.010825,0.321522899999991)</v>
      </c>
      <c r="M13" s="4">
        <v>0.78470280528043967</v>
      </c>
      <c r="N13" s="2">
        <v>0.78619923999999586</v>
      </c>
      <c r="O13" s="2">
        <v>36.700000000000003</v>
      </c>
      <c r="P13" s="2">
        <f>Table2[[#This Row],[Erros]]/1000</f>
        <v>3.6700000000000003E-2</v>
      </c>
      <c r="Q13" t="str">
        <f>CONCATENATE("(",Table2[[#This Row],[Column2]],",",Table2[[#This Row],[Recov ]],")")</f>
        <v>(0.0367,0.786199239999996)</v>
      </c>
    </row>
    <row r="14" spans="1:17">
      <c r="A14" s="1">
        <v>0.85637097730228628</v>
      </c>
      <c r="B14" s="1">
        <v>0.18230728250003325</v>
      </c>
      <c r="C14" s="1">
        <v>51.024999999999999</v>
      </c>
      <c r="D14" s="1">
        <f>Table1[[#This Row],[Erros]]/1000</f>
        <v>5.1025000000000001E-2</v>
      </c>
      <c r="E14" s="1" t="str">
        <f>CONCATENATE("(",Table1[[#This Row],[Column2]],",",Table1[[#This Row],[Recov ]],")")</f>
        <v>(0.051025,0.182307282500033)</v>
      </c>
      <c r="G14" s="4">
        <v>0.7046291039089162</v>
      </c>
      <c r="H14" s="2">
        <v>0.45258006999994194</v>
      </c>
      <c r="I14" s="2">
        <v>21.45</v>
      </c>
      <c r="J14" s="2">
        <f>Table3[[#This Row],[Erros]]/1000</f>
        <v>2.145E-2</v>
      </c>
      <c r="K14" s="2" t="str">
        <f>CONCATENATE("(",Table3[[#This Row],[Column2]],",",Table3[[#This Row],[Recov ]],")")</f>
        <v>(0.02145,0.452580069999942)</v>
      </c>
      <c r="M14" s="4">
        <v>0.60796257604742987</v>
      </c>
      <c r="N14" s="2">
        <v>0.96694186000001792</v>
      </c>
      <c r="O14" s="2">
        <v>73.599999999999994</v>
      </c>
      <c r="P14" s="2">
        <f>Table2[[#This Row],[Erros]]/1000</f>
        <v>7.3599999999999999E-2</v>
      </c>
      <c r="Q14" t="str">
        <f>CONCATENATE("(",Table2[[#This Row],[Column2]],",",Table2[[#This Row],[Recov ]],")")</f>
        <v>(0.0736,0.966941860000018)</v>
      </c>
    </row>
    <row r="15" spans="1:17">
      <c r="A15" s="1">
        <v>0.58856351744739721</v>
      </c>
      <c r="B15" s="1">
        <v>0.20159218000001089</v>
      </c>
      <c r="C15" s="1">
        <v>259.60000000000002</v>
      </c>
      <c r="D15" s="1">
        <f>Table1[[#This Row],[Erros]]/1000</f>
        <v>0.2596</v>
      </c>
      <c r="E15" s="1" t="str">
        <f>CONCATENATE("(",Table1[[#This Row],[Column2]],",",Table1[[#This Row],[Recov ]],")")</f>
        <v>(0.2596,0.201592180000011)</v>
      </c>
      <c r="G15" s="4">
        <v>0.24233106130892171</v>
      </c>
      <c r="H15" s="2">
        <v>0.59328378000003557</v>
      </c>
      <c r="I15" s="2">
        <v>110.15</v>
      </c>
      <c r="J15" s="2">
        <f>Table3[[#This Row],[Erros]]/1000</f>
        <v>0.11015000000000001</v>
      </c>
      <c r="K15" s="2" t="str">
        <f>CONCATENATE("(",Table3[[#This Row],[Column2]],",",Table3[[#This Row],[Recov ]],")")</f>
        <v>(0.11015,0.593283780000036)</v>
      </c>
      <c r="M15" s="4">
        <v>0.1633417086647373</v>
      </c>
      <c r="N15" s="2">
        <v>1.1875904949999854</v>
      </c>
      <c r="O15" s="2">
        <v>368.25</v>
      </c>
      <c r="P15" s="2">
        <f>Table2[[#This Row],[Erros]]/1000</f>
        <v>0.36825000000000002</v>
      </c>
      <c r="Q15" t="str">
        <f>CONCATENATE("(",Table2[[#This Row],[Column2]],",",Table2[[#This Row],[Recov ]],")")</f>
        <v>(0.36825,1.18759049499999)</v>
      </c>
    </row>
    <row r="16" spans="1:17">
      <c r="A16" s="1">
        <v>0.43529990585229872</v>
      </c>
      <c r="B16" s="1">
        <v>0.19737731500000227</v>
      </c>
      <c r="C16" s="2">
        <v>388.2</v>
      </c>
      <c r="D16" s="2">
        <f>Table1[[#This Row],[Erros]]/1000</f>
        <v>0.38819999999999999</v>
      </c>
      <c r="E16" s="2" t="str">
        <f>CONCATENATE("(",Table1[[#This Row],[Column2]],",",Table1[[#This Row],[Recov ]],")")</f>
        <v>(0.3882,0.197377315000002)</v>
      </c>
      <c r="G16" s="4">
        <v>0.16866376165775554</v>
      </c>
      <c r="H16" s="2">
        <v>0.57425578749991912</v>
      </c>
      <c r="I16" s="2">
        <v>157.85</v>
      </c>
      <c r="J16" s="2">
        <f>Table3[[#This Row],[Erros]]/1000</f>
        <v>0.15784999999999999</v>
      </c>
      <c r="K16" s="2" t="str">
        <f>CONCATENATE("(",Table3[[#This Row],[Column2]],",",Table3[[#This Row],[Recov ]],")")</f>
        <v>(0.15785,0.574255787499919)</v>
      </c>
      <c r="M16" s="4">
        <v>0.12064944674469932</v>
      </c>
      <c r="N16" s="2">
        <v>1.1424633949999534</v>
      </c>
      <c r="O16" s="2">
        <v>555.77499999999998</v>
      </c>
      <c r="P16" s="2">
        <f>Table2[[#This Row],[Erros]]/1000</f>
        <v>0.55577500000000002</v>
      </c>
      <c r="Q16" t="str">
        <f>CONCATENATE("(",Table2[[#This Row],[Column2]],",",Table2[[#This Row],[Recov ]],")")</f>
        <v>(0.555775,1.14246339499995)</v>
      </c>
    </row>
    <row r="17" spans="1:17">
      <c r="A17" s="1">
        <v>0.37825353265679629</v>
      </c>
      <c r="B17" s="1">
        <v>0.21133891500002119</v>
      </c>
      <c r="C17" s="1">
        <v>520.82500000000005</v>
      </c>
      <c r="D17" s="1">
        <f>Table1[[#This Row],[Erros]]/1000</f>
        <v>0.52082500000000009</v>
      </c>
      <c r="E17" s="1" t="str">
        <f>CONCATENATE("(",Table1[[#This Row],[Column2]],",",Table1[[#This Row],[Recov ]],")")</f>
        <v>(0.520825,0.211338915000021)</v>
      </c>
      <c r="G17" s="4">
        <v>0.1357382985636045</v>
      </c>
      <c r="H17" s="2">
        <v>0.67557092499996529</v>
      </c>
      <c r="I17" s="2">
        <v>218.75</v>
      </c>
      <c r="J17" s="2">
        <f>Table3[[#This Row],[Erros]]/1000</f>
        <v>0.21875</v>
      </c>
      <c r="K17" s="2" t="str">
        <f>CONCATENATE("(",Table3[[#This Row],[Column2]],",",Table3[[#This Row],[Recov ]],")")</f>
        <v>(0.21875,0.675570924999965)</v>
      </c>
      <c r="M17" s="4">
        <v>0.1206913066933855</v>
      </c>
      <c r="N17" s="2">
        <v>1.3330677850000094</v>
      </c>
      <c r="O17" s="2">
        <v>739.6</v>
      </c>
      <c r="P17" s="2">
        <f>Table2[[#This Row],[Erros]]/1000</f>
        <v>0.73960000000000004</v>
      </c>
      <c r="Q17" t="str">
        <f>CONCATENATE("(",Table2[[#This Row],[Column2]],",",Table2[[#This Row],[Recov ]],")")</f>
        <v>(0.7396,1.33306778500001)</v>
      </c>
    </row>
    <row r="18" spans="1:17">
      <c r="A18" s="1">
        <v>0.14827873212431403</v>
      </c>
      <c r="B18" s="1">
        <v>0.23129158249999984</v>
      </c>
      <c r="C18" s="2">
        <v>1525.65</v>
      </c>
      <c r="D18" s="2">
        <f>Table1[[#This Row],[Erros]]/1000</f>
        <v>1.5256500000000002</v>
      </c>
      <c r="E18" s="2" t="str">
        <f>CONCATENATE("(",Table1[[#This Row],[Column2]],",",Table1[[#This Row],[Recov ]],")")</f>
        <v>(1.52565,0.2312915825)</v>
      </c>
      <c r="G18" s="4">
        <v>0.1204239930125693</v>
      </c>
      <c r="H18" s="2">
        <v>1.3813435574999982</v>
      </c>
      <c r="I18" s="2">
        <v>1088.875</v>
      </c>
      <c r="J18" s="2">
        <f>Table3[[#This Row],[Erros]]/1000</f>
        <v>1.088875</v>
      </c>
      <c r="K18" s="2" t="str">
        <f>CONCATENATE("(",Table3[[#This Row],[Column2]],",",Table3[[#This Row],[Recov ]],")")</f>
        <v>(1.088875,1.3813435575)</v>
      </c>
      <c r="M18" s="4">
        <v>0.12217139316503434</v>
      </c>
      <c r="N18" s="2">
        <v>3.0700002000000022</v>
      </c>
      <c r="O18" s="2">
        <v>3702.25</v>
      </c>
      <c r="P18" s="2">
        <f>Table2[[#This Row],[Erros]]/1000</f>
        <v>3.7022499999999998</v>
      </c>
      <c r="Q18" t="str">
        <f>CONCATENATE("(",Table2[[#This Row],[Column2]],",",Table2[[#This Row],[Recov ]],")")</f>
        <v>(3.70225,3.0700002)</v>
      </c>
    </row>
    <row r="19" spans="1:17">
      <c r="A19" s="1">
        <v>0.12929687692460795</v>
      </c>
      <c r="B19" s="1">
        <v>0.26274960000002323</v>
      </c>
      <c r="C19" s="1">
        <v>2594.4</v>
      </c>
      <c r="D19" s="1">
        <f>Table1[[#This Row],[Erros]]/1000</f>
        <v>2.5944000000000003</v>
      </c>
      <c r="E19" s="1" t="str">
        <f>CONCATENATE("(",Table1[[#This Row],[Column2]],",",Table1[[#This Row],[Recov ]],")")</f>
        <v>(2.5944,0.262749600000023)</v>
      </c>
      <c r="G19" s="4">
        <v>0.11783229498240497</v>
      </c>
      <c r="H19" s="2">
        <v>2.7080596400000236</v>
      </c>
      <c r="I19" s="2">
        <v>2159.8000000000002</v>
      </c>
      <c r="J19" s="2">
        <f>Table3[[#This Row],[Erros]]/1000</f>
        <v>2.1598000000000002</v>
      </c>
      <c r="K19" s="2" t="str">
        <f>CONCATENATE("(",Table3[[#This Row],[Column2]],",",Table3[[#This Row],[Recov ]],")")</f>
        <v>(2.1598,2.70805964000002)</v>
      </c>
      <c r="M19" s="4">
        <v>0.11894809491118467</v>
      </c>
      <c r="N19" s="2">
        <v>7.038936595</v>
      </c>
      <c r="O19" s="2">
        <v>7401.2</v>
      </c>
      <c r="P19" s="2">
        <f>Table2[[#This Row],[Erros]]/1000</f>
        <v>7.4012000000000002</v>
      </c>
      <c r="Q19" t="str">
        <f>CONCATENATE("(",Table2[[#This Row],[Column2]],",",Table2[[#This Row],[Recov ]],")")</f>
        <v>(7.4012,7.038936595)</v>
      </c>
    </row>
    <row r="20" spans="1:17">
      <c r="A20" s="1">
        <v>0.12864667471569705</v>
      </c>
      <c r="B20" s="1">
        <v>0.31364082999998544</v>
      </c>
      <c r="C20" s="1">
        <v>5169.1000000000004</v>
      </c>
      <c r="D20" s="1">
        <f>Table1[[#This Row],[Erros]]/1000</f>
        <v>5.1691000000000003</v>
      </c>
      <c r="E20" s="1" t="str">
        <f>CONCATENATE("(",Table1[[#This Row],[Column2]],",",Table1[[#This Row],[Recov ]],")")</f>
        <v>(5.1691,0.313640829999985)</v>
      </c>
      <c r="G20" s="6">
        <v>0.11743425413807311</v>
      </c>
      <c r="H20" s="5">
        <v>37.847229017499963</v>
      </c>
      <c r="I20" s="5">
        <v>10833.075000000001</v>
      </c>
      <c r="J20" s="14">
        <f>Table3[[#This Row],[Erros]]/1000</f>
        <v>10.833075000000001</v>
      </c>
      <c r="K20" s="2" t="str">
        <f>CONCATENATE("(",Table3[[#This Row],[Column2]],",",Table3[[#This Row],[Recov ]],")")</f>
        <v>(10.833075,37.8472290175)</v>
      </c>
      <c r="M20" s="6">
        <v>0.12007535414541359</v>
      </c>
      <c r="N20" s="5">
        <v>138.68415711249949</v>
      </c>
      <c r="O20" s="5">
        <v>37006.625</v>
      </c>
      <c r="P20" s="14">
        <f>Table2[[#This Row],[Erros]]/1000</f>
        <v>37.006625</v>
      </c>
      <c r="Q20" t="str">
        <f>CONCATENATE("(",Table2[[#This Row],[Column2]],",",Table2[[#This Row],[Recov ]],")")</f>
        <v>(37.006625,138.684157112499)</v>
      </c>
    </row>
    <row r="21" spans="1:17">
      <c r="A21" s="1">
        <v>9.9664819440884317E-2</v>
      </c>
      <c r="B21" s="1">
        <v>1.162055942499989</v>
      </c>
      <c r="C21" s="1">
        <v>25891.85</v>
      </c>
      <c r="D21" s="1">
        <f>Table1[[#This Row],[Erros]]/1000</f>
        <v>25.891849999999998</v>
      </c>
      <c r="E21" s="1" t="str">
        <f>CONCATENATE("(",Table1[[#This Row],[Column2]],",",Table1[[#This Row],[Recov ]],")")</f>
        <v>(25.89185,1.16205594249999)</v>
      </c>
      <c r="G21" s="4"/>
      <c r="H21" s="2"/>
      <c r="I21" s="2"/>
      <c r="J21" s="2"/>
      <c r="K21" s="2"/>
      <c r="M21" s="4"/>
      <c r="N21" s="2"/>
      <c r="O21" s="2"/>
      <c r="P21" s="2"/>
    </row>
    <row r="22" spans="1:17">
      <c r="A22" s="1">
        <v>0.1014616969100158</v>
      </c>
      <c r="B22" s="1">
        <v>3.8493452299999964</v>
      </c>
      <c r="C22" s="1">
        <v>51739.05</v>
      </c>
      <c r="D22" s="1">
        <f>Table1[[#This Row],[Erros]]/1000</f>
        <v>51.739050000000006</v>
      </c>
      <c r="E22" s="1" t="str">
        <f>CONCATENATE("(",Table1[[#This Row],[Column2]],",",Table1[[#This Row],[Recov ]],")")</f>
        <v>(51.73905,3.84934523)</v>
      </c>
      <c r="G22" s="6">
        <v>0.11743425413807311</v>
      </c>
      <c r="H22" s="5">
        <v>37.847229017499963</v>
      </c>
      <c r="I22" s="5">
        <v>10833.075000000001</v>
      </c>
      <c r="J22" s="14"/>
      <c r="K22" s="14"/>
      <c r="M22" s="6">
        <v>0.12007535414541359</v>
      </c>
      <c r="N22" s="5">
        <v>138.68415711249949</v>
      </c>
      <c r="O22" s="5">
        <v>37006.625</v>
      </c>
      <c r="P22" s="14"/>
    </row>
    <row r="23" spans="1:17">
      <c r="A23" s="1"/>
      <c r="B23" s="1"/>
      <c r="C23" s="2"/>
      <c r="D23" s="2"/>
      <c r="E23" s="2"/>
      <c r="G23" s="4"/>
      <c r="H23" s="2"/>
      <c r="I23" s="2"/>
      <c r="J23" s="2"/>
      <c r="K23" s="2"/>
      <c r="M23" s="4"/>
      <c r="N23" s="2"/>
      <c r="O23" s="2"/>
      <c r="P23" s="2"/>
    </row>
    <row r="24" spans="1:17">
      <c r="A24" s="1"/>
      <c r="B24" s="1"/>
      <c r="C24" s="1"/>
      <c r="D24" s="1"/>
      <c r="E24" s="1"/>
      <c r="G24" s="4"/>
      <c r="H24" s="2"/>
      <c r="I24" s="2"/>
      <c r="J24" s="2"/>
      <c r="K24" s="2"/>
      <c r="M24" s="4"/>
      <c r="N24" s="2"/>
      <c r="O24" s="2"/>
      <c r="P24" s="2"/>
    </row>
    <row r="25" spans="1:17">
      <c r="A25" s="3"/>
      <c r="B25" s="3"/>
      <c r="C25" s="2"/>
      <c r="D25" s="2"/>
      <c r="E25" s="2"/>
      <c r="G25" s="4"/>
      <c r="H25" s="2"/>
      <c r="I25" s="2"/>
      <c r="J25" s="2"/>
      <c r="K25" s="2"/>
      <c r="M25" s="4"/>
      <c r="N25" s="2"/>
      <c r="O25" s="2"/>
      <c r="P25" s="2"/>
    </row>
    <row r="26" spans="1:17">
      <c r="A26" s="1"/>
      <c r="B26" s="1"/>
      <c r="C26" s="2"/>
      <c r="D26" s="2"/>
      <c r="E26" s="2"/>
      <c r="G26" s="4"/>
      <c r="H26" s="2"/>
      <c r="I26" s="2"/>
      <c r="J26" s="2"/>
      <c r="K26" s="2"/>
      <c r="M26" s="4"/>
      <c r="N26" s="2"/>
      <c r="O26" s="2"/>
      <c r="P26" s="2"/>
    </row>
    <row r="27" spans="1:17">
      <c r="A27" s="3"/>
      <c r="B27" s="3"/>
      <c r="C27" s="2"/>
      <c r="D27" s="2"/>
      <c r="E27" s="2"/>
      <c r="G27" s="4"/>
      <c r="H27" s="2"/>
      <c r="I27" s="2"/>
      <c r="J27" s="2"/>
      <c r="K27" s="2"/>
      <c r="M27" s="4"/>
      <c r="N27" s="2"/>
      <c r="O27" s="2"/>
      <c r="P27" s="2"/>
    </row>
    <row r="28" spans="1:17">
      <c r="A28" s="1"/>
      <c r="B28" s="1"/>
      <c r="C28" s="1"/>
      <c r="D28" s="1"/>
      <c r="E28" s="1"/>
      <c r="G28" s="4"/>
      <c r="H28" s="2"/>
      <c r="I28" s="2"/>
      <c r="J28" s="2"/>
      <c r="K28" s="2"/>
      <c r="M28" s="4"/>
      <c r="N28" s="2"/>
      <c r="O28" s="2"/>
      <c r="P28" s="2"/>
    </row>
    <row r="29" spans="1:17">
      <c r="A29" s="1"/>
      <c r="B29" s="1"/>
      <c r="C29" s="1"/>
      <c r="D29" s="1"/>
      <c r="E29" s="1"/>
      <c r="G29" s="4"/>
      <c r="H29" s="2"/>
      <c r="I29" s="2"/>
      <c r="J29" s="2"/>
      <c r="K29" s="2"/>
      <c r="M29" s="4"/>
      <c r="N29" s="2"/>
      <c r="O29" s="2"/>
      <c r="P29" s="2"/>
    </row>
    <row r="30" spans="1:17">
      <c r="A30" s="3"/>
      <c r="B30" s="3"/>
      <c r="C30" s="2"/>
      <c r="D30" s="2"/>
      <c r="E30" s="2"/>
    </row>
    <row r="31" spans="1:17">
      <c r="A31" s="1"/>
      <c r="B31" s="1"/>
      <c r="C31" s="1"/>
      <c r="D31" s="1"/>
      <c r="E31" s="1"/>
    </row>
    <row r="32" spans="1:17">
      <c r="A32" s="1"/>
      <c r="B32" s="1"/>
      <c r="C32" s="1"/>
      <c r="D32" s="1"/>
      <c r="E32" s="1"/>
    </row>
  </sheetData>
  <pageMargins left="0.7" right="0.7" top="0.75" bottom="0.75" header="0.3" footer="0.3"/>
  <pageSetup orientation="portrait" horizontalDpi="0" verticalDpi="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TimeGraph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Ponader</dc:creator>
  <cp:lastModifiedBy>Jonathan Ponader</cp:lastModifiedBy>
  <cp:lastPrinted>2020-07-29T18:55:55Z</cp:lastPrinted>
  <dcterms:created xsi:type="dcterms:W3CDTF">2020-07-29T18:25:39Z</dcterms:created>
  <dcterms:modified xsi:type="dcterms:W3CDTF">2020-07-30T20:31:52Z</dcterms:modified>
</cp:coreProperties>
</file>