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8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omments1.xml" ContentType="application/vnd.openxmlformats-officedocument.spreadsheetml.comments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comments2.xml" ContentType="application/vnd.openxmlformats-officedocument.spreadsheetml.comments+xml"/>
  <Override PartName="/xl/drawings/drawing29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xl/python.xml" ContentType="application/vnd.ms-excel.pytho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Users\mrjrc\Downloads\"/>
    </mc:Choice>
  </mc:AlternateContent>
  <xr:revisionPtr revIDLastSave="0" documentId="13_ncr:1_{81110E1D-2892-4A19-8800-DA3B2FD2DCD2}" xr6:coauthVersionLast="47" xr6:coauthVersionMax="47" xr10:uidLastSave="{00000000-0000-0000-0000-000000000000}"/>
  <bookViews>
    <workbookView xWindow="-110" yWindow="-110" windowWidth="25820" windowHeight="13900" firstSheet="22" activeTab="32" xr2:uid="{00000000-000D-0000-FFFF-FFFF00000000}"/>
  </bookViews>
  <sheets>
    <sheet name="L01" sheetId="2" r:id="rId1"/>
    <sheet name="H01" sheetId="3" r:id="rId2"/>
    <sheet name="H02" sheetId="5" r:id="rId3"/>
    <sheet name="H03" sheetId="6" r:id="rId4"/>
    <sheet name="H04" sheetId="8" r:id="rId5"/>
    <sheet name="H05" sheetId="9" r:id="rId6"/>
    <sheet name="H06" sheetId="10" r:id="rId7"/>
    <sheet name="H07" sheetId="11" r:id="rId8"/>
    <sheet name="H08" sheetId="12" r:id="rId9"/>
    <sheet name="H09" sheetId="13" r:id="rId10"/>
    <sheet name="H10" sheetId="19" r:id="rId11"/>
    <sheet name="H11" sheetId="20" r:id="rId12"/>
    <sheet name="H12" sheetId="23" r:id="rId13"/>
    <sheet name="H13" sheetId="24" r:id="rId14"/>
    <sheet name="H14" sheetId="25" r:id="rId15"/>
    <sheet name="H15" sheetId="26" r:id="rId16"/>
    <sheet name="H16" sheetId="27" r:id="rId17"/>
    <sheet name="H17.1" sheetId="30" r:id="rId18"/>
    <sheet name="H17.2" sheetId="29" r:id="rId19"/>
    <sheet name="H18" sheetId="33" r:id="rId20"/>
    <sheet name="H19" sheetId="34" r:id="rId21"/>
    <sheet name="H20" sheetId="35" r:id="rId22"/>
    <sheet name="H21" sheetId="36" r:id="rId23"/>
    <sheet name="H22" sheetId="37" r:id="rId24"/>
    <sheet name="H23" sheetId="39" r:id="rId25"/>
    <sheet name="H24" sheetId="40" r:id="rId26"/>
    <sheet name="H25" sheetId="41" r:id="rId27"/>
    <sheet name="H26" sheetId="42" r:id="rId28"/>
    <sheet name="H27" sheetId="44" r:id="rId29"/>
    <sheet name="H28" sheetId="45" r:id="rId30"/>
    <sheet name="H29" sheetId="47" r:id="rId31"/>
    <sheet name="H30" sheetId="49" r:id="rId32"/>
    <sheet name="Project Model" sheetId="51" r:id="rId33"/>
    <sheet name="Solution Solver Summary" sheetId="52" r:id="rId34"/>
  </sheets>
  <definedNames>
    <definedName name="solver_adj" localSheetId="11" hidden="1">'H11'!$B$2:$C$2</definedName>
    <definedName name="solver_adj" localSheetId="12" hidden="1">'H12'!$B$2:$C$2</definedName>
    <definedName name="solver_adj" localSheetId="13" hidden="1">'H13'!$B$2:$C$2</definedName>
    <definedName name="solver_adj" localSheetId="14" hidden="1">'H14'!$B$3:$C$3</definedName>
    <definedName name="solver_adj" localSheetId="15" hidden="1">'H15'!$B$2:$F$2</definedName>
    <definedName name="solver_adj" localSheetId="16" hidden="1">'H16'!$B$7:$P$7</definedName>
    <definedName name="solver_adj" localSheetId="17" hidden="1">'H17.1'!$C$12:$E$14</definedName>
    <definedName name="solver_adj" localSheetId="18" hidden="1">'H17.2'!$D$4:$D$12</definedName>
    <definedName name="solver_adj" localSheetId="19" hidden="1">'H18'!$D$2:$D$10</definedName>
    <definedName name="solver_adj" localSheetId="20" hidden="1">'H19'!$B$11:$E$13</definedName>
    <definedName name="solver_adj" localSheetId="21" hidden="1">'H20'!$B$12:$E$15</definedName>
    <definedName name="solver_adj" localSheetId="22" hidden="1">'H21'!$B$12:$E$15</definedName>
    <definedName name="solver_adj" localSheetId="23" hidden="1">'H22'!$B$9:$D$10</definedName>
    <definedName name="solver_adj" localSheetId="24" hidden="1">'H23'!$B$4:$C$4</definedName>
    <definedName name="solver_adj" localSheetId="25" hidden="1">'H24'!$B$2:$C$2</definedName>
    <definedName name="solver_adj" localSheetId="26" hidden="1">'H25'!$C$2:$D$2</definedName>
    <definedName name="solver_adj" localSheetId="27" hidden="1">'H26'!$B$5:$H$5</definedName>
    <definedName name="solver_adj" localSheetId="28" hidden="1">'H27'!$B$2:$C$2</definedName>
    <definedName name="solver_adj" localSheetId="29" hidden="1">'H28'!$B$2:$C$2</definedName>
    <definedName name="solver_adj" localSheetId="30" hidden="1">'H29'!$C$2:$D$2</definedName>
    <definedName name="solver_adj" localSheetId="31" hidden="1">'H30'!$D$4</definedName>
    <definedName name="solver_adj" localSheetId="32" hidden="1">'Project Model'!$K$19:$K$23,'Project Model'!$K$26:$K$29,'Project Model'!$K$32:$K$34,'Project Model'!$B$63:$I$74</definedName>
    <definedName name="solver_cvg" localSheetId="11" hidden="1">0.0001</definedName>
    <definedName name="solver_cvg" localSheetId="12" hidden="1">0.0001</definedName>
    <definedName name="solver_cvg" localSheetId="13" hidden="1">0.0001</definedName>
    <definedName name="solver_cvg" localSheetId="14" hidden="1">0.0001</definedName>
    <definedName name="solver_cvg" localSheetId="15" hidden="1">0.0001</definedName>
    <definedName name="solver_cvg" localSheetId="16" hidden="1">0.0001</definedName>
    <definedName name="solver_cvg" localSheetId="17" hidden="1">0.0001</definedName>
    <definedName name="solver_cvg" localSheetId="18" hidden="1">0.0001</definedName>
    <definedName name="solver_cvg" localSheetId="19" hidden="1">0.0001</definedName>
    <definedName name="solver_cvg" localSheetId="20" hidden="1">0.0001</definedName>
    <definedName name="solver_cvg" localSheetId="21" hidden="1">0.0001</definedName>
    <definedName name="solver_cvg" localSheetId="22" hidden="1">0.0001</definedName>
    <definedName name="solver_cvg" localSheetId="23" hidden="1">0.0001</definedName>
    <definedName name="solver_cvg" localSheetId="24" hidden="1">0.0001</definedName>
    <definedName name="solver_cvg" localSheetId="25" hidden="1">0.0001</definedName>
    <definedName name="solver_cvg" localSheetId="26" hidden="1">0.0001</definedName>
    <definedName name="solver_cvg" localSheetId="27" hidden="1">0.0001</definedName>
    <definedName name="solver_cvg" localSheetId="28" hidden="1">0.0001</definedName>
    <definedName name="solver_cvg" localSheetId="29" hidden="1">0.0001</definedName>
    <definedName name="solver_cvg" localSheetId="30" hidden="1">0.0001</definedName>
    <definedName name="solver_cvg" localSheetId="31" hidden="1">0.0001</definedName>
    <definedName name="solver_cvg" localSheetId="32" hidden="1">0.0001</definedName>
    <definedName name="solver_drv" localSheetId="11" hidden="1">1</definedName>
    <definedName name="solver_drv" localSheetId="12" hidden="1">1</definedName>
    <definedName name="solver_drv" localSheetId="13" hidden="1">2</definedName>
    <definedName name="solver_drv" localSheetId="14" hidden="1">1</definedName>
    <definedName name="solver_drv" localSheetId="15" hidden="1">1</definedName>
    <definedName name="solver_drv" localSheetId="16" hidden="1">1</definedName>
    <definedName name="solver_drv" localSheetId="17" hidden="1">1</definedName>
    <definedName name="solver_drv" localSheetId="18" hidden="1">1</definedName>
    <definedName name="solver_drv" localSheetId="19" hidden="1">2</definedName>
    <definedName name="solver_drv" localSheetId="20" hidden="1">1</definedName>
    <definedName name="solver_drv" localSheetId="21" hidden="1">1</definedName>
    <definedName name="solver_drv" localSheetId="22" hidden="1">1</definedName>
    <definedName name="solver_drv" localSheetId="23" hidden="1">1</definedName>
    <definedName name="solver_drv" localSheetId="24" hidden="1">1</definedName>
    <definedName name="solver_drv" localSheetId="25" hidden="1">1</definedName>
    <definedName name="solver_drv" localSheetId="26" hidden="1">1</definedName>
    <definedName name="solver_drv" localSheetId="27" hidden="1">1</definedName>
    <definedName name="solver_drv" localSheetId="28" hidden="1">1</definedName>
    <definedName name="solver_drv" localSheetId="29" hidden="1">1</definedName>
    <definedName name="solver_drv" localSheetId="30" hidden="1">1</definedName>
    <definedName name="solver_drv" localSheetId="31" hidden="1">1</definedName>
    <definedName name="solver_drv" localSheetId="32" hidden="1">1</definedName>
    <definedName name="solver_eng" localSheetId="11" hidden="1">2</definedName>
    <definedName name="solver_eng" localSheetId="12" hidden="1">1</definedName>
    <definedName name="solver_eng" localSheetId="13" hidden="1">2</definedName>
    <definedName name="solver_eng" localSheetId="14" hidden="1">2</definedName>
    <definedName name="solver_eng" localSheetId="15" hidden="1">2</definedName>
    <definedName name="solver_eng" localSheetId="16" hidden="1">2</definedName>
    <definedName name="solver_eng" localSheetId="17" hidden="1">2</definedName>
    <definedName name="solver_eng" localSheetId="18" hidden="1">2</definedName>
    <definedName name="solver_eng" localSheetId="19" hidden="1">2</definedName>
    <definedName name="solver_eng" localSheetId="20" hidden="1">2</definedName>
    <definedName name="solver_eng" localSheetId="21" hidden="1">2</definedName>
    <definedName name="solver_eng" localSheetId="22" hidden="1">2</definedName>
    <definedName name="solver_eng" localSheetId="23" hidden="1">2</definedName>
    <definedName name="solver_eng" localSheetId="24" hidden="1">2</definedName>
    <definedName name="solver_eng" localSheetId="25" hidden="1">2</definedName>
    <definedName name="solver_eng" localSheetId="26" hidden="1">2</definedName>
    <definedName name="solver_eng" localSheetId="27" hidden="1">2</definedName>
    <definedName name="solver_eng" localSheetId="28" hidden="1">1</definedName>
    <definedName name="solver_eng" localSheetId="29" hidden="1">1</definedName>
    <definedName name="solver_eng" localSheetId="30" hidden="1">2</definedName>
    <definedName name="solver_eng" localSheetId="31" hidden="1">1</definedName>
    <definedName name="solver_eng" localSheetId="32" hidden="1">2</definedName>
    <definedName name="solver_est" localSheetId="11" hidden="1">1</definedName>
    <definedName name="solver_est" localSheetId="12" hidden="1">1</definedName>
    <definedName name="solver_est" localSheetId="13" hidden="1">1</definedName>
    <definedName name="solver_est" localSheetId="14" hidden="1">1</definedName>
    <definedName name="solver_est" localSheetId="15" hidden="1">1</definedName>
    <definedName name="solver_est" localSheetId="16" hidden="1">1</definedName>
    <definedName name="solver_est" localSheetId="17" hidden="1">1</definedName>
    <definedName name="solver_est" localSheetId="18" hidden="1">1</definedName>
    <definedName name="solver_est" localSheetId="19" hidden="1">1</definedName>
    <definedName name="solver_est" localSheetId="20" hidden="1">1</definedName>
    <definedName name="solver_est" localSheetId="21" hidden="1">1</definedName>
    <definedName name="solver_est" localSheetId="22" hidden="1">1</definedName>
    <definedName name="solver_est" localSheetId="23" hidden="1">1</definedName>
    <definedName name="solver_est" localSheetId="24" hidden="1">1</definedName>
    <definedName name="solver_est" localSheetId="25" hidden="1">1</definedName>
    <definedName name="solver_est" localSheetId="26" hidden="1">1</definedName>
    <definedName name="solver_est" localSheetId="27" hidden="1">1</definedName>
    <definedName name="solver_est" localSheetId="28" hidden="1">1</definedName>
    <definedName name="solver_est" localSheetId="29" hidden="1">1</definedName>
    <definedName name="solver_est" localSheetId="30" hidden="1">1</definedName>
    <definedName name="solver_est" localSheetId="31" hidden="1">1</definedName>
    <definedName name="solver_est" localSheetId="32" hidden="1">1</definedName>
    <definedName name="solver_itr" localSheetId="11" hidden="1">2147483647</definedName>
    <definedName name="solver_itr" localSheetId="12" hidden="1">2147483647</definedName>
    <definedName name="solver_itr" localSheetId="13" hidden="1">2147483647</definedName>
    <definedName name="solver_itr" localSheetId="14" hidden="1">2147483647</definedName>
    <definedName name="solver_itr" localSheetId="15" hidden="1">2147483647</definedName>
    <definedName name="solver_itr" localSheetId="16" hidden="1">2147483647</definedName>
    <definedName name="solver_itr" localSheetId="17" hidden="1">2147483647</definedName>
    <definedName name="solver_itr" localSheetId="18" hidden="1">2147483647</definedName>
    <definedName name="solver_itr" localSheetId="19" hidden="1">2147483647</definedName>
    <definedName name="solver_itr" localSheetId="20" hidden="1">2147483647</definedName>
    <definedName name="solver_itr" localSheetId="21" hidden="1">2147483647</definedName>
    <definedName name="solver_itr" localSheetId="22" hidden="1">2147483647</definedName>
    <definedName name="solver_itr" localSheetId="23" hidden="1">2147483647</definedName>
    <definedName name="solver_itr" localSheetId="24" hidden="1">2147483647</definedName>
    <definedName name="solver_itr" localSheetId="25" hidden="1">2147483647</definedName>
    <definedName name="solver_itr" localSheetId="26" hidden="1">2147483647</definedName>
    <definedName name="solver_itr" localSheetId="27" hidden="1">2147483647</definedName>
    <definedName name="solver_itr" localSheetId="28" hidden="1">2147483647</definedName>
    <definedName name="solver_itr" localSheetId="29" hidden="1">2147483647</definedName>
    <definedName name="solver_itr" localSheetId="30" hidden="1">2147483647</definedName>
    <definedName name="solver_itr" localSheetId="31" hidden="1">2147483647</definedName>
    <definedName name="solver_itr" localSheetId="32" hidden="1">2147483647</definedName>
    <definedName name="solver_lhs0" localSheetId="32" hidden="1">'Project Model'!$L$63:$L$74</definedName>
    <definedName name="solver_lhs1" localSheetId="11" hidden="1">'H11'!$D$11</definedName>
    <definedName name="solver_lhs1" localSheetId="12" hidden="1">'H12'!$D$10</definedName>
    <definedName name="solver_lhs1" localSheetId="13" hidden="1">'H13'!$D$14</definedName>
    <definedName name="solver_lhs1" localSheetId="14" hidden="1">'H14'!$D$12:$D$13</definedName>
    <definedName name="solver_lhs1" localSheetId="15" hidden="1">'H15'!$G$12</definedName>
    <definedName name="solver_lhs1" localSheetId="16" hidden="1">'H16'!$Q$13:$Q$15</definedName>
    <definedName name="solver_lhs1" localSheetId="17" hidden="1">'H17.1'!$C$15:$E$15</definedName>
    <definedName name="solver_lhs1" localSheetId="18" hidden="1">'H17.2'!$B$16:$B$18</definedName>
    <definedName name="solver_lhs1" localSheetId="19" hidden="1">'H18'!$B$14:$B$16</definedName>
    <definedName name="solver_lhs1" localSheetId="20" hidden="1">'H19'!$B$14:$E$14</definedName>
    <definedName name="solver_lhs1" localSheetId="21" hidden="1">'H20'!$B$16:$E$16</definedName>
    <definedName name="solver_lhs1" localSheetId="22" hidden="1">'H21'!$B$16:$E$16</definedName>
    <definedName name="solver_lhs1" localSheetId="23" hidden="1">'H22'!$B$11:$D$11</definedName>
    <definedName name="solver_lhs1" localSheetId="24" hidden="1">'H23'!$B$4:$C$4</definedName>
    <definedName name="solver_lhs1" localSheetId="25" hidden="1">'H24'!$B$2</definedName>
    <definedName name="solver_lhs1" localSheetId="26" hidden="1">'H25'!$E$11:$E$13</definedName>
    <definedName name="solver_lhs1" localSheetId="27" hidden="1">'H26'!$B$5:$H$5</definedName>
    <definedName name="solver_lhs1" localSheetId="28" hidden="1">'H27'!$D$14</definedName>
    <definedName name="solver_lhs1" localSheetId="29" hidden="1">'H28'!$B$2:$C$2</definedName>
    <definedName name="solver_lhs1" localSheetId="30" hidden="1">'H29'!$C$2:$D$2</definedName>
    <definedName name="solver_lhs1" localSheetId="31" hidden="1">'H30'!#REF!</definedName>
    <definedName name="solver_lhs1" localSheetId="32" hidden="1">'Project Model'!$B$63:$I$74</definedName>
    <definedName name="solver_lhs2" localSheetId="11" hidden="1">'H11'!$D$12</definedName>
    <definedName name="solver_lhs2" localSheetId="12" hidden="1">'H12'!$D$9</definedName>
    <definedName name="solver_lhs2" localSheetId="13" hidden="1">'H13'!$D$15</definedName>
    <definedName name="solver_lhs2" localSheetId="15" hidden="1">'H15'!$G$13</definedName>
    <definedName name="solver_lhs2" localSheetId="16" hidden="1">'H16'!$Q$16:$Q$20</definedName>
    <definedName name="solver_lhs2" localSheetId="17" hidden="1">'H17.1'!$F$12:$F$14</definedName>
    <definedName name="solver_lhs2" localSheetId="18" hidden="1">'H17.2'!$B$22:$B$24</definedName>
    <definedName name="solver_lhs2" localSheetId="19" hidden="1">'H18'!$B$20:$B$22</definedName>
    <definedName name="solver_lhs2" localSheetId="20" hidden="1">'H19'!$F$11:$F$13</definedName>
    <definedName name="solver_lhs2" localSheetId="21" hidden="1">'H20'!$E$14</definedName>
    <definedName name="solver_lhs2" localSheetId="22" hidden="1">'H21'!$F$12:$F$15</definedName>
    <definedName name="solver_lhs2" localSheetId="23" hidden="1">'H22'!$E$9:$E$10</definedName>
    <definedName name="solver_lhs2" localSheetId="24" hidden="1">'H23'!$D$11:$D$12</definedName>
    <definedName name="solver_lhs2" localSheetId="25" hidden="1">'H24'!$D$9:$D$11</definedName>
    <definedName name="solver_lhs2" localSheetId="27" hidden="1">'H26'!$I$13</definedName>
    <definedName name="solver_lhs2" localSheetId="28" hidden="1">'H27'!$D$15</definedName>
    <definedName name="solver_lhs2" localSheetId="29" hidden="1">'H28'!$D$10</definedName>
    <definedName name="solver_lhs2" localSheetId="30" hidden="1">'H29'!$E$11:$E$12</definedName>
    <definedName name="solver_lhs2" localSheetId="31" hidden="1">'H30'!#REF!</definedName>
    <definedName name="solver_lhs2" localSheetId="32" hidden="1">'Project Model'!$B$75:$I$75</definedName>
    <definedName name="solver_lhs3" localSheetId="11" hidden="1">'H11'!$D$13</definedName>
    <definedName name="solver_lhs3" localSheetId="13" hidden="1">'H13'!$D$16</definedName>
    <definedName name="solver_lhs3" localSheetId="15" hidden="1">'H15'!$G$14</definedName>
    <definedName name="solver_lhs3" localSheetId="21" hidden="1">'H20'!$F$12:$F$15</definedName>
    <definedName name="solver_lhs3" localSheetId="24" hidden="1">'H23'!$D$13</definedName>
    <definedName name="solver_lhs3" localSheetId="27" hidden="1">'H26'!$I$14</definedName>
    <definedName name="solver_lhs3" localSheetId="32" hidden="1">'Project Model'!$D$38:$G$38</definedName>
    <definedName name="solver_lhs4" localSheetId="11" hidden="1">'H11'!$D$14</definedName>
    <definedName name="solver_lhs4" localSheetId="13" hidden="1">'H13'!$D$17</definedName>
    <definedName name="solver_lhs4" localSheetId="15" hidden="1">'H15'!$G$15</definedName>
    <definedName name="solver_lhs4" localSheetId="27" hidden="1">'H26'!$I$15</definedName>
    <definedName name="solver_lhs4" localSheetId="32" hidden="1">'Project Model'!$J$63:$J$74</definedName>
    <definedName name="solver_lhs5" localSheetId="27" hidden="1">'H26'!$I$16</definedName>
    <definedName name="solver_lhs5" localSheetId="32" hidden="1">'Project Model'!$K$19:$K$23</definedName>
    <definedName name="solver_lhs6" localSheetId="32" hidden="1">'Project Model'!$K$26:$K$29</definedName>
    <definedName name="solver_lhs7" localSheetId="32" hidden="1">'Project Model'!$K$32:$K$34</definedName>
    <definedName name="solver_lhs8" localSheetId="32" hidden="1">'Project Model'!$O$15:$O$18</definedName>
    <definedName name="solver_mip" localSheetId="11" hidden="1">2147483647</definedName>
    <definedName name="solver_mip" localSheetId="12" hidden="1">2147483647</definedName>
    <definedName name="solver_mip" localSheetId="13" hidden="1">2147483647</definedName>
    <definedName name="solver_mip" localSheetId="14" hidden="1">2147483647</definedName>
    <definedName name="solver_mip" localSheetId="15" hidden="1">2147483647</definedName>
    <definedName name="solver_mip" localSheetId="16" hidden="1">2147483647</definedName>
    <definedName name="solver_mip" localSheetId="17" hidden="1">2147483647</definedName>
    <definedName name="solver_mip" localSheetId="18" hidden="1">2147483647</definedName>
    <definedName name="solver_mip" localSheetId="19" hidden="1">2147483647</definedName>
    <definedName name="solver_mip" localSheetId="20" hidden="1">2147483647</definedName>
    <definedName name="solver_mip" localSheetId="21" hidden="1">2147483647</definedName>
    <definedName name="solver_mip" localSheetId="22" hidden="1">2147483647</definedName>
    <definedName name="solver_mip" localSheetId="23" hidden="1">2147483647</definedName>
    <definedName name="solver_mip" localSheetId="24" hidden="1">2147483647</definedName>
    <definedName name="solver_mip" localSheetId="25" hidden="1">2147483647</definedName>
    <definedName name="solver_mip" localSheetId="26" hidden="1">2147483647</definedName>
    <definedName name="solver_mip" localSheetId="27" hidden="1">2147483647</definedName>
    <definedName name="solver_mip" localSheetId="28" hidden="1">2147483647</definedName>
    <definedName name="solver_mip" localSheetId="29" hidden="1">2147483647</definedName>
    <definedName name="solver_mip" localSheetId="30" hidden="1">2147483647</definedName>
    <definedName name="solver_mip" localSheetId="31" hidden="1">2147483647</definedName>
    <definedName name="solver_mip" localSheetId="32" hidden="1">2147483647</definedName>
    <definedName name="solver_mni" localSheetId="11" hidden="1">30</definedName>
    <definedName name="solver_mni" localSheetId="12" hidden="1">30</definedName>
    <definedName name="solver_mni" localSheetId="13" hidden="1">30</definedName>
    <definedName name="solver_mni" localSheetId="14" hidden="1">30</definedName>
    <definedName name="solver_mni" localSheetId="15" hidden="1">30</definedName>
    <definedName name="solver_mni" localSheetId="16" hidden="1">30</definedName>
    <definedName name="solver_mni" localSheetId="17" hidden="1">30</definedName>
    <definedName name="solver_mni" localSheetId="18" hidden="1">30</definedName>
    <definedName name="solver_mni" localSheetId="19" hidden="1">30</definedName>
    <definedName name="solver_mni" localSheetId="20" hidden="1">30</definedName>
    <definedName name="solver_mni" localSheetId="21" hidden="1">30</definedName>
    <definedName name="solver_mni" localSheetId="22" hidden="1">30</definedName>
    <definedName name="solver_mni" localSheetId="23" hidden="1">30</definedName>
    <definedName name="solver_mni" localSheetId="24" hidden="1">30</definedName>
    <definedName name="solver_mni" localSheetId="25" hidden="1">30</definedName>
    <definedName name="solver_mni" localSheetId="26" hidden="1">30</definedName>
    <definedName name="solver_mni" localSheetId="27" hidden="1">30</definedName>
    <definedName name="solver_mni" localSheetId="28" hidden="1">30</definedName>
    <definedName name="solver_mni" localSheetId="29" hidden="1">30</definedName>
    <definedName name="solver_mni" localSheetId="30" hidden="1">30</definedName>
    <definedName name="solver_mni" localSheetId="31" hidden="1">30</definedName>
    <definedName name="solver_mni" localSheetId="32" hidden="1">30</definedName>
    <definedName name="solver_mrt" localSheetId="11" hidden="1">0.075</definedName>
    <definedName name="solver_mrt" localSheetId="12" hidden="1">0.075</definedName>
    <definedName name="solver_mrt" localSheetId="13" hidden="1">0.075</definedName>
    <definedName name="solver_mrt" localSheetId="14" hidden="1">0.075</definedName>
    <definedName name="solver_mrt" localSheetId="15" hidden="1">0.075</definedName>
    <definedName name="solver_mrt" localSheetId="16" hidden="1">0.075</definedName>
    <definedName name="solver_mrt" localSheetId="17" hidden="1">0.075</definedName>
    <definedName name="solver_mrt" localSheetId="18" hidden="1">0.075</definedName>
    <definedName name="solver_mrt" localSheetId="19" hidden="1">0.075</definedName>
    <definedName name="solver_mrt" localSheetId="20" hidden="1">0.075</definedName>
    <definedName name="solver_mrt" localSheetId="21" hidden="1">0.075</definedName>
    <definedName name="solver_mrt" localSheetId="22" hidden="1">0.075</definedName>
    <definedName name="solver_mrt" localSheetId="23" hidden="1">0.075</definedName>
    <definedName name="solver_mrt" localSheetId="24" hidden="1">0.075</definedName>
    <definedName name="solver_mrt" localSheetId="25" hidden="1">0.075</definedName>
    <definedName name="solver_mrt" localSheetId="26" hidden="1">0.075</definedName>
    <definedName name="solver_mrt" localSheetId="27" hidden="1">0.075</definedName>
    <definedName name="solver_mrt" localSheetId="28" hidden="1">0.075</definedName>
    <definedName name="solver_mrt" localSheetId="29" hidden="1">0.075</definedName>
    <definedName name="solver_mrt" localSheetId="30" hidden="1">0.075</definedName>
    <definedName name="solver_mrt" localSheetId="31" hidden="1">0.075</definedName>
    <definedName name="solver_mrt" localSheetId="32" hidden="1">0.075</definedName>
    <definedName name="solver_msl" localSheetId="11" hidden="1">2</definedName>
    <definedName name="solver_msl" localSheetId="12" hidden="1">2</definedName>
    <definedName name="solver_msl" localSheetId="13" hidden="1">2</definedName>
    <definedName name="solver_msl" localSheetId="14" hidden="1">2</definedName>
    <definedName name="solver_msl" localSheetId="15" hidden="1">2</definedName>
    <definedName name="solver_msl" localSheetId="16" hidden="1">2</definedName>
    <definedName name="solver_msl" localSheetId="17" hidden="1">2</definedName>
    <definedName name="solver_msl" localSheetId="18" hidden="1">2</definedName>
    <definedName name="solver_msl" localSheetId="19" hidden="1">2</definedName>
    <definedName name="solver_msl" localSheetId="20" hidden="1">2</definedName>
    <definedName name="solver_msl" localSheetId="21" hidden="1">2</definedName>
    <definedName name="solver_msl" localSheetId="22" hidden="1">2</definedName>
    <definedName name="solver_msl" localSheetId="23" hidden="1">2</definedName>
    <definedName name="solver_msl" localSheetId="24" hidden="1">2</definedName>
    <definedName name="solver_msl" localSheetId="25" hidden="1">2</definedName>
    <definedName name="solver_msl" localSheetId="26" hidden="1">2</definedName>
    <definedName name="solver_msl" localSheetId="27" hidden="1">2</definedName>
    <definedName name="solver_msl" localSheetId="28" hidden="1">2</definedName>
    <definedName name="solver_msl" localSheetId="29" hidden="1">2</definedName>
    <definedName name="solver_msl" localSheetId="30" hidden="1">2</definedName>
    <definedName name="solver_msl" localSheetId="31" hidden="1">2</definedName>
    <definedName name="solver_msl" localSheetId="32" hidden="1">2</definedName>
    <definedName name="solver_neg" localSheetId="11" hidden="1">1</definedName>
    <definedName name="solver_neg" localSheetId="12" hidden="1">1</definedName>
    <definedName name="solver_neg" localSheetId="13" hidden="1">1</definedName>
    <definedName name="solver_neg" localSheetId="14" hidden="1">1</definedName>
    <definedName name="solver_neg" localSheetId="15" hidden="1">1</definedName>
    <definedName name="solver_neg" localSheetId="16" hidden="1">1</definedName>
    <definedName name="solver_neg" localSheetId="17" hidden="1">1</definedName>
    <definedName name="solver_neg" localSheetId="18" hidden="1">1</definedName>
    <definedName name="solver_neg" localSheetId="19" hidden="1">1</definedName>
    <definedName name="solver_neg" localSheetId="20" hidden="1">1</definedName>
    <definedName name="solver_neg" localSheetId="21" hidden="1">1</definedName>
    <definedName name="solver_neg" localSheetId="22" hidden="1">1</definedName>
    <definedName name="solver_neg" localSheetId="23" hidden="1">1</definedName>
    <definedName name="solver_neg" localSheetId="24" hidden="1">1</definedName>
    <definedName name="solver_neg" localSheetId="25" hidden="1">1</definedName>
    <definedName name="solver_neg" localSheetId="26" hidden="1">1</definedName>
    <definedName name="solver_neg" localSheetId="27" hidden="1">1</definedName>
    <definedName name="solver_neg" localSheetId="28" hidden="1">1</definedName>
    <definedName name="solver_neg" localSheetId="29" hidden="1">1</definedName>
    <definedName name="solver_neg" localSheetId="30" hidden="1">1</definedName>
    <definedName name="solver_neg" localSheetId="31" hidden="1">1</definedName>
    <definedName name="solver_neg" localSheetId="32" hidden="1">1</definedName>
    <definedName name="solver_nod" localSheetId="11" hidden="1">2147483647</definedName>
    <definedName name="solver_nod" localSheetId="12" hidden="1">2147483647</definedName>
    <definedName name="solver_nod" localSheetId="13" hidden="1">2147483647</definedName>
    <definedName name="solver_nod" localSheetId="14" hidden="1">2147483647</definedName>
    <definedName name="solver_nod" localSheetId="15" hidden="1">2147483647</definedName>
    <definedName name="solver_nod" localSheetId="16" hidden="1">2147483647</definedName>
    <definedName name="solver_nod" localSheetId="17" hidden="1">2147483647</definedName>
    <definedName name="solver_nod" localSheetId="18" hidden="1">2147483647</definedName>
    <definedName name="solver_nod" localSheetId="19" hidden="1">2147483647</definedName>
    <definedName name="solver_nod" localSheetId="20" hidden="1">2147483647</definedName>
    <definedName name="solver_nod" localSheetId="21" hidden="1">2147483647</definedName>
    <definedName name="solver_nod" localSheetId="22" hidden="1">2147483647</definedName>
    <definedName name="solver_nod" localSheetId="23" hidden="1">2147483647</definedName>
    <definedName name="solver_nod" localSheetId="24" hidden="1">2147483647</definedName>
    <definedName name="solver_nod" localSheetId="25" hidden="1">2147483647</definedName>
    <definedName name="solver_nod" localSheetId="26" hidden="1">2147483647</definedName>
    <definedName name="solver_nod" localSheetId="27" hidden="1">2147483647</definedName>
    <definedName name="solver_nod" localSheetId="28" hidden="1">2147483647</definedName>
    <definedName name="solver_nod" localSheetId="29" hidden="1">2147483647</definedName>
    <definedName name="solver_nod" localSheetId="30" hidden="1">2147483647</definedName>
    <definedName name="solver_nod" localSheetId="31" hidden="1">2147483647</definedName>
    <definedName name="solver_nod" localSheetId="32" hidden="1">2147483647</definedName>
    <definedName name="solver_num" localSheetId="11" hidden="1">4</definedName>
    <definedName name="solver_num" localSheetId="12" hidden="1">2</definedName>
    <definedName name="solver_num" localSheetId="13" hidden="1">4</definedName>
    <definedName name="solver_num" localSheetId="14" hidden="1">1</definedName>
    <definedName name="solver_num" localSheetId="15" hidden="1">4</definedName>
    <definedName name="solver_num" localSheetId="16" hidden="1">2</definedName>
    <definedName name="solver_num" localSheetId="17" hidden="1">2</definedName>
    <definedName name="solver_num" localSheetId="18" hidden="1">2</definedName>
    <definedName name="solver_num" localSheetId="19" hidden="1">2</definedName>
    <definedName name="solver_num" localSheetId="20" hidden="1">2</definedName>
    <definedName name="solver_num" localSheetId="21" hidden="1">3</definedName>
    <definedName name="solver_num" localSheetId="22" hidden="1">2</definedName>
    <definedName name="solver_num" localSheetId="23" hidden="1">2</definedName>
    <definedName name="solver_num" localSheetId="24" hidden="1">3</definedName>
    <definedName name="solver_num" localSheetId="25" hidden="1">2</definedName>
    <definedName name="solver_num" localSheetId="26" hidden="1">1</definedName>
    <definedName name="solver_num" localSheetId="27" hidden="1">5</definedName>
    <definedName name="solver_num" localSheetId="28" hidden="1">2</definedName>
    <definedName name="solver_num" localSheetId="29" hidden="1">2</definedName>
    <definedName name="solver_num" localSheetId="30" hidden="1">2</definedName>
    <definedName name="solver_num" localSheetId="31" hidden="1">0</definedName>
    <definedName name="solver_num" localSheetId="32" hidden="1">8</definedName>
    <definedName name="solver_nwt" localSheetId="11" hidden="1">1</definedName>
    <definedName name="solver_nwt" localSheetId="12" hidden="1">1</definedName>
    <definedName name="solver_nwt" localSheetId="13" hidden="1">1</definedName>
    <definedName name="solver_nwt" localSheetId="14" hidden="1">1</definedName>
    <definedName name="solver_nwt" localSheetId="15" hidden="1">1</definedName>
    <definedName name="solver_nwt" localSheetId="16" hidden="1">1</definedName>
    <definedName name="solver_nwt" localSheetId="17" hidden="1">1</definedName>
    <definedName name="solver_nwt" localSheetId="18" hidden="1">1</definedName>
    <definedName name="solver_nwt" localSheetId="19" hidden="1">1</definedName>
    <definedName name="solver_nwt" localSheetId="20" hidden="1">1</definedName>
    <definedName name="solver_nwt" localSheetId="21" hidden="1">1</definedName>
    <definedName name="solver_nwt" localSheetId="22" hidden="1">1</definedName>
    <definedName name="solver_nwt" localSheetId="23" hidden="1">1</definedName>
    <definedName name="solver_nwt" localSheetId="24" hidden="1">1</definedName>
    <definedName name="solver_nwt" localSheetId="25" hidden="1">1</definedName>
    <definedName name="solver_nwt" localSheetId="26" hidden="1">1</definedName>
    <definedName name="solver_nwt" localSheetId="27" hidden="1">1</definedName>
    <definedName name="solver_nwt" localSheetId="28" hidden="1">1</definedName>
    <definedName name="solver_nwt" localSheetId="29" hidden="1">1</definedName>
    <definedName name="solver_nwt" localSheetId="30" hidden="1">1</definedName>
    <definedName name="solver_nwt" localSheetId="31" hidden="1">1</definedName>
    <definedName name="solver_nwt" localSheetId="32" hidden="1">1</definedName>
    <definedName name="solver_opt" localSheetId="11" hidden="1">'H11'!$F$19</definedName>
    <definedName name="solver_opt" localSheetId="12" hidden="1">'H12'!$B$6</definedName>
    <definedName name="solver_opt" localSheetId="13" hidden="1">'H13'!$D$10</definedName>
    <definedName name="solver_opt" localSheetId="14" hidden="1">'H14'!$D$7</definedName>
    <definedName name="solver_opt" localSheetId="15" hidden="1">'H15'!$B$6</definedName>
    <definedName name="solver_opt" localSheetId="16" hidden="1">'H16'!$B$10</definedName>
    <definedName name="solver_opt" localSheetId="17" hidden="1">'H17.1'!$B$19</definedName>
    <definedName name="solver_opt" localSheetId="18" hidden="1">'H17.2'!$B$26</definedName>
    <definedName name="solver_opt" localSheetId="19" hidden="1">'H18'!$B$24</definedName>
    <definedName name="solver_opt" localSheetId="20" hidden="1">'H19'!$P$24</definedName>
    <definedName name="solver_opt" localSheetId="21" hidden="1">'H20'!$B$22</definedName>
    <definedName name="solver_opt" localSheetId="22" hidden="1">'H21'!$B$20</definedName>
    <definedName name="solver_opt" localSheetId="23" hidden="1">'H22'!$B$19</definedName>
    <definedName name="solver_opt" localSheetId="24" hidden="1">'H23'!$B$16</definedName>
    <definedName name="solver_opt" localSheetId="25" hidden="1">'H24'!$B$6</definedName>
    <definedName name="solver_opt" localSheetId="26" hidden="1">'H25'!$C$8</definedName>
    <definedName name="solver_opt" localSheetId="27" hidden="1">'H26'!$A$23</definedName>
    <definedName name="solver_opt" localSheetId="28" hidden="1">'H27'!$B$11</definedName>
    <definedName name="solver_opt" localSheetId="29" hidden="1">'H28'!$B$5</definedName>
    <definedName name="solver_opt" localSheetId="30" hidden="1">'H29'!$C$7</definedName>
    <definedName name="solver_opt" localSheetId="31" hidden="1">'H30'!$D$12</definedName>
    <definedName name="solver_opt" localSheetId="32" hidden="1">'Project Model'!$I$38</definedName>
    <definedName name="solver_pre" localSheetId="11" hidden="1">0.000001</definedName>
    <definedName name="solver_pre" localSheetId="12" hidden="1">0.000001</definedName>
    <definedName name="solver_pre" localSheetId="13" hidden="1">0.000001</definedName>
    <definedName name="solver_pre" localSheetId="14" hidden="1">0.000001</definedName>
    <definedName name="solver_pre" localSheetId="15" hidden="1">0.000001</definedName>
    <definedName name="solver_pre" localSheetId="16" hidden="1">0.000001</definedName>
    <definedName name="solver_pre" localSheetId="17" hidden="1">0.000001</definedName>
    <definedName name="solver_pre" localSheetId="18" hidden="1">0.000001</definedName>
    <definedName name="solver_pre" localSheetId="19" hidden="1">0.000001</definedName>
    <definedName name="solver_pre" localSheetId="20" hidden="1">0.000001</definedName>
    <definedName name="solver_pre" localSheetId="21" hidden="1">0.000001</definedName>
    <definedName name="solver_pre" localSheetId="22" hidden="1">0.000001</definedName>
    <definedName name="solver_pre" localSheetId="23" hidden="1">0.000001</definedName>
    <definedName name="solver_pre" localSheetId="24" hidden="1">0.000001</definedName>
    <definedName name="solver_pre" localSheetId="25" hidden="1">0.000001</definedName>
    <definedName name="solver_pre" localSheetId="26" hidden="1">0.000001</definedName>
    <definedName name="solver_pre" localSheetId="27" hidden="1">0.000001</definedName>
    <definedName name="solver_pre" localSheetId="28" hidden="1">0.000001</definedName>
    <definedName name="solver_pre" localSheetId="29" hidden="1">0.000001</definedName>
    <definedName name="solver_pre" localSheetId="30" hidden="1">0.000001</definedName>
    <definedName name="solver_pre" localSheetId="31" hidden="1">0.000001</definedName>
    <definedName name="solver_pre" localSheetId="32" hidden="1">0.000001</definedName>
    <definedName name="solver_rbv" localSheetId="11" hidden="1">1</definedName>
    <definedName name="solver_rbv" localSheetId="12" hidden="1">1</definedName>
    <definedName name="solver_rbv" localSheetId="13" hidden="1">2</definedName>
    <definedName name="solver_rbv" localSheetId="14" hidden="1">1</definedName>
    <definedName name="solver_rbv" localSheetId="15" hidden="1">1</definedName>
    <definedName name="solver_rbv" localSheetId="16" hidden="1">1</definedName>
    <definedName name="solver_rbv" localSheetId="17" hidden="1">1</definedName>
    <definedName name="solver_rbv" localSheetId="18" hidden="1">1</definedName>
    <definedName name="solver_rbv" localSheetId="19" hidden="1">2</definedName>
    <definedName name="solver_rbv" localSheetId="20" hidden="1">1</definedName>
    <definedName name="solver_rbv" localSheetId="21" hidden="1">1</definedName>
    <definedName name="solver_rbv" localSheetId="22" hidden="1">1</definedName>
    <definedName name="solver_rbv" localSheetId="23" hidden="1">1</definedName>
    <definedName name="solver_rbv" localSheetId="24" hidden="1">1</definedName>
    <definedName name="solver_rbv" localSheetId="25" hidden="1">1</definedName>
    <definedName name="solver_rbv" localSheetId="26" hidden="1">1</definedName>
    <definedName name="solver_rbv" localSheetId="27" hidden="1">1</definedName>
    <definedName name="solver_rbv" localSheetId="28" hidden="1">1</definedName>
    <definedName name="solver_rbv" localSheetId="29" hidden="1">1</definedName>
    <definedName name="solver_rbv" localSheetId="30" hidden="1">1</definedName>
    <definedName name="solver_rbv" localSheetId="31" hidden="1">1</definedName>
    <definedName name="solver_rbv" localSheetId="32" hidden="1">1</definedName>
    <definedName name="solver_rel0" localSheetId="32" hidden="1">2</definedName>
    <definedName name="solver_rel1" localSheetId="11" hidden="1">1</definedName>
    <definedName name="solver_rel1" localSheetId="12" hidden="1">1</definedName>
    <definedName name="solver_rel1" localSheetId="13" hidden="1">1</definedName>
    <definedName name="solver_rel1" localSheetId="14" hidden="1">1</definedName>
    <definedName name="solver_rel1" localSheetId="15" hidden="1">1</definedName>
    <definedName name="solver_rel1" localSheetId="16" hidden="1">1</definedName>
    <definedName name="solver_rel1" localSheetId="17" hidden="1">2</definedName>
    <definedName name="solver_rel1" localSheetId="18" hidden="1">1</definedName>
    <definedName name="solver_rel1" localSheetId="19" hidden="1">1</definedName>
    <definedName name="solver_rel1" localSheetId="20" hidden="1">1</definedName>
    <definedName name="solver_rel1" localSheetId="21" hidden="1">2</definedName>
    <definedName name="solver_rel1" localSheetId="22" hidden="1">2</definedName>
    <definedName name="solver_rel1" localSheetId="23" hidden="1">3</definedName>
    <definedName name="solver_rel1" localSheetId="24" hidden="1">4</definedName>
    <definedName name="solver_rel1" localSheetId="25" hidden="1">4</definedName>
    <definedName name="solver_rel1" localSheetId="26" hidden="1">1</definedName>
    <definedName name="solver_rel1" localSheetId="27" hidden="1">5</definedName>
    <definedName name="solver_rel1" localSheetId="28" hidden="1">2</definedName>
    <definedName name="solver_rel1" localSheetId="29" hidden="1">4</definedName>
    <definedName name="solver_rel1" localSheetId="30" hidden="1">4</definedName>
    <definedName name="solver_rel1" localSheetId="31" hidden="1">1</definedName>
    <definedName name="solver_rel1" localSheetId="32" hidden="1">5</definedName>
    <definedName name="solver_rel2" localSheetId="11" hidden="1">3</definedName>
    <definedName name="solver_rel2" localSheetId="12" hidden="1">1</definedName>
    <definedName name="solver_rel2" localSheetId="13" hidden="1">1</definedName>
    <definedName name="solver_rel2" localSheetId="15" hidden="1">3</definedName>
    <definedName name="solver_rel2" localSheetId="16" hidden="1">2</definedName>
    <definedName name="solver_rel2" localSheetId="17" hidden="1">1</definedName>
    <definedName name="solver_rel2" localSheetId="18" hidden="1">3</definedName>
    <definedName name="solver_rel2" localSheetId="19" hidden="1">3</definedName>
    <definedName name="solver_rel2" localSheetId="20" hidden="1">2</definedName>
    <definedName name="solver_rel2" localSheetId="21" hidden="1">2</definedName>
    <definedName name="solver_rel2" localSheetId="22" hidden="1">2</definedName>
    <definedName name="solver_rel2" localSheetId="23" hidden="1">1</definedName>
    <definedName name="solver_rel2" localSheetId="24" hidden="1">1</definedName>
    <definedName name="solver_rel2" localSheetId="25" hidden="1">1</definedName>
    <definedName name="solver_rel2" localSheetId="27" hidden="1">3</definedName>
    <definedName name="solver_rel2" localSheetId="28" hidden="1">3</definedName>
    <definedName name="solver_rel2" localSheetId="29" hidden="1">1</definedName>
    <definedName name="solver_rel2" localSheetId="30" hidden="1">1</definedName>
    <definedName name="solver_rel2" localSheetId="31" hidden="1">1</definedName>
    <definedName name="solver_rel2" localSheetId="32" hidden="1">2</definedName>
    <definedName name="solver_rel3" localSheetId="11" hidden="1">3</definedName>
    <definedName name="solver_rel3" localSheetId="13" hidden="1">1</definedName>
    <definedName name="solver_rel3" localSheetId="15" hidden="1">3</definedName>
    <definedName name="solver_rel3" localSheetId="21" hidden="1">2</definedName>
    <definedName name="solver_rel3" localSheetId="24" hidden="1">3</definedName>
    <definedName name="solver_rel3" localSheetId="27" hidden="1">1</definedName>
    <definedName name="solver_rel3" localSheetId="32" hidden="1">1</definedName>
    <definedName name="solver_rel4" localSheetId="11" hidden="1">3</definedName>
    <definedName name="solver_rel4" localSheetId="13" hidden="1">1</definedName>
    <definedName name="solver_rel4" localSheetId="15" hidden="1">1</definedName>
    <definedName name="solver_rel4" localSheetId="27" hidden="1">2</definedName>
    <definedName name="solver_rel4" localSheetId="32" hidden="1">2</definedName>
    <definedName name="solver_rel5" localSheetId="27" hidden="1">1</definedName>
    <definedName name="solver_rel5" localSheetId="32" hidden="1">5</definedName>
    <definedName name="solver_rel6" localSheetId="32" hidden="1">5</definedName>
    <definedName name="solver_rel7" localSheetId="32" hidden="1">5</definedName>
    <definedName name="solver_rel8" localSheetId="32" hidden="1">3</definedName>
    <definedName name="solver_rhs0" localSheetId="32" hidden="1">'Project Model'!#REF!</definedName>
    <definedName name="solver_rhs1" localSheetId="11" hidden="1">'H11'!$F$11</definedName>
    <definedName name="solver_rhs1" localSheetId="12" hidden="1">'H12'!$F$10</definedName>
    <definedName name="solver_rhs1" localSheetId="13" hidden="1">'H13'!$F$14</definedName>
    <definedName name="solver_rhs1" localSheetId="14" hidden="1">'H14'!$F$12:$F$13</definedName>
    <definedName name="solver_rhs1" localSheetId="15" hidden="1">'H15'!$I$12</definedName>
    <definedName name="solver_rhs1" localSheetId="16" hidden="1">'H16'!$S$13:$S$15</definedName>
    <definedName name="solver_rhs1" localSheetId="17" hidden="1">'H17.1'!$C$7:$E$7</definedName>
    <definedName name="solver_rhs1" localSheetId="18" hidden="1">'H17.2'!$D$16:$D$18</definedName>
    <definedName name="solver_rhs1" localSheetId="19" hidden="1">'H18'!$D$14:$D$16</definedName>
    <definedName name="solver_rhs1" localSheetId="20" hidden="1">'H19'!$B$16:$E$16</definedName>
    <definedName name="solver_rhs1" localSheetId="21" hidden="1">'H20'!$B$18:$E$18</definedName>
    <definedName name="solver_rhs1" localSheetId="22" hidden="1">'H21'!$B$18:$E$18</definedName>
    <definedName name="solver_rhs1" localSheetId="23" hidden="1">'H22'!$B$13:$D$13</definedName>
    <definedName name="solver_rhs1" localSheetId="24" hidden="1">"całkowita"</definedName>
    <definedName name="solver_rhs1" localSheetId="25" hidden="1">"integer"</definedName>
    <definedName name="solver_rhs1" localSheetId="26" hidden="1">'H25'!$G$11:$G$13</definedName>
    <definedName name="solver_rhs1" localSheetId="27" hidden="1">"binary"</definedName>
    <definedName name="solver_rhs1" localSheetId="28" hidden="1">'H27'!$F$14</definedName>
    <definedName name="solver_rhs1" localSheetId="29" hidden="1">"całkowita"</definedName>
    <definedName name="solver_rhs1" localSheetId="30" hidden="1">"całkowita"</definedName>
    <definedName name="solver_rhs1" localSheetId="31" hidden="1">'H30'!#REF!</definedName>
    <definedName name="solver_rhs1" localSheetId="32" hidden="1">"binarna"</definedName>
    <definedName name="solver_rhs2" localSheetId="11" hidden="1">'H11'!$F$12</definedName>
    <definedName name="solver_rhs2" localSheetId="12" hidden="1">'H12'!$F$9</definedName>
    <definedName name="solver_rhs2" localSheetId="13" hidden="1">'H13'!$F$15</definedName>
    <definedName name="solver_rhs2" localSheetId="15" hidden="1">'H15'!$I$13</definedName>
    <definedName name="solver_rhs2" localSheetId="16" hidden="1">'H16'!$S$16:$S$20</definedName>
    <definedName name="solver_rhs2" localSheetId="17" hidden="1">'H17.1'!$F$4:$F$6</definedName>
    <definedName name="solver_rhs2" localSheetId="18" hidden="1">'H17.2'!$D$22:$D$24</definedName>
    <definedName name="solver_rhs2" localSheetId="19" hidden="1">'H18'!$D$20:$D$22</definedName>
    <definedName name="solver_rhs2" localSheetId="20" hidden="1">'H19'!$H$11:$H$13</definedName>
    <definedName name="solver_rhs2" localSheetId="21" hidden="1">0</definedName>
    <definedName name="solver_rhs2" localSheetId="22" hidden="1">'H21'!$H$12:$H$15</definedName>
    <definedName name="solver_rhs2" localSheetId="23" hidden="1">'H22'!$G$9:$G$10</definedName>
    <definedName name="solver_rhs2" localSheetId="24" hidden="1">'H23'!$F$11:$F$12</definedName>
    <definedName name="solver_rhs2" localSheetId="25" hidden="1">'H24'!$F$9:$F$11</definedName>
    <definedName name="solver_rhs2" localSheetId="27" hidden="1">'H26'!$K$13</definedName>
    <definedName name="solver_rhs2" localSheetId="28" hidden="1">'H27'!$F$15</definedName>
    <definedName name="solver_rhs2" localSheetId="29" hidden="1">'H28'!$F$10</definedName>
    <definedName name="solver_rhs2" localSheetId="30" hidden="1">'H29'!$G$11:$G$12</definedName>
    <definedName name="solver_rhs2" localSheetId="31" hidden="1">'H30'!#REF!</definedName>
    <definedName name="solver_rhs2" localSheetId="32" hidden="1">'Project Model'!$B$77:$I$77</definedName>
    <definedName name="solver_rhs3" localSheetId="11" hidden="1">'H11'!$F$13</definedName>
    <definedName name="solver_rhs3" localSheetId="13" hidden="1">'H13'!$F$16</definedName>
    <definedName name="solver_rhs3" localSheetId="15" hidden="1">'H15'!$I$14</definedName>
    <definedName name="solver_rhs3" localSheetId="21" hidden="1">'H20'!$H$12:$H$15</definedName>
    <definedName name="solver_rhs3" localSheetId="24" hidden="1">'H23'!$F$13</definedName>
    <definedName name="solver_rhs3" localSheetId="27" hidden="1">'H26'!$K$14</definedName>
    <definedName name="solver_rhs3" localSheetId="32" hidden="1">'Project Model'!$D$40:$G$40</definedName>
    <definedName name="solver_rhs4" localSheetId="11" hidden="1">'H11'!$F$14</definedName>
    <definedName name="solver_rhs4" localSheetId="13" hidden="1">'H13'!$F$17</definedName>
    <definedName name="solver_rhs4" localSheetId="15" hidden="1">'H15'!$I$15</definedName>
    <definedName name="solver_rhs4" localSheetId="27" hidden="1">'H26'!$K$15</definedName>
    <definedName name="solver_rhs4" localSheetId="32" hidden="1">'Project Model'!$L$63:$L$74</definedName>
    <definedName name="solver_rhs5" localSheetId="27" hidden="1">'H26'!$K$16</definedName>
    <definedName name="solver_rhs5" localSheetId="32" hidden="1">"binarna"</definedName>
    <definedName name="solver_rhs6" localSheetId="32" hidden="1">"binarna"</definedName>
    <definedName name="solver_rhs7" localSheetId="32" hidden="1">"binarna"</definedName>
    <definedName name="solver_rhs8" localSheetId="32" hidden="1">'Project Model'!$Q$15:$Q$18</definedName>
    <definedName name="solver_rlx" localSheetId="11" hidden="1">2</definedName>
    <definedName name="solver_rlx" localSheetId="12" hidden="1">2</definedName>
    <definedName name="solver_rlx" localSheetId="13" hidden="1">2</definedName>
    <definedName name="solver_rlx" localSheetId="14" hidden="1">2</definedName>
    <definedName name="solver_rlx" localSheetId="15" hidden="1">2</definedName>
    <definedName name="solver_rlx" localSheetId="16" hidden="1">2</definedName>
    <definedName name="solver_rlx" localSheetId="17" hidden="1">2</definedName>
    <definedName name="solver_rlx" localSheetId="18" hidden="1">2</definedName>
    <definedName name="solver_rlx" localSheetId="19" hidden="1">2</definedName>
    <definedName name="solver_rlx" localSheetId="20" hidden="1">2</definedName>
    <definedName name="solver_rlx" localSheetId="21" hidden="1">2</definedName>
    <definedName name="solver_rlx" localSheetId="22" hidden="1">2</definedName>
    <definedName name="solver_rlx" localSheetId="23" hidden="1">2</definedName>
    <definedName name="solver_rlx" localSheetId="24" hidden="1">2</definedName>
    <definedName name="solver_rlx" localSheetId="25" hidden="1">2</definedName>
    <definedName name="solver_rlx" localSheetId="26" hidden="1">2</definedName>
    <definedName name="solver_rlx" localSheetId="27" hidden="1">2</definedName>
    <definedName name="solver_rlx" localSheetId="28" hidden="1">2</definedName>
    <definedName name="solver_rlx" localSheetId="29" hidden="1">2</definedName>
    <definedName name="solver_rlx" localSheetId="30" hidden="1">2</definedName>
    <definedName name="solver_rlx" localSheetId="31" hidden="1">2</definedName>
    <definedName name="solver_rlx" localSheetId="32" hidden="1">2</definedName>
    <definedName name="solver_rsd" localSheetId="11" hidden="1">0</definedName>
    <definedName name="solver_rsd" localSheetId="12" hidden="1">0</definedName>
    <definedName name="solver_rsd" localSheetId="13" hidden="1">0</definedName>
    <definedName name="solver_rsd" localSheetId="14" hidden="1">0</definedName>
    <definedName name="solver_rsd" localSheetId="15" hidden="1">0</definedName>
    <definedName name="solver_rsd" localSheetId="16" hidden="1">0</definedName>
    <definedName name="solver_rsd" localSheetId="17" hidden="1">0</definedName>
    <definedName name="solver_rsd" localSheetId="18" hidden="1">0</definedName>
    <definedName name="solver_rsd" localSheetId="19" hidden="1">0</definedName>
    <definedName name="solver_rsd" localSheetId="20" hidden="1">0</definedName>
    <definedName name="solver_rsd" localSheetId="21" hidden="1">0</definedName>
    <definedName name="solver_rsd" localSheetId="22" hidden="1">0</definedName>
    <definedName name="solver_rsd" localSheetId="23" hidden="1">0</definedName>
    <definedName name="solver_rsd" localSheetId="24" hidden="1">0</definedName>
    <definedName name="solver_rsd" localSheetId="25" hidden="1">0</definedName>
    <definedName name="solver_rsd" localSheetId="26" hidden="1">0</definedName>
    <definedName name="solver_rsd" localSheetId="27" hidden="1">0</definedName>
    <definedName name="solver_rsd" localSheetId="28" hidden="1">0</definedName>
    <definedName name="solver_rsd" localSheetId="29" hidden="1">0</definedName>
    <definedName name="solver_rsd" localSheetId="30" hidden="1">0</definedName>
    <definedName name="solver_rsd" localSheetId="31" hidden="1">0</definedName>
    <definedName name="solver_rsd" localSheetId="32" hidden="1">0</definedName>
    <definedName name="solver_scl" localSheetId="11" hidden="1">1</definedName>
    <definedName name="solver_scl" localSheetId="12" hidden="1">1</definedName>
    <definedName name="solver_scl" localSheetId="13" hidden="1">2</definedName>
    <definedName name="solver_scl" localSheetId="14" hidden="1">1</definedName>
    <definedName name="solver_scl" localSheetId="15" hidden="1">1</definedName>
    <definedName name="solver_scl" localSheetId="16" hidden="1">1</definedName>
    <definedName name="solver_scl" localSheetId="17" hidden="1">1</definedName>
    <definedName name="solver_scl" localSheetId="18" hidden="1">1</definedName>
    <definedName name="solver_scl" localSheetId="19" hidden="1">2</definedName>
    <definedName name="solver_scl" localSheetId="20" hidden="1">1</definedName>
    <definedName name="solver_scl" localSheetId="21" hidden="1">1</definedName>
    <definedName name="solver_scl" localSheetId="22" hidden="1">1</definedName>
    <definedName name="solver_scl" localSheetId="23" hidden="1">1</definedName>
    <definedName name="solver_scl" localSheetId="24" hidden="1">1</definedName>
    <definedName name="solver_scl" localSheetId="25" hidden="1">1</definedName>
    <definedName name="solver_scl" localSheetId="26" hidden="1">1</definedName>
    <definedName name="solver_scl" localSheetId="27" hidden="1">1</definedName>
    <definedName name="solver_scl" localSheetId="28" hidden="1">1</definedName>
    <definedName name="solver_scl" localSheetId="29" hidden="1">1</definedName>
    <definedName name="solver_scl" localSheetId="30" hidden="1">1</definedName>
    <definedName name="solver_scl" localSheetId="31" hidden="1">1</definedName>
    <definedName name="solver_scl" localSheetId="32" hidden="1">1</definedName>
    <definedName name="solver_sho" localSheetId="11" hidden="1">2</definedName>
    <definedName name="solver_sho" localSheetId="12" hidden="1">2</definedName>
    <definedName name="solver_sho" localSheetId="13" hidden="1">2</definedName>
    <definedName name="solver_sho" localSheetId="14" hidden="1">2</definedName>
    <definedName name="solver_sho" localSheetId="15" hidden="1">2</definedName>
    <definedName name="solver_sho" localSheetId="16" hidden="1">2</definedName>
    <definedName name="solver_sho" localSheetId="17" hidden="1">2</definedName>
    <definedName name="solver_sho" localSheetId="18" hidden="1">2</definedName>
    <definedName name="solver_sho" localSheetId="19" hidden="1">2</definedName>
    <definedName name="solver_sho" localSheetId="20" hidden="1">2</definedName>
    <definedName name="solver_sho" localSheetId="21" hidden="1">2</definedName>
    <definedName name="solver_sho" localSheetId="22" hidden="1">2</definedName>
    <definedName name="solver_sho" localSheetId="23" hidden="1">2</definedName>
    <definedName name="solver_sho" localSheetId="24" hidden="1">2</definedName>
    <definedName name="solver_sho" localSheetId="25" hidden="1">2</definedName>
    <definedName name="solver_sho" localSheetId="26" hidden="1">2</definedName>
    <definedName name="solver_sho" localSheetId="27" hidden="1">2</definedName>
    <definedName name="solver_sho" localSheetId="28" hidden="1">2</definedName>
    <definedName name="solver_sho" localSheetId="29" hidden="1">2</definedName>
    <definedName name="solver_sho" localSheetId="30" hidden="1">2</definedName>
    <definedName name="solver_sho" localSheetId="31" hidden="1">2</definedName>
    <definedName name="solver_sho" localSheetId="32" hidden="1">2</definedName>
    <definedName name="solver_ssz" localSheetId="11" hidden="1">100</definedName>
    <definedName name="solver_ssz" localSheetId="12" hidden="1">100</definedName>
    <definedName name="solver_ssz" localSheetId="13" hidden="1">100</definedName>
    <definedName name="solver_ssz" localSheetId="14" hidden="1">100</definedName>
    <definedName name="solver_ssz" localSheetId="15" hidden="1">100</definedName>
    <definedName name="solver_ssz" localSheetId="16" hidden="1">100</definedName>
    <definedName name="solver_ssz" localSheetId="17" hidden="1">100</definedName>
    <definedName name="solver_ssz" localSheetId="18" hidden="1">100</definedName>
    <definedName name="solver_ssz" localSheetId="19" hidden="1">100</definedName>
    <definedName name="solver_ssz" localSheetId="20" hidden="1">100</definedName>
    <definedName name="solver_ssz" localSheetId="21" hidden="1">100</definedName>
    <definedName name="solver_ssz" localSheetId="22" hidden="1">100</definedName>
    <definedName name="solver_ssz" localSheetId="23" hidden="1">100</definedName>
    <definedName name="solver_ssz" localSheetId="24" hidden="1">100</definedName>
    <definedName name="solver_ssz" localSheetId="25" hidden="1">100</definedName>
    <definedName name="solver_ssz" localSheetId="26" hidden="1">100</definedName>
    <definedName name="solver_ssz" localSheetId="27" hidden="1">100</definedName>
    <definedName name="solver_ssz" localSheetId="28" hidden="1">100</definedName>
    <definedName name="solver_ssz" localSheetId="29" hidden="1">100</definedName>
    <definedName name="solver_ssz" localSheetId="30" hidden="1">100</definedName>
    <definedName name="solver_ssz" localSheetId="31" hidden="1">100</definedName>
    <definedName name="solver_ssz" localSheetId="32" hidden="1">100</definedName>
    <definedName name="solver_tim" localSheetId="11" hidden="1">2147483647</definedName>
    <definedName name="solver_tim" localSheetId="12" hidden="1">2147483647</definedName>
    <definedName name="solver_tim" localSheetId="13" hidden="1">2147483647</definedName>
    <definedName name="solver_tim" localSheetId="14" hidden="1">2147483647</definedName>
    <definedName name="solver_tim" localSheetId="15" hidden="1">2147483647</definedName>
    <definedName name="solver_tim" localSheetId="16" hidden="1">2147483647</definedName>
    <definedName name="solver_tim" localSheetId="17" hidden="1">2147483647</definedName>
    <definedName name="solver_tim" localSheetId="18" hidden="1">2147483647</definedName>
    <definedName name="solver_tim" localSheetId="19" hidden="1">2147483647</definedName>
    <definedName name="solver_tim" localSheetId="20" hidden="1">2147483647</definedName>
    <definedName name="solver_tim" localSheetId="21" hidden="1">2147483647</definedName>
    <definedName name="solver_tim" localSheetId="22" hidden="1">2147483647</definedName>
    <definedName name="solver_tim" localSheetId="23" hidden="1">2147483647</definedName>
    <definedName name="solver_tim" localSheetId="24" hidden="1">2147483647</definedName>
    <definedName name="solver_tim" localSheetId="25" hidden="1">2147483647</definedName>
    <definedName name="solver_tim" localSheetId="26" hidden="1">2147483647</definedName>
    <definedName name="solver_tim" localSheetId="27" hidden="1">2147483647</definedName>
    <definedName name="solver_tim" localSheetId="28" hidden="1">2147483647</definedName>
    <definedName name="solver_tim" localSheetId="29" hidden="1">2147483647</definedName>
    <definedName name="solver_tim" localSheetId="30" hidden="1">2147483647</definedName>
    <definedName name="solver_tim" localSheetId="31" hidden="1">2147483647</definedName>
    <definedName name="solver_tim" localSheetId="32" hidden="1">2147483647</definedName>
    <definedName name="solver_tol" localSheetId="11" hidden="1">0.01</definedName>
    <definedName name="solver_tol" localSheetId="12" hidden="1">0.01</definedName>
    <definedName name="solver_tol" localSheetId="13" hidden="1">0.01</definedName>
    <definedName name="solver_tol" localSheetId="14" hidden="1">0.01</definedName>
    <definedName name="solver_tol" localSheetId="15" hidden="1">0.01</definedName>
    <definedName name="solver_tol" localSheetId="16" hidden="1">0.01</definedName>
    <definedName name="solver_tol" localSheetId="17" hidden="1">0.01</definedName>
    <definedName name="solver_tol" localSheetId="18" hidden="1">0.01</definedName>
    <definedName name="solver_tol" localSheetId="19" hidden="1">0.01</definedName>
    <definedName name="solver_tol" localSheetId="20" hidden="1">0.01</definedName>
    <definedName name="solver_tol" localSheetId="21" hidden="1">0.01</definedName>
    <definedName name="solver_tol" localSheetId="22" hidden="1">0.01</definedName>
    <definedName name="solver_tol" localSheetId="23" hidden="1">0.01</definedName>
    <definedName name="solver_tol" localSheetId="24" hidden="1">0.01</definedName>
    <definedName name="solver_tol" localSheetId="25" hidden="1">0.01</definedName>
    <definedName name="solver_tol" localSheetId="26" hidden="1">0.01</definedName>
    <definedName name="solver_tol" localSheetId="27" hidden="1">0.01</definedName>
    <definedName name="solver_tol" localSheetId="28" hidden="1">0.01</definedName>
    <definedName name="solver_tol" localSheetId="29" hidden="1">0.01</definedName>
    <definedName name="solver_tol" localSheetId="30" hidden="1">0.01</definedName>
    <definedName name="solver_tol" localSheetId="31" hidden="1">0.01</definedName>
    <definedName name="solver_tol" localSheetId="32" hidden="1">0.01</definedName>
    <definedName name="solver_typ" localSheetId="11" hidden="1">1</definedName>
    <definedName name="solver_typ" localSheetId="12" hidden="1">1</definedName>
    <definedName name="solver_typ" localSheetId="13" hidden="1">1</definedName>
    <definedName name="solver_typ" localSheetId="14" hidden="1">1</definedName>
    <definedName name="solver_typ" localSheetId="15" hidden="1">1</definedName>
    <definedName name="solver_typ" localSheetId="16" hidden="1">2</definedName>
    <definedName name="solver_typ" localSheetId="17" hidden="1">2</definedName>
    <definedName name="solver_typ" localSheetId="18" hidden="1">2</definedName>
    <definedName name="solver_typ" localSheetId="19" hidden="1">2</definedName>
    <definedName name="solver_typ" localSheetId="20" hidden="1">2</definedName>
    <definedName name="solver_typ" localSheetId="21" hidden="1">2</definedName>
    <definedName name="solver_typ" localSheetId="22" hidden="1">1</definedName>
    <definedName name="solver_typ" localSheetId="23" hidden="1">2</definedName>
    <definedName name="solver_typ" localSheetId="24" hidden="1">1</definedName>
    <definedName name="solver_typ" localSheetId="25" hidden="1">1</definedName>
    <definedName name="solver_typ" localSheetId="26" hidden="1">1</definedName>
    <definedName name="solver_typ" localSheetId="27" hidden="1">1</definedName>
    <definedName name="solver_typ" localSheetId="28" hidden="1">2</definedName>
    <definedName name="solver_typ" localSheetId="29" hidden="1">1</definedName>
    <definedName name="solver_typ" localSheetId="30" hidden="1">1</definedName>
    <definedName name="solver_typ" localSheetId="31" hidden="1">1</definedName>
    <definedName name="solver_typ" localSheetId="32" hidden="1">1</definedName>
    <definedName name="solver_val" localSheetId="11" hidden="1">0</definedName>
    <definedName name="solver_val" localSheetId="12" hidden="1">0</definedName>
    <definedName name="solver_val" localSheetId="13" hidden="1">0</definedName>
    <definedName name="solver_val" localSheetId="14" hidden="1">0</definedName>
    <definedName name="solver_val" localSheetId="15" hidden="1">0</definedName>
    <definedName name="solver_val" localSheetId="16" hidden="1">0</definedName>
    <definedName name="solver_val" localSheetId="17" hidden="1">0</definedName>
    <definedName name="solver_val" localSheetId="18" hidden="1">0</definedName>
    <definedName name="solver_val" localSheetId="19" hidden="1">0</definedName>
    <definedName name="solver_val" localSheetId="20" hidden="1">0</definedName>
    <definedName name="solver_val" localSheetId="21" hidden="1">0</definedName>
    <definedName name="solver_val" localSheetId="22" hidden="1">0</definedName>
    <definedName name="solver_val" localSheetId="23" hidden="1">0</definedName>
    <definedName name="solver_val" localSheetId="24" hidden="1">0</definedName>
    <definedName name="solver_val" localSheetId="25" hidden="1">0</definedName>
    <definedName name="solver_val" localSheetId="26" hidden="1">0</definedName>
    <definedName name="solver_val" localSheetId="27" hidden="1">0</definedName>
    <definedName name="solver_val" localSheetId="28" hidden="1">0</definedName>
    <definedName name="solver_val" localSheetId="29" hidden="1">0</definedName>
    <definedName name="solver_val" localSheetId="30" hidden="1">0</definedName>
    <definedName name="solver_val" localSheetId="31" hidden="1">0</definedName>
    <definedName name="solver_val" localSheetId="32" hidden="1">0</definedName>
    <definedName name="solver_ver" localSheetId="11" hidden="1">3</definedName>
    <definedName name="solver_ver" localSheetId="12" hidden="1">3</definedName>
    <definedName name="solver_ver" localSheetId="13" hidden="1">3</definedName>
    <definedName name="solver_ver" localSheetId="14" hidden="1">3</definedName>
    <definedName name="solver_ver" localSheetId="15" hidden="1">3</definedName>
    <definedName name="solver_ver" localSheetId="16" hidden="1">3</definedName>
    <definedName name="solver_ver" localSheetId="17" hidden="1">3</definedName>
    <definedName name="solver_ver" localSheetId="18" hidden="1">3</definedName>
    <definedName name="solver_ver" localSheetId="19" hidden="1">3</definedName>
    <definedName name="solver_ver" localSheetId="20" hidden="1">3</definedName>
    <definedName name="solver_ver" localSheetId="21" hidden="1">3</definedName>
    <definedName name="solver_ver" localSheetId="22" hidden="1">3</definedName>
    <definedName name="solver_ver" localSheetId="23" hidden="1">3</definedName>
    <definedName name="solver_ver" localSheetId="24" hidden="1">3</definedName>
    <definedName name="solver_ver" localSheetId="25" hidden="1">3</definedName>
    <definedName name="solver_ver" localSheetId="26" hidden="1">3</definedName>
    <definedName name="solver_ver" localSheetId="27" hidden="1">3</definedName>
    <definedName name="solver_ver" localSheetId="28" hidden="1">3</definedName>
    <definedName name="solver_ver" localSheetId="29" hidden="1">3</definedName>
    <definedName name="solver_ver" localSheetId="30" hidden="1">3</definedName>
    <definedName name="solver_ver" localSheetId="31" hidden="1">3</definedName>
    <definedName name="solver_ver" localSheetId="32" hidden="1">3</definedName>
  </definedNames>
  <calcPr calcId="191029" iterateDelta="1E-4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3" i="51" l="1"/>
  <c r="L34" i="51"/>
  <c r="L32" i="51"/>
  <c r="L27" i="51"/>
  <c r="L28" i="51"/>
  <c r="L29" i="51"/>
  <c r="L26" i="51"/>
  <c r="L20" i="51"/>
  <c r="L21" i="51"/>
  <c r="L22" i="51"/>
  <c r="L23" i="51"/>
  <c r="L19" i="51"/>
  <c r="M63" i="51"/>
  <c r="J64" i="51" l="1"/>
  <c r="J65" i="51"/>
  <c r="J66" i="51"/>
  <c r="J67" i="51"/>
  <c r="J68" i="51"/>
  <c r="J69" i="51"/>
  <c r="J70" i="51"/>
  <c r="J71" i="51"/>
  <c r="J72" i="51"/>
  <c r="J73" i="51"/>
  <c r="J74" i="51"/>
  <c r="J63" i="51"/>
  <c r="C75" i="51"/>
  <c r="D75" i="51"/>
  <c r="E75" i="51"/>
  <c r="F75" i="51"/>
  <c r="G75" i="51"/>
  <c r="H75" i="51"/>
  <c r="I75" i="51"/>
  <c r="B75" i="51"/>
  <c r="L74" i="51"/>
  <c r="L73" i="51"/>
  <c r="L72" i="51"/>
  <c r="L71" i="51"/>
  <c r="L70" i="51"/>
  <c r="L69" i="51"/>
  <c r="L68" i="51"/>
  <c r="L67" i="51"/>
  <c r="L66" i="51"/>
  <c r="L65" i="51"/>
  <c r="L64" i="51"/>
  <c r="L63" i="51"/>
  <c r="H34" i="51"/>
  <c r="I34" i="51" s="1"/>
  <c r="J34" i="51" s="1"/>
  <c r="F34" i="51"/>
  <c r="E34" i="51"/>
  <c r="D34" i="51"/>
  <c r="H33" i="51"/>
  <c r="I33" i="51" s="1"/>
  <c r="J33" i="51" s="1"/>
  <c r="F33" i="51"/>
  <c r="E33" i="51"/>
  <c r="D33" i="51"/>
  <c r="J32" i="51"/>
  <c r="H32" i="51"/>
  <c r="I32" i="51" s="1"/>
  <c r="F32" i="51"/>
  <c r="E32" i="51"/>
  <c r="D32" i="51"/>
  <c r="H29" i="51"/>
  <c r="I29" i="51" s="1"/>
  <c r="J29" i="51" s="1"/>
  <c r="F29" i="51"/>
  <c r="E29" i="51"/>
  <c r="D29" i="51"/>
  <c r="H28" i="51"/>
  <c r="I28" i="51" s="1"/>
  <c r="J28" i="51" s="1"/>
  <c r="F28" i="51"/>
  <c r="E28" i="51"/>
  <c r="D28" i="51"/>
  <c r="H27" i="51"/>
  <c r="I27" i="51" s="1"/>
  <c r="J27" i="51" s="1"/>
  <c r="F27" i="51"/>
  <c r="E27" i="51"/>
  <c r="D27" i="51"/>
  <c r="H26" i="51"/>
  <c r="I26" i="51" s="1"/>
  <c r="J26" i="51" s="1"/>
  <c r="F26" i="51"/>
  <c r="E26" i="51"/>
  <c r="D26" i="51"/>
  <c r="H23" i="51"/>
  <c r="I23" i="51" s="1"/>
  <c r="J23" i="51" s="1"/>
  <c r="F23" i="51"/>
  <c r="E23" i="51"/>
  <c r="D23" i="51"/>
  <c r="H22" i="51"/>
  <c r="I22" i="51" s="1"/>
  <c r="J22" i="51" s="1"/>
  <c r="F22" i="51"/>
  <c r="E22" i="51"/>
  <c r="D22" i="51"/>
  <c r="H21" i="51"/>
  <c r="I21" i="51" s="1"/>
  <c r="J21" i="51" s="1"/>
  <c r="F21" i="51"/>
  <c r="E21" i="51"/>
  <c r="D21" i="51"/>
  <c r="H20" i="51"/>
  <c r="I20" i="51" s="1"/>
  <c r="J20" i="51" s="1"/>
  <c r="F20" i="51"/>
  <c r="E20" i="51"/>
  <c r="D20" i="51"/>
  <c r="J19" i="51"/>
  <c r="H19" i="51"/>
  <c r="I19" i="51" s="1"/>
  <c r="F19" i="51"/>
  <c r="E19" i="51"/>
  <c r="D19" i="51"/>
  <c r="O17" i="51"/>
  <c r="O16" i="51"/>
  <c r="O15" i="51"/>
  <c r="D5" i="49"/>
  <c r="D6" i="49"/>
  <c r="D8" i="49" s="1"/>
  <c r="D12" i="49" s="1"/>
  <c r="E12" i="47"/>
  <c r="E11" i="47"/>
  <c r="C7" i="47"/>
  <c r="D10" i="45"/>
  <c r="E2" i="45"/>
  <c r="D2" i="45"/>
  <c r="D15" i="44"/>
  <c r="D14" i="44"/>
  <c r="D6" i="44"/>
  <c r="C6" i="44"/>
  <c r="B6" i="44"/>
  <c r="I16" i="42"/>
  <c r="I15" i="42"/>
  <c r="I14" i="42"/>
  <c r="I13" i="42"/>
  <c r="B9" i="42"/>
  <c r="E13" i="41"/>
  <c r="E12" i="41"/>
  <c r="E11" i="41"/>
  <c r="C8" i="41"/>
  <c r="D10" i="40"/>
  <c r="D11" i="40"/>
  <c r="D9" i="40"/>
  <c r="B6" i="40"/>
  <c r="D12" i="39"/>
  <c r="D13" i="39"/>
  <c r="D11" i="39"/>
  <c r="B8" i="39"/>
  <c r="B21" i="37"/>
  <c r="B20" i="37"/>
  <c r="B19" i="37"/>
  <c r="C11" i="37"/>
  <c r="D11" i="37"/>
  <c r="E10" i="37"/>
  <c r="E9" i="37"/>
  <c r="B11" i="37"/>
  <c r="B20" i="36"/>
  <c r="C16" i="36"/>
  <c r="D16" i="36"/>
  <c r="E16" i="36"/>
  <c r="B16" i="36"/>
  <c r="F13" i="36"/>
  <c r="F14" i="36"/>
  <c r="F15" i="36"/>
  <c r="F12" i="36"/>
  <c r="B22" i="35"/>
  <c r="E16" i="35"/>
  <c r="C16" i="35"/>
  <c r="D16" i="35"/>
  <c r="B16" i="35"/>
  <c r="F12" i="35"/>
  <c r="F15" i="35"/>
  <c r="F14" i="35"/>
  <c r="F13" i="35"/>
  <c r="B19" i="34"/>
  <c r="C14" i="34"/>
  <c r="D14" i="34"/>
  <c r="E14" i="34"/>
  <c r="B14" i="34"/>
  <c r="F12" i="34"/>
  <c r="F13" i="34"/>
  <c r="F11" i="34"/>
  <c r="B22" i="33"/>
  <c r="B21" i="33"/>
  <c r="B20" i="33"/>
  <c r="B16" i="33"/>
  <c r="B15" i="33"/>
  <c r="B14" i="33"/>
  <c r="B24" i="33"/>
  <c r="B26" i="29"/>
  <c r="B23" i="29"/>
  <c r="B24" i="29"/>
  <c r="B22" i="29"/>
  <c r="B17" i="29"/>
  <c r="B18" i="29"/>
  <c r="B16" i="29"/>
  <c r="B19" i="30"/>
  <c r="E15" i="30"/>
  <c r="D15" i="30"/>
  <c r="C15" i="30"/>
  <c r="F14" i="30"/>
  <c r="F13" i="30"/>
  <c r="F12" i="30"/>
  <c r="Q17" i="27"/>
  <c r="Q18" i="27"/>
  <c r="Q19" i="27"/>
  <c r="Q20" i="27"/>
  <c r="Q16" i="27"/>
  <c r="Q15" i="27"/>
  <c r="Q14" i="27"/>
  <c r="Q13" i="27"/>
  <c r="B10" i="27"/>
  <c r="G15" i="26"/>
  <c r="I14" i="26"/>
  <c r="G14" i="26"/>
  <c r="I13" i="26"/>
  <c r="G13" i="26"/>
  <c r="G12" i="26"/>
  <c r="B6" i="26"/>
  <c r="D13" i="25"/>
  <c r="D12" i="25"/>
  <c r="D7" i="25"/>
  <c r="D17" i="24"/>
  <c r="D16" i="24"/>
  <c r="D9" i="24"/>
  <c r="D8" i="24"/>
  <c r="D7" i="24"/>
  <c r="D5" i="24"/>
  <c r="D15" i="24"/>
  <c r="D14" i="24"/>
  <c r="D10" i="23"/>
  <c r="D9" i="23"/>
  <c r="B6" i="23"/>
  <c r="D14" i="20"/>
  <c r="D12" i="20"/>
  <c r="D13" i="20"/>
  <c r="B5" i="20"/>
  <c r="D11" i="20"/>
  <c r="F38" i="19"/>
  <c r="N12" i="19" s="1"/>
  <c r="I34" i="19"/>
  <c r="J34" i="19" s="1"/>
  <c r="H34" i="19"/>
  <c r="F34" i="19"/>
  <c r="E34" i="19"/>
  <c r="D34" i="19"/>
  <c r="G34" i="19" s="1"/>
  <c r="H33" i="19"/>
  <c r="I33" i="19" s="1"/>
  <c r="J33" i="19" s="1"/>
  <c r="F33" i="19"/>
  <c r="E33" i="19"/>
  <c r="D33" i="19"/>
  <c r="D35" i="19" s="1"/>
  <c r="J32" i="19"/>
  <c r="H32" i="19"/>
  <c r="I32" i="19" s="1"/>
  <c r="F32" i="19"/>
  <c r="F35" i="19" s="1"/>
  <c r="Q28" i="19" s="1"/>
  <c r="E32" i="19"/>
  <c r="G32" i="19" s="1"/>
  <c r="D32" i="19"/>
  <c r="H29" i="19"/>
  <c r="I29" i="19" s="1"/>
  <c r="J29" i="19" s="1"/>
  <c r="F29" i="19"/>
  <c r="E29" i="19"/>
  <c r="D29" i="19"/>
  <c r="G29" i="19" s="1"/>
  <c r="J28" i="19"/>
  <c r="H28" i="19"/>
  <c r="I28" i="19" s="1"/>
  <c r="F28" i="19"/>
  <c r="E28" i="19"/>
  <c r="D28" i="19"/>
  <c r="G28" i="19" s="1"/>
  <c r="H27" i="19"/>
  <c r="I27" i="19" s="1"/>
  <c r="J27" i="19" s="1"/>
  <c r="F27" i="19"/>
  <c r="G27" i="19" s="1"/>
  <c r="E27" i="19"/>
  <c r="D27" i="19"/>
  <c r="J26" i="19"/>
  <c r="H26" i="19"/>
  <c r="I26" i="19" s="1"/>
  <c r="F26" i="19"/>
  <c r="F30" i="19" s="1"/>
  <c r="Q27" i="19" s="1"/>
  <c r="E26" i="19"/>
  <c r="E30" i="19" s="1"/>
  <c r="P27" i="19" s="1"/>
  <c r="D26" i="19"/>
  <c r="D30" i="19" s="1"/>
  <c r="I23" i="19"/>
  <c r="J23" i="19" s="1"/>
  <c r="H23" i="19"/>
  <c r="F23" i="19"/>
  <c r="E23" i="19"/>
  <c r="D23" i="19"/>
  <c r="G23" i="19" s="1"/>
  <c r="H22" i="19"/>
  <c r="I22" i="19" s="1"/>
  <c r="J22" i="19" s="1"/>
  <c r="F22" i="19"/>
  <c r="E22" i="19"/>
  <c r="D22" i="19"/>
  <c r="D24" i="19" s="1"/>
  <c r="H21" i="19"/>
  <c r="I21" i="19" s="1"/>
  <c r="J21" i="19" s="1"/>
  <c r="F21" i="19"/>
  <c r="E21" i="19"/>
  <c r="G21" i="19" s="1"/>
  <c r="D21" i="19"/>
  <c r="H20" i="19"/>
  <c r="I20" i="19" s="1"/>
  <c r="J20" i="19" s="1"/>
  <c r="G20" i="19"/>
  <c r="F20" i="19"/>
  <c r="E20" i="19"/>
  <c r="D20" i="19"/>
  <c r="J19" i="19"/>
  <c r="H19" i="19"/>
  <c r="I19" i="19" s="1"/>
  <c r="F19" i="19"/>
  <c r="F24" i="19" s="1"/>
  <c r="Q26" i="19" s="1"/>
  <c r="E19" i="19"/>
  <c r="E38" i="19" s="1"/>
  <c r="N11" i="19" s="1"/>
  <c r="D19" i="19"/>
  <c r="D38" i="19" s="1"/>
  <c r="N17" i="19"/>
  <c r="N14" i="19" s="1"/>
  <c r="N16" i="19"/>
  <c r="N15" i="19"/>
  <c r="D7" i="44"/>
  <c r="G12" i="30"/>
  <c r="C24" i="33"/>
  <c r="F16" i="29"/>
  <c r="G10" i="40"/>
  <c r="G14" i="24"/>
  <c r="F22" i="29"/>
  <c r="G12" i="39"/>
  <c r="G11" i="20"/>
  <c r="G12" i="20"/>
  <c r="G15" i="24"/>
  <c r="G13" i="39"/>
  <c r="C26" i="29"/>
  <c r="G8" i="24"/>
  <c r="C6" i="23"/>
  <c r="G17" i="24"/>
  <c r="C20" i="36"/>
  <c r="C16" i="30"/>
  <c r="G7" i="24"/>
  <c r="G9" i="24"/>
  <c r="E9" i="42"/>
  <c r="B7" i="44"/>
  <c r="G16" i="24"/>
  <c r="F23" i="29"/>
  <c r="G9" i="40"/>
  <c r="G10" i="24"/>
  <c r="C10" i="27"/>
  <c r="F24" i="29"/>
  <c r="F18" i="29"/>
  <c r="C11" i="44"/>
  <c r="C22" i="35"/>
  <c r="C6" i="26"/>
  <c r="G14" i="20"/>
  <c r="C19" i="34"/>
  <c r="G11" i="39"/>
  <c r="C8" i="39"/>
  <c r="G11" i="40"/>
  <c r="G5" i="24"/>
  <c r="C7" i="44"/>
  <c r="C6" i="40"/>
  <c r="C19" i="30"/>
  <c r="D5" i="45"/>
  <c r="F17" i="29"/>
  <c r="G13" i="20"/>
  <c r="R36" i="51" l="1"/>
  <c r="P36" i="51"/>
  <c r="Q36" i="51"/>
  <c r="G32" i="51"/>
  <c r="F38" i="51"/>
  <c r="O12" i="51" s="1"/>
  <c r="G29" i="51"/>
  <c r="E30" i="51"/>
  <c r="Q27" i="51" s="1"/>
  <c r="G27" i="51"/>
  <c r="O18" i="51"/>
  <c r="G21" i="51"/>
  <c r="D35" i="51"/>
  <c r="P28" i="51" s="1"/>
  <c r="G20" i="51"/>
  <c r="G19" i="51"/>
  <c r="G34" i="51"/>
  <c r="G22" i="51"/>
  <c r="D30" i="51"/>
  <c r="P27" i="51" s="1"/>
  <c r="E38" i="51"/>
  <c r="O11" i="51" s="1"/>
  <c r="G26" i="51"/>
  <c r="O14" i="51"/>
  <c r="F24" i="51"/>
  <c r="R26" i="51" s="1"/>
  <c r="G23" i="51"/>
  <c r="G28" i="51"/>
  <c r="F35" i="51"/>
  <c r="R28" i="51" s="1"/>
  <c r="I38" i="51"/>
  <c r="D24" i="51"/>
  <c r="F30" i="51"/>
  <c r="R27" i="51" s="1"/>
  <c r="E24" i="51"/>
  <c r="Q26" i="51" s="1"/>
  <c r="G33" i="51"/>
  <c r="E35" i="51"/>
  <c r="Q28" i="51" s="1"/>
  <c r="D38" i="51"/>
  <c r="B5" i="45"/>
  <c r="B11" i="44"/>
  <c r="D10" i="24"/>
  <c r="N10" i="19"/>
  <c r="G38" i="19"/>
  <c r="N13" i="19" s="1"/>
  <c r="G24" i="19"/>
  <c r="O26" i="19"/>
  <c r="I38" i="19"/>
  <c r="G42" i="19"/>
  <c r="O28" i="19"/>
  <c r="O27" i="19"/>
  <c r="G30" i="19"/>
  <c r="N18" i="19"/>
  <c r="E24" i="19"/>
  <c r="P26" i="19" s="1"/>
  <c r="G26" i="19"/>
  <c r="G33" i="19"/>
  <c r="E35" i="19"/>
  <c r="P28" i="19" s="1"/>
  <c r="G22" i="19"/>
  <c r="G19" i="19"/>
  <c r="E42" i="19"/>
  <c r="F42" i="19"/>
  <c r="G35" i="51" l="1"/>
  <c r="G30" i="51"/>
  <c r="P26" i="51"/>
  <c r="G24" i="51"/>
  <c r="O10" i="51"/>
  <c r="G38" i="51"/>
  <c r="O13" i="51" s="1"/>
  <c r="G35" i="19"/>
  <c r="N20" i="19"/>
  <c r="O20" i="51" l="1"/>
  <c r="D21" i="11"/>
  <c r="H21" i="11" s="1"/>
  <c r="H33" i="11" s="1"/>
  <c r="B38" i="11"/>
  <c r="B39" i="11" s="1"/>
  <c r="B13" i="13"/>
  <c r="B12" i="13"/>
  <c r="F6" i="13"/>
  <c r="F7" i="13"/>
  <c r="F8" i="13" s="1"/>
  <c r="F9" i="13" s="1"/>
  <c r="F10" i="13" s="1"/>
  <c r="F11" i="13" s="1"/>
  <c r="F12" i="13" s="1"/>
  <c r="F13" i="13" s="1"/>
  <c r="F14" i="13" s="1"/>
  <c r="F15" i="13" s="1"/>
  <c r="F16" i="13" s="1"/>
  <c r="F17" i="13" s="1"/>
  <c r="F18" i="13" s="1"/>
  <c r="F19" i="13" s="1"/>
  <c r="F20" i="13" s="1"/>
  <c r="F21" i="13" s="1"/>
  <c r="F22" i="13" s="1"/>
  <c r="F23" i="13" s="1"/>
  <c r="F5" i="13"/>
  <c r="E10" i="12"/>
  <c r="E8" i="12"/>
  <c r="D8" i="12"/>
  <c r="F8" i="12" s="1"/>
  <c r="C8" i="12"/>
  <c r="C9" i="12"/>
  <c r="D9" i="12"/>
  <c r="F7" i="12"/>
  <c r="D4" i="12"/>
  <c r="F4" i="12" s="1"/>
  <c r="D5" i="12"/>
  <c r="F5" i="12" s="1"/>
  <c r="D6" i="12"/>
  <c r="F6" i="12" s="1"/>
  <c r="D7" i="12"/>
  <c r="D3" i="12"/>
  <c r="F3" i="12" s="1"/>
  <c r="C4" i="12"/>
  <c r="E4" i="12" s="1"/>
  <c r="C5" i="12"/>
  <c r="E5" i="12" s="1"/>
  <c r="C6" i="12"/>
  <c r="E6" i="12" s="1"/>
  <c r="C7" i="12"/>
  <c r="E7" i="12" s="1"/>
  <c r="C3" i="12"/>
  <c r="E3" i="12" s="1"/>
  <c r="H22" i="11"/>
  <c r="H23" i="11"/>
  <c r="H24" i="11"/>
  <c r="H25" i="11"/>
  <c r="H26" i="11"/>
  <c r="H27" i="11"/>
  <c r="H28" i="11"/>
  <c r="H29" i="11"/>
  <c r="H30" i="11"/>
  <c r="H31" i="11"/>
  <c r="H32" i="11"/>
  <c r="G33" i="11"/>
  <c r="G22" i="11"/>
  <c r="G23" i="11"/>
  <c r="G24" i="11"/>
  <c r="G25" i="11"/>
  <c r="G26" i="11"/>
  <c r="G27" i="11"/>
  <c r="G28" i="11"/>
  <c r="G29" i="11"/>
  <c r="G30" i="11"/>
  <c r="G31" i="11"/>
  <c r="G32" i="11"/>
  <c r="G21" i="11"/>
  <c r="F33" i="11"/>
  <c r="F22" i="11"/>
  <c r="F23" i="11"/>
  <c r="F24" i="11"/>
  <c r="F25" i="11"/>
  <c r="F26" i="11"/>
  <c r="F27" i="11"/>
  <c r="F28" i="11"/>
  <c r="F29" i="11"/>
  <c r="F30" i="11"/>
  <c r="F31" i="11"/>
  <c r="F32" i="11"/>
  <c r="F21" i="11"/>
  <c r="D22" i="11"/>
  <c r="D23" i="11"/>
  <c r="D24" i="11"/>
  <c r="D25" i="11"/>
  <c r="D26" i="11"/>
  <c r="D27" i="11"/>
  <c r="D28" i="11"/>
  <c r="D29" i="11"/>
  <c r="D30" i="11"/>
  <c r="D31" i="11"/>
  <c r="D32" i="11"/>
  <c r="C22" i="11"/>
  <c r="C23" i="11"/>
  <c r="C24" i="11"/>
  <c r="C25" i="11"/>
  <c r="C26" i="11"/>
  <c r="C27" i="11"/>
  <c r="C28" i="11"/>
  <c r="C29" i="11"/>
  <c r="C30" i="11"/>
  <c r="C31" i="11"/>
  <c r="C32" i="11"/>
  <c r="C21" i="11"/>
  <c r="B22" i="11"/>
  <c r="B23" i="11"/>
  <c r="B24" i="11"/>
  <c r="B25" i="11"/>
  <c r="B26" i="11"/>
  <c r="B27" i="11"/>
  <c r="B28" i="11"/>
  <c r="B29" i="11"/>
  <c r="B30" i="11"/>
  <c r="B31" i="11"/>
  <c r="B32" i="11"/>
  <c r="B21" i="11"/>
  <c r="B11" i="10"/>
  <c r="B6" i="10"/>
  <c r="B16" i="10" s="1"/>
  <c r="B7" i="9"/>
  <c r="B4" i="9"/>
  <c r="B18" i="8"/>
  <c r="B14" i="8"/>
  <c r="B21" i="8" s="1"/>
  <c r="B15" i="8"/>
  <c r="B15" i="6"/>
  <c r="B19" i="6" s="1"/>
  <c r="B18" i="5"/>
  <c r="C18" i="5"/>
  <c r="C19" i="5" s="1"/>
  <c r="C20" i="5" s="1"/>
  <c r="C21" i="5" s="1"/>
  <c r="D18" i="5"/>
  <c r="D19" i="5" s="1"/>
  <c r="B19" i="5"/>
  <c r="B20" i="5" s="1"/>
  <c r="B21" i="5" s="1"/>
  <c r="D17" i="5"/>
  <c r="E17" i="5" s="1"/>
  <c r="C17" i="5"/>
  <c r="F17" i="5" s="1"/>
  <c r="B17" i="5"/>
  <c r="F16" i="5"/>
  <c r="E16" i="5"/>
  <c r="D16" i="5"/>
  <c r="C16" i="5"/>
  <c r="B16" i="5"/>
  <c r="C11" i="5"/>
  <c r="C9" i="5"/>
  <c r="B9" i="5"/>
  <c r="B11" i="5" s="1"/>
  <c r="C6" i="5"/>
  <c r="B6" i="5"/>
  <c r="B18" i="3"/>
  <c r="B16" i="3"/>
  <c r="B15" i="3"/>
  <c r="B13" i="2"/>
  <c r="B22" i="2"/>
  <c r="B5" i="2"/>
  <c r="B9" i="2" s="1"/>
  <c r="G17" i="13"/>
  <c r="C7" i="9"/>
  <c r="G22" i="13"/>
  <c r="E38" i="11"/>
  <c r="G8" i="13"/>
  <c r="G23" i="13"/>
  <c r="C4" i="9"/>
  <c r="G18" i="13"/>
  <c r="C15" i="6"/>
  <c r="C20" i="6"/>
  <c r="E39" i="11"/>
  <c r="C16" i="3"/>
  <c r="G5" i="13"/>
  <c r="G16" i="13"/>
  <c r="G7" i="13"/>
  <c r="G20" i="13"/>
  <c r="C20" i="3"/>
  <c r="C22" i="9"/>
  <c r="C15" i="3"/>
  <c r="E42" i="11"/>
  <c r="G19" i="13"/>
  <c r="C6" i="10"/>
  <c r="G12" i="13"/>
  <c r="C15" i="8"/>
  <c r="G15" i="13"/>
  <c r="C18" i="3"/>
  <c r="C19" i="3"/>
  <c r="C16" i="10"/>
  <c r="C17" i="9"/>
  <c r="E41" i="11"/>
  <c r="C24" i="8"/>
  <c r="G13" i="13"/>
  <c r="G10" i="13"/>
  <c r="C13" i="13"/>
  <c r="C5" i="2"/>
  <c r="C9" i="2"/>
  <c r="C18" i="8"/>
  <c r="C11" i="13"/>
  <c r="C14" i="8"/>
  <c r="C11" i="10"/>
  <c r="C21" i="8"/>
  <c r="G11" i="13"/>
  <c r="C22" i="2"/>
  <c r="G9" i="13"/>
  <c r="G14" i="13"/>
  <c r="C24" i="9"/>
  <c r="C24" i="2"/>
  <c r="G21" i="13"/>
  <c r="G6" i="13"/>
  <c r="C11" i="6"/>
  <c r="C21" i="10"/>
  <c r="E43" i="11"/>
  <c r="C19" i="6"/>
  <c r="F10" i="12" l="1"/>
  <c r="B42" i="11"/>
  <c r="B41" i="11"/>
  <c r="B21" i="10"/>
  <c r="B23" i="10" s="1"/>
  <c r="B9" i="9"/>
  <c r="B24" i="8"/>
  <c r="I13" i="8" s="1"/>
  <c r="B11" i="6"/>
  <c r="B20" i="6" s="1"/>
  <c r="H4" i="6" s="1"/>
  <c r="D20" i="5"/>
  <c r="F19" i="5"/>
  <c r="E19" i="5"/>
  <c r="F18" i="5"/>
  <c r="E18" i="5"/>
  <c r="B19" i="3"/>
  <c r="B20" i="3"/>
  <c r="B24" i="2"/>
  <c r="B11" i="13" l="1"/>
  <c r="B43" i="11"/>
  <c r="B22" i="9"/>
  <c r="B17" i="9"/>
  <c r="B27" i="10"/>
  <c r="E3" i="10"/>
  <c r="E20" i="5"/>
  <c r="F20" i="5"/>
  <c r="D21" i="5"/>
  <c r="H37" i="11" l="1"/>
  <c r="G86" i="11"/>
  <c r="B24" i="9"/>
  <c r="G2" i="9" s="1"/>
  <c r="E21" i="5"/>
  <c r="F21" i="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J18" authorId="0" shapeId="0" xr:uid="{02114696-EFBA-44C6-9E82-525182CE51E0}">
      <text>
        <r>
          <rPr>
            <b/>
            <sz val="9"/>
            <color indexed="81"/>
            <rFont val="Tahoma"/>
            <family val="2"/>
          </rPr>
          <t xml:space="preserve">Based on Adjusted ROI; not based on % partnership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J18" authorId="0" shapeId="0" xr:uid="{796C60C0-E54B-4A18-B76E-BCE70ADDF760}">
      <text>
        <r>
          <rPr>
            <b/>
            <sz val="9"/>
            <color indexed="81"/>
            <rFont val="Tahoma"/>
            <family val="2"/>
          </rPr>
          <t xml:space="preserve">Based on Adjusted ROI; not based on % partnership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python.xml><?xml version="1.0" encoding="utf-8"?>
<python xmlns="http://schemas.microsoft.com/office/spreadsheetml/2023/python">
  <environmentDefinition id="{882DD1B0-6546-4DFA-8A08-902A380B44EA}">
    <initialization>
      <code xml:space="preserve">import numpy as np
import pandas as pd
import matplotlib.pyplot as plt
import seaborn as sns
import statsmodels as sm
import excel
import warnings
warnings.simplefilter('ignore')
excel.set_xl_scalar_conversion(excel.convert_to_scalar)
excel.set_xl_array_conversion(excel.convert_to_dataframe)
</code>
    </initialization>
  </environmentDefinition>
</python>
</file>

<file path=xl/sharedStrings.xml><?xml version="1.0" encoding="utf-8"?>
<sst xmlns="http://schemas.openxmlformats.org/spreadsheetml/2006/main" count="956" uniqueCount="468">
  <si>
    <t>Budget</t>
  </si>
  <si>
    <t>Income:</t>
  </si>
  <si>
    <t>Salary:</t>
  </si>
  <si>
    <t>Taxes (22%):</t>
  </si>
  <si>
    <t>Medical:</t>
  </si>
  <si>
    <t>Dental:</t>
  </si>
  <si>
    <t>Retirement:</t>
  </si>
  <si>
    <t>Net Income:</t>
  </si>
  <si>
    <t>Expenses:</t>
  </si>
  <si>
    <t>Rent:</t>
  </si>
  <si>
    <t>Food:</t>
  </si>
  <si>
    <t>Car:</t>
  </si>
  <si>
    <t>Travel:</t>
  </si>
  <si>
    <t>Apt Items:</t>
  </si>
  <si>
    <t>Pet:</t>
  </si>
  <si>
    <t>Gifts:</t>
  </si>
  <si>
    <t>Savings:</t>
  </si>
  <si>
    <t>Loans:</t>
  </si>
  <si>
    <t>Total Expenses:</t>
  </si>
  <si>
    <t>Net Savings:</t>
  </si>
  <si>
    <t>NCAA T-Shirt Vendor</t>
  </si>
  <si>
    <t>Givens:</t>
  </si>
  <si>
    <t>Costs:</t>
  </si>
  <si>
    <t>Fixed:</t>
  </si>
  <si>
    <t>Variable:</t>
  </si>
  <si>
    <t>for shirt</t>
  </si>
  <si>
    <t>Number of Shirts Ordered:</t>
  </si>
  <si>
    <t>Total Cost:</t>
  </si>
  <si>
    <t>Revenue:</t>
  </si>
  <si>
    <t>Full Price:</t>
  </si>
  <si>
    <t>Reduced Price:</t>
  </si>
  <si>
    <t>Number of Shirts Sold (FP):</t>
  </si>
  <si>
    <t>Number of Shirts Sold (Reduced):</t>
  </si>
  <si>
    <t>Total Revenue:</t>
  </si>
  <si>
    <t>Total Profit:</t>
  </si>
  <si>
    <t>Demand:</t>
  </si>
  <si>
    <t>Woodworks Bookshelf Company</t>
  </si>
  <si>
    <t>Cherry</t>
  </si>
  <si>
    <t>Oak</t>
  </si>
  <si>
    <t>Unit Cost:</t>
  </si>
  <si>
    <t>Board Feet:</t>
  </si>
  <si>
    <t>Materials Cost:</t>
  </si>
  <si>
    <t>Labor Req'd</t>
  </si>
  <si>
    <t>Labor Rate:</t>
  </si>
  <si>
    <t>Labor Cost:</t>
  </si>
  <si>
    <t>Cost Increases:</t>
  </si>
  <si>
    <t>Year</t>
  </si>
  <si>
    <t>Labor</t>
  </si>
  <si>
    <t>Total Cherrry</t>
  </si>
  <si>
    <t>Total Oak</t>
  </si>
  <si>
    <t>Quality Sweater Company</t>
  </si>
  <si>
    <t>Inputs:</t>
  </si>
  <si>
    <t>Printing:</t>
  </si>
  <si>
    <t>per catalog</t>
  </si>
  <si>
    <t>Mailing:</t>
  </si>
  <si>
    <t>Reply envelopes:</t>
  </si>
  <si>
    <t>per order</t>
  </si>
  <si>
    <t>Average Customer Order:</t>
  </si>
  <si>
    <t>Labor &amp; Materials:</t>
  </si>
  <si>
    <t>Catalogs Ordered:</t>
  </si>
  <si>
    <t>Response Rate:</t>
  </si>
  <si>
    <t>dummy value</t>
  </si>
  <si>
    <t>Total Orders:</t>
  </si>
  <si>
    <t>a) Data Table</t>
  </si>
  <si>
    <t>Profit:</t>
  </si>
  <si>
    <t>B&amp;N BookStore</t>
  </si>
  <si>
    <t>Regular Price:</t>
  </si>
  <si>
    <t>Ordered</t>
  </si>
  <si>
    <t>Unit Cost</t>
  </si>
  <si>
    <t>at least</t>
  </si>
  <si>
    <t>Order:</t>
  </si>
  <si>
    <t>500-4500</t>
  </si>
  <si>
    <t>Sale Price:</t>
  </si>
  <si>
    <t>Surplus:</t>
  </si>
  <si>
    <t>Surplus way 2:</t>
  </si>
  <si>
    <t>Demand</t>
  </si>
  <si>
    <t>Order</t>
  </si>
  <si>
    <t>Copy Shop</t>
  </si>
  <si>
    <t>Number of Copiers Rented:</t>
  </si>
  <si>
    <t>Maximum Copies per Year:</t>
  </si>
  <si>
    <t>Daily Demand:</t>
  </si>
  <si>
    <t>Annual Demand:</t>
  </si>
  <si>
    <t>Copies Made per Year:</t>
  </si>
  <si>
    <t>Costs</t>
  </si>
  <si>
    <t>Fixed Costs:</t>
  </si>
  <si>
    <t>Variable Costs:</t>
  </si>
  <si>
    <t>per month</t>
  </si>
  <si>
    <t>Copier rental</t>
  </si>
  <si>
    <t>Operration cost</t>
  </si>
  <si>
    <t>Total Annual Cost:</t>
  </si>
  <si>
    <t>per copy</t>
  </si>
  <si>
    <t>per copier per year</t>
  </si>
  <si>
    <t>500-2000</t>
  </si>
  <si>
    <t>Revenue</t>
  </si>
  <si>
    <t>Selling price:</t>
  </si>
  <si>
    <t>Total Annual Revenue:</t>
  </si>
  <si>
    <t>Annual Profit:</t>
  </si>
  <si>
    <t>per year</t>
  </si>
  <si>
    <t>The Screamin' Blue Jays</t>
  </si>
  <si>
    <t>Numbers of Concerts</t>
  </si>
  <si>
    <t>Concerts per week:</t>
  </si>
  <si>
    <t>Weeks on tour:</t>
  </si>
  <si>
    <t>Total concerts:</t>
  </si>
  <si>
    <t>Expected Concert Attendance</t>
  </si>
  <si>
    <t>Maximum capacity:</t>
  </si>
  <si>
    <t>Attendance (%):</t>
  </si>
  <si>
    <t>Number of tickets sold:</t>
  </si>
  <si>
    <t>Fixed start-up cost:</t>
  </si>
  <si>
    <t>Venue rental cost:</t>
  </si>
  <si>
    <t>Total cost:</t>
  </si>
  <si>
    <t>Ticket price:</t>
  </si>
  <si>
    <t>Concession sales:</t>
  </si>
  <si>
    <t>Total revenue:</t>
  </si>
  <si>
    <t>Profit</t>
  </si>
  <si>
    <t>Seats Sold (%)</t>
  </si>
  <si>
    <t>Month</t>
  </si>
  <si>
    <t>Price</t>
  </si>
  <si>
    <t>Demand (00s)</t>
  </si>
  <si>
    <t>Intercept (b):</t>
  </si>
  <si>
    <t>Slope (m):</t>
  </si>
  <si>
    <t>Power: ax^b</t>
  </si>
  <si>
    <t>Constant a:</t>
  </si>
  <si>
    <t>Cexponent b:</t>
  </si>
  <si>
    <t>Predictions Based on Models</t>
  </si>
  <si>
    <t>Linear</t>
  </si>
  <si>
    <t>Power</t>
  </si>
  <si>
    <t>Exponential</t>
  </si>
  <si>
    <t>Price (x)</t>
  </si>
  <si>
    <t>Linear: y=mx+b</t>
  </si>
  <si>
    <t>Exponential: ae^(bx)</t>
  </si>
  <si>
    <t>Absolute Percent Error</t>
  </si>
  <si>
    <t>Average:</t>
  </si>
  <si>
    <t>Model the Business:</t>
  </si>
  <si>
    <t>per set of clubs</t>
  </si>
  <si>
    <t>multiple of 10</t>
  </si>
  <si>
    <t>from power model</t>
  </si>
  <si>
    <t>Demand (00s):</t>
  </si>
  <si>
    <t>Actual Demand:</t>
  </si>
  <si>
    <t>Cost:</t>
  </si>
  <si>
    <t>a) Sell at a price of $530 for a profi of 1,042,213</t>
  </si>
  <si>
    <t>Revenue (millions of USD)</t>
  </si>
  <si>
    <t>Number Year</t>
  </si>
  <si>
    <t>Actual Data</t>
  </si>
  <si>
    <t>Forecasts</t>
  </si>
  <si>
    <t>MAPE:</t>
  </si>
  <si>
    <t>Exponential Model:</t>
  </si>
  <si>
    <t>y=ae^(bx)</t>
  </si>
  <si>
    <t>a:</t>
  </si>
  <si>
    <t>b:</t>
  </si>
  <si>
    <t>Power Function Model:</t>
  </si>
  <si>
    <t>y=ax^b</t>
  </si>
  <si>
    <t>Gopher Drugs</t>
  </si>
  <si>
    <t>Development Cost:</t>
  </si>
  <si>
    <t>millions</t>
  </si>
  <si>
    <t>Lifetime:</t>
  </si>
  <si>
    <t>years</t>
  </si>
  <si>
    <t>Year 1 Margin:</t>
  </si>
  <si>
    <t>Inc Through Year:</t>
  </si>
  <si>
    <t>Rate of Increase:</t>
  </si>
  <si>
    <t>Rate of Decrease:</t>
  </si>
  <si>
    <t>Discount Rate:</t>
  </si>
  <si>
    <t>Cash Flows:</t>
  </si>
  <si>
    <t>Gross Margin ($M):</t>
  </si>
  <si>
    <t>End of Year:</t>
  </si>
  <si>
    <t>(Net) Present Value:</t>
  </si>
  <si>
    <t>Net Present Value:</t>
  </si>
  <si>
    <t>NPV</t>
  </si>
  <si>
    <t>Project Index</t>
  </si>
  <si>
    <t>Capex Year 1</t>
  </si>
  <si>
    <t>Capex Year 2</t>
  </si>
  <si>
    <t>Capex Year 3</t>
  </si>
  <si>
    <t>Bluejay Natural Gas Financials (in millions)</t>
  </si>
  <si>
    <t>Given:</t>
  </si>
  <si>
    <t>Functional Area</t>
  </si>
  <si>
    <t>Partnership %</t>
  </si>
  <si>
    <t>Inputs</t>
  </si>
  <si>
    <t>FA 1</t>
  </si>
  <si>
    <t>Annual Revenue (millions)</t>
  </si>
  <si>
    <t>Expenditure (millions)</t>
  </si>
  <si>
    <t>Yearly Cap (millions)</t>
  </si>
  <si>
    <t>NPV Discount Rate % decrease:</t>
  </si>
  <si>
    <t>FA 2</t>
  </si>
  <si>
    <t xml:space="preserve">Requirement Checks </t>
  </si>
  <si>
    <t>Capital Ex. Under 4000 (Y1)</t>
  </si>
  <si>
    <t>Capital Ex. under 4000 (Y2)</t>
  </si>
  <si>
    <t>Capital Ex. under 4000 (Y3)</t>
  </si>
  <si>
    <t>FA 3</t>
  </si>
  <si>
    <t>Under $10,000 (year 1-3)</t>
  </si>
  <si>
    <t xml:space="preserve">Each FA has at least 1 project approved </t>
  </si>
  <si>
    <t>Number of Approved Project for FA 1</t>
  </si>
  <si>
    <t>Number of Approved Project for FA 2</t>
  </si>
  <si>
    <t>Adjusted based on % Partnership:</t>
  </si>
  <si>
    <t>Number of Approved Project for FA 3</t>
  </si>
  <si>
    <t>Cap Ex. Yr1</t>
  </si>
  <si>
    <t>Cap Ex. Yr2</t>
  </si>
  <si>
    <t>Cap Ex. Yr3</t>
  </si>
  <si>
    <t xml:space="preserve">Total Cost </t>
  </si>
  <si>
    <t>New NPV</t>
  </si>
  <si>
    <t>ROI</t>
  </si>
  <si>
    <t xml:space="preserve">Approval Rating </t>
  </si>
  <si>
    <t xml:space="preserve">Total Number of Approved Projects </t>
  </si>
  <si>
    <t>Are the Conditions Met?</t>
  </si>
  <si>
    <t>FA 1 Approved Totals:</t>
  </si>
  <si>
    <t xml:space="preserve">Approved Cap Ex. Year Totals </t>
  </si>
  <si>
    <t>Year 1</t>
  </si>
  <si>
    <t xml:space="preserve">Year 2 </t>
  </si>
  <si>
    <t xml:space="preserve">Year 3 </t>
  </si>
  <si>
    <t>Functional Area:</t>
  </si>
  <si>
    <t xml:space="preserve">FA 1 </t>
  </si>
  <si>
    <t>FA 2  Approved Totals:</t>
  </si>
  <si>
    <t>FA 3 Approved Totals:</t>
  </si>
  <si>
    <t>Total Approved NPV:</t>
  </si>
  <si>
    <t>Overall Totals for Approved Projects:</t>
  </si>
  <si>
    <t xml:space="preserve">ROI </t>
  </si>
  <si>
    <t xml:space="preserve">% Change </t>
  </si>
  <si>
    <t>Average</t>
  </si>
  <si>
    <t>Minimum</t>
  </si>
  <si>
    <t>Maximum</t>
  </si>
  <si>
    <t>Variables:</t>
  </si>
  <si>
    <t>No. of Radio Ads</t>
  </si>
  <si>
    <t>No. of TV Ads</t>
  </si>
  <si>
    <t>&lt;-- dummy numbers</t>
  </si>
  <si>
    <t>Constaint Table:</t>
  </si>
  <si>
    <t>Objective (max):</t>
  </si>
  <si>
    <t>Budget:</t>
  </si>
  <si>
    <t>Sign</t>
  </si>
  <si>
    <t>LHS</t>
  </si>
  <si>
    <t>RHS</t>
  </si>
  <si>
    <t>&lt;=</t>
  </si>
  <si>
    <t>&lt;-- coeff for object</t>
  </si>
  <si>
    <t>No. of People Reached:</t>
  </si>
  <si>
    <t>at least 10 Radio</t>
  </si>
  <si>
    <t>at least 10 TV</t>
  </si>
  <si>
    <t>&gt;=</t>
  </si>
  <si>
    <t>R &gt;= T</t>
  </si>
  <si>
    <t>Variables</t>
  </si>
  <si>
    <t>Profit per unit</t>
  </si>
  <si>
    <t>Objective (max)</t>
  </si>
  <si>
    <t>Constraints</t>
  </si>
  <si>
    <t>2X + Y &lt;= 120</t>
  </si>
  <si>
    <t>2X + 3Y &lt;= 240</t>
  </si>
  <si>
    <t>X</t>
  </si>
  <si>
    <t>Y</t>
  </si>
  <si>
    <t>&lt;= DUMMY VALUES</t>
  </si>
  <si>
    <t>Constraints:</t>
  </si>
  <si>
    <t>No. of Basics</t>
  </si>
  <si>
    <t>No. of XPs</t>
  </si>
  <si>
    <t>at most 600 Basics</t>
  </si>
  <si>
    <t>at most 1200 XPs</t>
  </si>
  <si>
    <t>Objective (MAX):</t>
  </si>
  <si>
    <t>Total:</t>
  </si>
  <si>
    <t>Parts:</t>
  </si>
  <si>
    <t>Assesmbly Hours:</t>
  </si>
  <si>
    <t>Testing Hours:</t>
  </si>
  <si>
    <t>Labor/Assem:</t>
  </si>
  <si>
    <t>Labor/Testing:</t>
  </si>
  <si>
    <t>labor</t>
  </si>
  <si>
    <t>for assembly</t>
  </si>
  <si>
    <t xml:space="preserve">Tectona </t>
  </si>
  <si>
    <t xml:space="preserve">скамейки </t>
  </si>
  <si>
    <t>столы</t>
  </si>
  <si>
    <t>часов труда</t>
  </si>
  <si>
    <t>пиломатериала</t>
  </si>
  <si>
    <t>Трудозатраты</t>
  </si>
  <si>
    <t>Затраты тика</t>
  </si>
  <si>
    <t>Прибыль</t>
  </si>
  <si>
    <t>Инвестиция</t>
  </si>
  <si>
    <t>Доходность (%)</t>
  </si>
  <si>
    <t>L.A. Municipal Bond</t>
  </si>
  <si>
    <t>Thompson Electronics, Inc.</t>
  </si>
  <si>
    <t>United Aerospace Corp.</t>
  </si>
  <si>
    <t>Palmer Technologies</t>
  </si>
  <si>
    <t>HDN Stock (high risk)</t>
  </si>
  <si>
    <t>Constraitns:</t>
  </si>
  <si>
    <t>Rate of Return:</t>
  </si>
  <si>
    <t>x1</t>
  </si>
  <si>
    <t>x2</t>
  </si>
  <si>
    <t>x3</t>
  </si>
  <si>
    <t>x4</t>
  </si>
  <si>
    <t>x5</t>
  </si>
  <si>
    <t xml:space="preserve">Sign </t>
  </si>
  <si>
    <t>no more 50% in high risk</t>
  </si>
  <si>
    <t>Municipal Bond 20%</t>
  </si>
  <si>
    <t>40% in Tech Stock</t>
  </si>
  <si>
    <t xml:space="preserve">Variables: </t>
  </si>
  <si>
    <t>AB</t>
  </si>
  <si>
    <t>AC</t>
  </si>
  <si>
    <t>AE</t>
  </si>
  <si>
    <t>No. Of students to assign from A to HS in B</t>
  </si>
  <si>
    <t>BB</t>
  </si>
  <si>
    <t>BC</t>
  </si>
  <si>
    <t>BE</t>
  </si>
  <si>
    <t>CB</t>
  </si>
  <si>
    <t>CC</t>
  </si>
  <si>
    <t>CE</t>
  </si>
  <si>
    <t>DB</t>
  </si>
  <si>
    <t>DC</t>
  </si>
  <si>
    <t>DE</t>
  </si>
  <si>
    <t>EB</t>
  </si>
  <si>
    <t>EC</t>
  </si>
  <si>
    <t>EE</t>
  </si>
  <si>
    <t>Objective (min):</t>
  </si>
  <si>
    <t>Students Bus Miles:</t>
  </si>
  <si>
    <t>900 in school B</t>
  </si>
  <si>
    <t>900 in school C</t>
  </si>
  <si>
    <t>900 in school E</t>
  </si>
  <si>
    <t>700 in A</t>
  </si>
  <si>
    <t>500 in B</t>
  </si>
  <si>
    <t>100 in C</t>
  </si>
  <si>
    <t>800 in D</t>
  </si>
  <si>
    <t>400 in E</t>
  </si>
  <si>
    <t>=</t>
  </si>
  <si>
    <t>Transportation Example:</t>
  </si>
  <si>
    <t>Factories in Des Moines, Evanston, Ft Lauderdale</t>
  </si>
  <si>
    <t>Stories in Albany, Boston, Cleveland</t>
  </si>
  <si>
    <t>Shipping costs:</t>
  </si>
  <si>
    <t>Data Table:</t>
  </si>
  <si>
    <t>Des Moines</t>
  </si>
  <si>
    <t>Evanston</t>
  </si>
  <si>
    <t>Ft Lauderdale</t>
  </si>
  <si>
    <t>Albany</t>
  </si>
  <si>
    <t>Boston</t>
  </si>
  <si>
    <t>Cleveland</t>
  </si>
  <si>
    <t>Destinations</t>
  </si>
  <si>
    <t>Sources</t>
  </si>
  <si>
    <t>Output:</t>
  </si>
  <si>
    <t>Transportation Example - Alternative Template</t>
  </si>
  <si>
    <t>Origin / Factories</t>
  </si>
  <si>
    <t>Destinations/Stores</t>
  </si>
  <si>
    <t>Unit Costs</t>
  </si>
  <si>
    <t>Shipments</t>
  </si>
  <si>
    <t>Factories:</t>
  </si>
  <si>
    <t>Supply Constraints</t>
  </si>
  <si>
    <t>Outflow</t>
  </si>
  <si>
    <t>Capacity</t>
  </si>
  <si>
    <t>Demand Constraints</t>
  </si>
  <si>
    <t>Inflow</t>
  </si>
  <si>
    <t>Stores:</t>
  </si>
  <si>
    <t>Objective Cost (min):</t>
  </si>
  <si>
    <t>Project A</t>
  </si>
  <si>
    <t>Project B</t>
  </si>
  <si>
    <t>Project C</t>
  </si>
  <si>
    <t>Factory 1</t>
  </si>
  <si>
    <t>Factory 2</t>
  </si>
  <si>
    <t>Factory 3</t>
  </si>
  <si>
    <t>Assignment Problem Template</t>
  </si>
  <si>
    <t>Cost Table Relocation:</t>
  </si>
  <si>
    <t>Omaha</t>
  </si>
  <si>
    <t>Miami</t>
  </si>
  <si>
    <t>Dallas</t>
  </si>
  <si>
    <t>New York</t>
  </si>
  <si>
    <t>Jones</t>
  </si>
  <si>
    <t>Smith</t>
  </si>
  <si>
    <t>Wilson</t>
  </si>
  <si>
    <t>Total</t>
  </si>
  <si>
    <t xml:space="preserve">Total: </t>
  </si>
  <si>
    <t>Relocation Cost:</t>
  </si>
  <si>
    <t>Kansas City</t>
  </si>
  <si>
    <t>Chicago</t>
  </si>
  <si>
    <t>Detroit</t>
  </si>
  <si>
    <t>Toronto</t>
  </si>
  <si>
    <t>Seattle</t>
  </si>
  <si>
    <t>Arlington</t>
  </si>
  <si>
    <t>Oakland</t>
  </si>
  <si>
    <t>Baltimore</t>
  </si>
  <si>
    <t>Distance (mil):</t>
  </si>
  <si>
    <t>From:</t>
  </si>
  <si>
    <t>Assignments:</t>
  </si>
  <si>
    <t>Bain</t>
  </si>
  <si>
    <t>Carey</t>
  </si>
  <si>
    <t>Name</t>
  </si>
  <si>
    <t>Overall Rating (max):</t>
  </si>
  <si>
    <t>Dio</t>
  </si>
  <si>
    <t>Powell</t>
  </si>
  <si>
    <t>Statistics</t>
  </si>
  <si>
    <t>Management</t>
  </si>
  <si>
    <t>Finance</t>
  </si>
  <si>
    <t>Economics</t>
  </si>
  <si>
    <t>Store A</t>
  </si>
  <si>
    <t>Store B</t>
  </si>
  <si>
    <t>Store C</t>
  </si>
  <si>
    <t>Manufacturing Costs:</t>
  </si>
  <si>
    <t>Peak</t>
  </si>
  <si>
    <t>Peak Off</t>
  </si>
  <si>
    <t>Princess Brides Example</t>
  </si>
  <si>
    <t xml:space="preserve">Budget: </t>
  </si>
  <si>
    <t xml:space="preserve">Constraints: </t>
  </si>
  <si>
    <t>People Reached:</t>
  </si>
  <si>
    <t>No more than 6 OP</t>
  </si>
  <si>
    <t>At least 2 Peak</t>
  </si>
  <si>
    <t>No. of 20lb bags</t>
  </si>
  <si>
    <t>Ibs of grinded beans</t>
  </si>
  <si>
    <t>A</t>
  </si>
  <si>
    <t>B</t>
  </si>
  <si>
    <t>C</t>
  </si>
  <si>
    <t>2x3</t>
  </si>
  <si>
    <t>3x4</t>
  </si>
  <si>
    <t>time</t>
  </si>
  <si>
    <t>price</t>
  </si>
  <si>
    <t>size</t>
  </si>
  <si>
    <t>profit</t>
  </si>
  <si>
    <t>harbor</t>
  </si>
  <si>
    <t>X1</t>
  </si>
  <si>
    <t>X2</t>
  </si>
  <si>
    <t>X3</t>
  </si>
  <si>
    <t>X4</t>
  </si>
  <si>
    <t>X5</t>
  </si>
  <si>
    <t>X6</t>
  </si>
  <si>
    <t>X7</t>
  </si>
  <si>
    <t>(0;1)</t>
  </si>
  <si>
    <t>Return</t>
  </si>
  <si>
    <t>(000s)</t>
  </si>
  <si>
    <t>at least 2 TX</t>
  </si>
  <si>
    <t xml:space="preserve">&gt;= </t>
  </si>
  <si>
    <t>no more 1 foreigh</t>
  </si>
  <si>
    <t>no more 1 CA</t>
  </si>
  <si>
    <t>budget</t>
  </si>
  <si>
    <t>Non-linear Vars:</t>
  </si>
  <si>
    <t>X^2</t>
  </si>
  <si>
    <t>XY</t>
  </si>
  <si>
    <t>Y^2</t>
  </si>
  <si>
    <t>Variance:</t>
  </si>
  <si>
    <t>Constraint</t>
  </si>
  <si>
    <t>Formulas:</t>
  </si>
  <si>
    <t>All funds invested</t>
  </si>
  <si>
    <t>Ex. Return 9%</t>
  </si>
  <si>
    <t>XJ8</t>
  </si>
  <si>
    <t>XJ6</t>
  </si>
  <si>
    <t>Hours</t>
  </si>
  <si>
    <t>4-0.1X</t>
  </si>
  <si>
    <t>5-0.02Y</t>
  </si>
  <si>
    <t>Geometry</t>
  </si>
  <si>
    <t>Calculus</t>
  </si>
  <si>
    <t>Price per item:</t>
  </si>
  <si>
    <t>Assembly time (hours):</t>
  </si>
  <si>
    <t>Proofing (hours):</t>
  </si>
  <si>
    <t>limit Assembly time on month:</t>
  </si>
  <si>
    <t>limit Proofing on month:</t>
  </si>
  <si>
    <t>Price of a hamburger:</t>
  </si>
  <si>
    <t>-10000p</t>
  </si>
  <si>
    <t>Fixed costs:</t>
  </si>
  <si>
    <t>Variable costs:</t>
  </si>
  <si>
    <t>Manager 1</t>
  </si>
  <si>
    <t>Manager 2</t>
  </si>
  <si>
    <t>Manager 3</t>
  </si>
  <si>
    <t>Manager 4</t>
  </si>
  <si>
    <t>Manager 5</t>
  </si>
  <si>
    <t>Manager 6</t>
  </si>
  <si>
    <t>Manager 7</t>
  </si>
  <si>
    <t>Manager 8</t>
  </si>
  <si>
    <t>Project 1</t>
  </si>
  <si>
    <t>Project 2</t>
  </si>
  <si>
    <t>Project 3</t>
  </si>
  <si>
    <t>Project 4</t>
  </si>
  <si>
    <t>Project 5</t>
  </si>
  <si>
    <t>Project 6</t>
  </si>
  <si>
    <t>Project 7</t>
  </si>
  <si>
    <t>Project 8</t>
  </si>
  <si>
    <t>Project 9</t>
  </si>
  <si>
    <t>Project 10</t>
  </si>
  <si>
    <t>Project 11</t>
  </si>
  <si>
    <t>Project 12</t>
  </si>
  <si>
    <t xml:space="preserve">Without the restriction of assigning qualified managers, based on this spreadsheet, solver looks like this: </t>
  </si>
  <si>
    <t xml:space="preserve">To give a maximum NPV of $2024 with all projects approved except 1, 10, and 12. </t>
  </si>
  <si>
    <t>With the addition of assigning managers, based on this spreadsheet, solver looks like this:</t>
  </si>
  <si>
    <t xml:space="preserve">This gives a maximum NPV of $1954 meeting all constraints for all approved projects except 1, 3 and 12. </t>
  </si>
  <si>
    <t xml:space="preserve">The manager assignment is given in L19 - L34 for each approved project. </t>
  </si>
  <si>
    <t>Manager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</si>
</sst>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43" formatCode="_-* #,##0.00_-;\-* #,##0.00_-;_-* &quot;-&quot;??_-;_-@_-"/>
    <numFmt numFmtId="164" formatCode="_-&quot;£&quot;* #,##0.00_-;\-&quot;£&quot;* #,##0.00_-;_-&quot;£&quot;* &quot;-&quot;??_-;_-@_-"/>
    <numFmt numFmtId="165" formatCode="_-[$$-409]* #,##0.00_ ;_-[$$-409]* \-#,##0.00\ ;_-[$$-409]* &quot;-&quot;??_ ;_-@_ "/>
    <numFmt numFmtId="166" formatCode="_-[$$-409]* #,##0_ ;_-[$$-409]* \-#,##0\ ;_-[$$-409]* &quot;-&quot;??_ ;_-@_ "/>
    <numFmt numFmtId="167" formatCode="_-&quot;£&quot;* #,##0_-;\-&quot;£&quot;* #,##0_-;_-&quot;£&quot;* &quot;-&quot;??_-;_-@_-"/>
    <numFmt numFmtId="168" formatCode="_-&quot;£&quot;* #,##0.0_-;\-&quot;£&quot;* #,##0.0_-;_-&quot;£&quot;* &quot;-&quot;??_-;_-@_-"/>
    <numFmt numFmtId="169" formatCode="0.0"/>
    <numFmt numFmtId="170" formatCode="0.0%"/>
    <numFmt numFmtId="171" formatCode="_-* #,##0.00\ _z_ł_-;\-* #,##0.00\ _z_ł_-;_-* &quot;-&quot;?\ _z_ł_-;_-@_-"/>
    <numFmt numFmtId="172" formatCode="&quot;£&quot;#,##0.00"/>
    <numFmt numFmtId="173" formatCode="_(&quot;$&quot;* #,##0_);_(&quot;$&quot;* \(#,##0\);_(&quot;$&quot;* &quot;-&quot;??_);_(@_)"/>
    <numFmt numFmtId="174" formatCode="_-* #,##0_-;\-* #,##0_-;_-* &quot;-&quot;??_-;_-@_-"/>
    <numFmt numFmtId="175" formatCode="_-[$€-2]\ * #,##0.00_-;\-[$€-2]\ * #,##0.00_-;_-[$€-2]\ * &quot;-&quot;??_-;_-@_-"/>
  </numFmts>
  <fonts count="3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sz val="11"/>
      <color theme="5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theme="1" tint="0.499984740745262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charset val="238"/>
      <scheme val="minor"/>
    </font>
    <font>
      <b/>
      <sz val="12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  <font>
      <sz val="16"/>
      <color rgb="FF24588D"/>
      <name val="Helvetica Neue"/>
      <family val="2"/>
    </font>
    <font>
      <sz val="12"/>
      <name val="Calibri"/>
      <family val="2"/>
      <scheme val="minor"/>
    </font>
    <font>
      <sz val="12"/>
      <color theme="0" tint="-0.499984740745262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1"/>
      <color rgb="FF242424"/>
      <name val="Segoe UI"/>
      <family val="2"/>
    </font>
    <font>
      <sz val="11"/>
      <color rgb="FF242424"/>
      <name val="Segoe UI"/>
      <family val="2"/>
    </font>
    <font>
      <b/>
      <i/>
      <sz val="11"/>
      <color theme="1"/>
      <name val="Calibri"/>
      <family val="2"/>
      <scheme val="minor"/>
    </font>
    <font>
      <sz val="12"/>
      <color rgb="FF0F1114"/>
      <name val="Source Sans Pro"/>
      <family val="2"/>
    </font>
    <font>
      <b/>
      <u/>
      <sz val="11"/>
      <color theme="1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sz val="11"/>
      <color rgb="FF24588D"/>
      <name val="Calibri"/>
      <family val="2"/>
      <scheme val="minor"/>
    </font>
    <font>
      <sz val="11"/>
      <name val="Calibri"/>
      <family val="2"/>
      <scheme val="minor"/>
    </font>
    <font>
      <b/>
      <sz val="16"/>
      <color theme="3"/>
      <name val="Calibri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AFAFA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FF"/>
        <bgColor indexed="64"/>
      </patternFill>
    </fill>
  </fills>
  <borders count="45">
    <border>
      <left/>
      <right/>
      <top/>
      <bottom/>
      <diagonal/>
    </border>
    <border>
      <left/>
      <right/>
      <top/>
      <bottom style="thick">
        <color theme="4" tint="0.4999847407452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</borders>
  <cellStyleXfs count="7">
    <xf numFmtId="0" fontId="0" fillId="0" borderId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2" fillId="0" borderId="1" applyNumberFormat="0" applyFill="0" applyAlignment="0" applyProtection="0"/>
    <xf numFmtId="0" fontId="4" fillId="0" borderId="7" applyNumberFormat="0" applyFill="0" applyAlignment="0" applyProtection="0"/>
    <xf numFmtId="0" fontId="6" fillId="0" borderId="8" applyNumberFormat="0" applyFill="0" applyAlignment="0" applyProtection="0"/>
    <xf numFmtId="9" fontId="1" fillId="0" borderId="0" applyFont="0" applyFill="0" applyBorder="0" applyAlignment="0" applyProtection="0"/>
  </cellStyleXfs>
  <cellXfs count="250">
    <xf numFmtId="0" fontId="0" fillId="0" borderId="0" xfId="0"/>
    <xf numFmtId="166" fontId="0" fillId="0" borderId="0" xfId="2" applyNumberFormat="1" applyFont="1"/>
    <xf numFmtId="166" fontId="0" fillId="0" borderId="0" xfId="0" applyNumberFormat="1"/>
    <xf numFmtId="165" fontId="0" fillId="0" borderId="0" xfId="0" applyNumberFormat="1"/>
    <xf numFmtId="0" fontId="3" fillId="0" borderId="0" xfId="0" applyFont="1"/>
    <xf numFmtId="0" fontId="0" fillId="0" borderId="0" xfId="0" applyAlignment="1">
      <alignment horizontal="left" indent="1"/>
    </xf>
    <xf numFmtId="166" fontId="3" fillId="0" borderId="0" xfId="0" applyNumberFormat="1" applyFont="1"/>
    <xf numFmtId="0" fontId="0" fillId="0" borderId="0" xfId="0" applyAlignment="1">
      <alignment horizontal="center"/>
    </xf>
    <xf numFmtId="0" fontId="3" fillId="0" borderId="0" xfId="0" applyFont="1" applyAlignment="1">
      <alignment horizontal="right"/>
    </xf>
    <xf numFmtId="165" fontId="0" fillId="0" borderId="0" xfId="0" applyNumberFormat="1" applyAlignment="1">
      <alignment horizontal="center"/>
    </xf>
    <xf numFmtId="166" fontId="0" fillId="0" borderId="0" xfId="0" applyNumberFormat="1" applyAlignment="1">
      <alignment horizontal="center"/>
    </xf>
    <xf numFmtId="166" fontId="0" fillId="0" borderId="0" xfId="0" applyNumberFormat="1" applyAlignment="1">
      <alignment horizontal="center" vertical="center"/>
    </xf>
    <xf numFmtId="0" fontId="0" fillId="0" borderId="2" xfId="0" applyBorder="1" applyAlignment="1">
      <alignment horizontal="center"/>
    </xf>
    <xf numFmtId="0" fontId="3" fillId="0" borderId="2" xfId="0" applyFont="1" applyBorder="1" applyAlignment="1">
      <alignment horizontal="center"/>
    </xf>
    <xf numFmtId="165" fontId="0" fillId="0" borderId="2" xfId="0" applyNumberFormat="1" applyBorder="1"/>
    <xf numFmtId="10" fontId="0" fillId="2" borderId="0" xfId="0" applyNumberFormat="1" applyFill="1" applyAlignment="1">
      <alignment horizontal="center"/>
    </xf>
    <xf numFmtId="165" fontId="0" fillId="0" borderId="3" xfId="1" applyNumberFormat="1" applyFont="1" applyBorder="1" applyAlignment="1">
      <alignment horizontal="center"/>
    </xf>
    <xf numFmtId="0" fontId="0" fillId="0" borderId="3" xfId="0" applyBorder="1" applyAlignment="1">
      <alignment horizontal="center"/>
    </xf>
    <xf numFmtId="166" fontId="0" fillId="0" borderId="3" xfId="0" applyNumberFormat="1" applyBorder="1" applyAlignment="1">
      <alignment horizontal="center" vertical="center"/>
    </xf>
    <xf numFmtId="165" fontId="0" fillId="0" borderId="3" xfId="0" applyNumberFormat="1" applyBorder="1" applyAlignment="1">
      <alignment horizontal="center"/>
    </xf>
    <xf numFmtId="166" fontId="0" fillId="0" borderId="3" xfId="0" applyNumberFormat="1" applyBorder="1" applyAlignment="1">
      <alignment horizontal="center"/>
    </xf>
    <xf numFmtId="0" fontId="3" fillId="0" borderId="5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10" fontId="0" fillId="2" borderId="3" xfId="0" applyNumberFormat="1" applyFill="1" applyBorder="1" applyAlignment="1">
      <alignment horizontal="center"/>
    </xf>
    <xf numFmtId="10" fontId="0" fillId="2" borderId="6" xfId="0" applyNumberFormat="1" applyFill="1" applyBorder="1" applyAlignment="1">
      <alignment horizontal="center"/>
    </xf>
    <xf numFmtId="164" fontId="0" fillId="0" borderId="0" xfId="0" applyNumberFormat="1"/>
    <xf numFmtId="167" fontId="0" fillId="0" borderId="0" xfId="0" applyNumberFormat="1"/>
    <xf numFmtId="2" fontId="0" fillId="0" borderId="0" xfId="0" applyNumberFormat="1"/>
    <xf numFmtId="10" fontId="0" fillId="2" borderId="0" xfId="0" applyNumberFormat="1" applyFill="1"/>
    <xf numFmtId="9" fontId="0" fillId="0" borderId="2" xfId="0" applyNumberFormat="1" applyBorder="1" applyAlignment="1">
      <alignment horizontal="center"/>
    </xf>
    <xf numFmtId="167" fontId="0" fillId="0" borderId="2" xfId="0" applyNumberFormat="1" applyBorder="1" applyAlignment="1">
      <alignment horizontal="center"/>
    </xf>
    <xf numFmtId="10" fontId="0" fillId="0" borderId="2" xfId="0" applyNumberFormat="1" applyBorder="1" applyAlignment="1">
      <alignment horizontal="center"/>
    </xf>
    <xf numFmtId="0" fontId="0" fillId="3" borderId="2" xfId="0" applyFill="1" applyBorder="1" applyAlignment="1">
      <alignment horizontal="center"/>
    </xf>
    <xf numFmtId="167" fontId="5" fillId="3" borderId="2" xfId="0" applyNumberFormat="1" applyFont="1" applyFill="1" applyBorder="1" applyAlignment="1">
      <alignment horizontal="center"/>
    </xf>
    <xf numFmtId="164" fontId="0" fillId="0" borderId="0" xfId="2" applyFont="1"/>
    <xf numFmtId="164" fontId="0" fillId="0" borderId="2" xfId="2" applyFont="1" applyBorder="1" applyAlignment="1">
      <alignment horizontal="center"/>
    </xf>
    <xf numFmtId="0" fontId="0" fillId="2" borderId="0" xfId="0" applyFill="1" applyAlignment="1">
      <alignment horizontal="center"/>
    </xf>
    <xf numFmtId="0" fontId="0" fillId="2" borderId="4" xfId="0" applyFill="1" applyBorder="1" applyAlignment="1">
      <alignment horizontal="center"/>
    </xf>
    <xf numFmtId="0" fontId="0" fillId="0" borderId="2" xfId="0" applyBorder="1"/>
    <xf numFmtId="164" fontId="0" fillId="0" borderId="2" xfId="2" applyFont="1" applyBorder="1"/>
    <xf numFmtId="164" fontId="7" fillId="4" borderId="2" xfId="0" applyNumberFormat="1" applyFont="1" applyFill="1" applyBorder="1"/>
    <xf numFmtId="0" fontId="0" fillId="2" borderId="0" xfId="0" applyFill="1" applyAlignment="1">
      <alignment horizontal="center" vertical="center"/>
    </xf>
    <xf numFmtId="167" fontId="0" fillId="0" borderId="0" xfId="2" applyNumberFormat="1" applyFont="1"/>
    <xf numFmtId="0" fontId="8" fillId="0" borderId="0" xfId="0" applyFont="1"/>
    <xf numFmtId="167" fontId="9" fillId="0" borderId="0" xfId="0" applyNumberFormat="1" applyFont="1"/>
    <xf numFmtId="0" fontId="6" fillId="0" borderId="8" xfId="5"/>
    <xf numFmtId="9" fontId="0" fillId="2" borderId="0" xfId="6" applyFont="1" applyFill="1" applyAlignment="1">
      <alignment horizontal="center"/>
    </xf>
    <xf numFmtId="167" fontId="0" fillId="0" borderId="0" xfId="2" applyNumberFormat="1" applyFont="1" applyAlignment="1">
      <alignment horizontal="center"/>
    </xf>
    <xf numFmtId="164" fontId="0" fillId="0" borderId="0" xfId="2" applyFont="1" applyAlignment="1">
      <alignment horizontal="center"/>
    </xf>
    <xf numFmtId="167" fontId="0" fillId="0" borderId="0" xfId="0" applyNumberFormat="1" applyAlignment="1">
      <alignment horizontal="center"/>
    </xf>
    <xf numFmtId="167" fontId="9" fillId="0" borderId="2" xfId="0" applyNumberFormat="1" applyFont="1" applyBorder="1"/>
    <xf numFmtId="168" fontId="3" fillId="0" borderId="2" xfId="2" applyNumberFormat="1" applyFont="1" applyBorder="1" applyAlignment="1">
      <alignment horizontal="center"/>
    </xf>
    <xf numFmtId="0" fontId="0" fillId="0" borderId="9" xfId="0" applyBorder="1" applyAlignment="1">
      <alignment horizontal="right"/>
    </xf>
    <xf numFmtId="0" fontId="0" fillId="0" borderId="9" xfId="0" applyBorder="1"/>
    <xf numFmtId="9" fontId="0" fillId="0" borderId="9" xfId="0" applyNumberFormat="1" applyBorder="1"/>
    <xf numFmtId="167" fontId="9" fillId="0" borderId="9" xfId="0" applyNumberFormat="1" applyFont="1" applyBorder="1"/>
    <xf numFmtId="167" fontId="0" fillId="0" borderId="9" xfId="2" applyNumberFormat="1" applyFont="1" applyBorder="1"/>
    <xf numFmtId="0" fontId="11" fillId="0" borderId="2" xfId="0" applyFont="1" applyBorder="1" applyAlignment="1">
      <alignment horizontal="center"/>
    </xf>
    <xf numFmtId="0" fontId="11" fillId="0" borderId="10" xfId="0" applyFont="1" applyBorder="1" applyAlignment="1">
      <alignment horizontal="center"/>
    </xf>
    <xf numFmtId="0" fontId="0" fillId="0" borderId="10" xfId="0" applyBorder="1" applyAlignment="1">
      <alignment horizontal="center"/>
    </xf>
    <xf numFmtId="0" fontId="11" fillId="0" borderId="13" xfId="0" applyFont="1" applyBorder="1" applyAlignment="1">
      <alignment horizontal="center"/>
    </xf>
    <xf numFmtId="0" fontId="11" fillId="0" borderId="14" xfId="0" applyFont="1" applyBorder="1" applyAlignment="1">
      <alignment horizontal="center"/>
    </xf>
    <xf numFmtId="0" fontId="11" fillId="0" borderId="15" xfId="0" applyFont="1" applyBorder="1" applyAlignment="1">
      <alignment horizontal="center"/>
    </xf>
    <xf numFmtId="169" fontId="0" fillId="0" borderId="16" xfId="0" applyNumberFormat="1" applyBorder="1" applyAlignment="1">
      <alignment horizontal="center"/>
    </xf>
    <xf numFmtId="169" fontId="0" fillId="0" borderId="2" xfId="0" applyNumberFormat="1" applyBorder="1" applyAlignment="1">
      <alignment horizontal="center"/>
    </xf>
    <xf numFmtId="169" fontId="0" fillId="0" borderId="17" xfId="0" applyNumberFormat="1" applyBorder="1" applyAlignment="1">
      <alignment horizontal="center"/>
    </xf>
    <xf numFmtId="169" fontId="0" fillId="0" borderId="18" xfId="0" applyNumberFormat="1" applyBorder="1" applyAlignment="1">
      <alignment horizontal="center"/>
    </xf>
    <xf numFmtId="169" fontId="0" fillId="0" borderId="19" xfId="0" applyNumberFormat="1" applyBorder="1" applyAlignment="1">
      <alignment horizontal="center"/>
    </xf>
    <xf numFmtId="169" fontId="0" fillId="0" borderId="20" xfId="0" applyNumberFormat="1" applyBorder="1" applyAlignment="1">
      <alignment horizontal="center"/>
    </xf>
    <xf numFmtId="0" fontId="11" fillId="0" borderId="21" xfId="0" applyFont="1" applyBorder="1" applyAlignment="1">
      <alignment horizontal="center"/>
    </xf>
    <xf numFmtId="0" fontId="0" fillId="0" borderId="21" xfId="0" applyBorder="1" applyAlignment="1">
      <alignment horizontal="center"/>
    </xf>
    <xf numFmtId="170" fontId="0" fillId="0" borderId="2" xfId="6" applyNumberFormat="1" applyFont="1" applyBorder="1" applyAlignment="1">
      <alignment horizontal="center"/>
    </xf>
    <xf numFmtId="170" fontId="0" fillId="0" borderId="16" xfId="6" applyNumberFormat="1" applyFont="1" applyBorder="1" applyAlignment="1">
      <alignment horizontal="center"/>
    </xf>
    <xf numFmtId="0" fontId="0" fillId="0" borderId="0" xfId="0" applyAlignment="1">
      <alignment horizontal="right"/>
    </xf>
    <xf numFmtId="170" fontId="0" fillId="0" borderId="22" xfId="6" applyNumberFormat="1" applyFont="1" applyBorder="1" applyAlignment="1">
      <alignment horizontal="center"/>
    </xf>
    <xf numFmtId="170" fontId="11" fillId="0" borderId="23" xfId="0" applyNumberFormat="1" applyFont="1" applyBorder="1" applyAlignment="1">
      <alignment horizontal="center"/>
    </xf>
    <xf numFmtId="170" fontId="11" fillId="0" borderId="25" xfId="0" applyNumberFormat="1" applyFont="1" applyBorder="1" applyAlignment="1">
      <alignment horizontal="center"/>
    </xf>
    <xf numFmtId="170" fontId="0" fillId="0" borderId="17" xfId="6" applyNumberFormat="1" applyFont="1" applyBorder="1" applyAlignment="1">
      <alignment horizontal="center"/>
    </xf>
    <xf numFmtId="170" fontId="0" fillId="0" borderId="26" xfId="6" applyNumberFormat="1" applyFont="1" applyBorder="1" applyAlignment="1">
      <alignment horizontal="center"/>
    </xf>
    <xf numFmtId="170" fontId="0" fillId="0" borderId="27" xfId="6" applyNumberFormat="1" applyFont="1" applyBorder="1" applyAlignment="1">
      <alignment horizontal="center"/>
    </xf>
    <xf numFmtId="170" fontId="11" fillId="2" borderId="24" xfId="0" applyNumberFormat="1" applyFont="1" applyFill="1" applyBorder="1" applyAlignment="1">
      <alignment horizontal="center"/>
    </xf>
    <xf numFmtId="1" fontId="0" fillId="0" borderId="0" xfId="0" applyNumberFormat="1" applyAlignment="1">
      <alignment horizontal="center"/>
    </xf>
    <xf numFmtId="167" fontId="0" fillId="2" borderId="0" xfId="2" applyNumberFormat="1" applyFont="1" applyFill="1" applyAlignment="1">
      <alignment horizontal="center"/>
    </xf>
    <xf numFmtId="0" fontId="11" fillId="0" borderId="4" xfId="0" applyFont="1" applyBorder="1" applyAlignment="1">
      <alignment horizontal="center"/>
    </xf>
    <xf numFmtId="0" fontId="11" fillId="0" borderId="28" xfId="0" applyFont="1" applyBorder="1" applyAlignment="1">
      <alignment horizontal="center"/>
    </xf>
    <xf numFmtId="167" fontId="0" fillId="0" borderId="2" xfId="2" applyNumberFormat="1" applyFont="1" applyBorder="1"/>
    <xf numFmtId="167" fontId="0" fillId="0" borderId="17" xfId="2" applyNumberFormat="1" applyFont="1" applyBorder="1"/>
    <xf numFmtId="167" fontId="0" fillId="0" borderId="19" xfId="2" applyNumberFormat="1" applyFont="1" applyBorder="1"/>
    <xf numFmtId="167" fontId="0" fillId="0" borderId="20" xfId="2" applyNumberFormat="1" applyFont="1" applyBorder="1"/>
    <xf numFmtId="0" fontId="0" fillId="0" borderId="29" xfId="0" applyBorder="1" applyAlignment="1">
      <alignment horizontal="center"/>
    </xf>
    <xf numFmtId="0" fontId="0" fillId="0" borderId="30" xfId="0" applyBorder="1" applyAlignment="1">
      <alignment horizontal="center"/>
    </xf>
    <xf numFmtId="0" fontId="0" fillId="0" borderId="31" xfId="0" applyBorder="1" applyAlignment="1">
      <alignment horizontal="center"/>
    </xf>
    <xf numFmtId="0" fontId="0" fillId="0" borderId="32" xfId="0" applyBorder="1" applyAlignment="1">
      <alignment horizontal="center"/>
    </xf>
    <xf numFmtId="167" fontId="0" fillId="0" borderId="13" xfId="2" applyNumberFormat="1" applyFont="1" applyBorder="1"/>
    <xf numFmtId="167" fontId="0" fillId="0" borderId="14" xfId="2" applyNumberFormat="1" applyFont="1" applyBorder="1"/>
    <xf numFmtId="167" fontId="0" fillId="0" borderId="15" xfId="2" applyNumberFormat="1" applyFont="1" applyBorder="1"/>
    <xf numFmtId="167" fontId="0" fillId="0" borderId="16" xfId="2" applyNumberFormat="1" applyFont="1" applyBorder="1"/>
    <xf numFmtId="167" fontId="0" fillId="0" borderId="18" xfId="2" applyNumberFormat="1" applyFont="1" applyBorder="1"/>
    <xf numFmtId="0" fontId="0" fillId="0" borderId="33" xfId="0" applyBorder="1" applyAlignment="1">
      <alignment horizontal="center"/>
    </xf>
    <xf numFmtId="0" fontId="0" fillId="0" borderId="34" xfId="0" applyBorder="1" applyAlignment="1">
      <alignment horizontal="center"/>
    </xf>
    <xf numFmtId="167" fontId="9" fillId="0" borderId="12" xfId="0" applyNumberFormat="1" applyFont="1" applyBorder="1" applyAlignment="1">
      <alignment horizontal="center"/>
    </xf>
    <xf numFmtId="0" fontId="11" fillId="0" borderId="2" xfId="0" applyFont="1" applyBorder="1" applyAlignment="1">
      <alignment horizontal="center" vertical="center"/>
    </xf>
    <xf numFmtId="0" fontId="11" fillId="0" borderId="2" xfId="0" applyFont="1" applyBorder="1" applyAlignment="1">
      <alignment horizontal="center" vertical="center" wrapText="1"/>
    </xf>
    <xf numFmtId="0" fontId="11" fillId="0" borderId="0" xfId="0" applyFont="1" applyAlignment="1">
      <alignment horizontal="right"/>
    </xf>
    <xf numFmtId="0" fontId="11" fillId="0" borderId="0" xfId="0" applyFont="1" applyAlignment="1">
      <alignment horizontal="right" vertical="center"/>
    </xf>
    <xf numFmtId="2" fontId="0" fillId="0" borderId="2" xfId="2" applyNumberFormat="1" applyFont="1" applyBorder="1" applyAlignment="1">
      <alignment horizontal="center"/>
    </xf>
    <xf numFmtId="171" fontId="0" fillId="0" borderId="2" xfId="0" applyNumberFormat="1" applyBorder="1" applyAlignment="1">
      <alignment horizontal="center"/>
    </xf>
    <xf numFmtId="2" fontId="0" fillId="0" borderId="2" xfId="0" applyNumberFormat="1" applyBorder="1" applyAlignment="1">
      <alignment horizontal="center"/>
    </xf>
    <xf numFmtId="10" fontId="0" fillId="0" borderId="2" xfId="6" applyNumberFormat="1" applyFont="1" applyBorder="1" applyAlignment="1">
      <alignment horizontal="center"/>
    </xf>
    <xf numFmtId="10" fontId="0" fillId="0" borderId="2" xfId="6" applyNumberFormat="1" applyFont="1" applyBorder="1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0" fontId="3" fillId="5" borderId="2" xfId="0" applyFont="1" applyFill="1" applyBorder="1" applyAlignment="1">
      <alignment horizontal="center"/>
    </xf>
    <xf numFmtId="164" fontId="0" fillId="0" borderId="2" xfId="2" applyFont="1" applyBorder="1" applyAlignment="1">
      <alignment horizontal="center" vertical="center"/>
    </xf>
    <xf numFmtId="9" fontId="0" fillId="0" borderId="2" xfId="6" applyFont="1" applyBorder="1" applyAlignment="1">
      <alignment horizontal="center"/>
    </xf>
    <xf numFmtId="0" fontId="0" fillId="0" borderId="10" xfId="0" applyBorder="1"/>
    <xf numFmtId="172" fontId="0" fillId="0" borderId="2" xfId="2" applyNumberFormat="1" applyFont="1" applyBorder="1" applyAlignment="1">
      <alignment horizontal="center"/>
    </xf>
    <xf numFmtId="172" fontId="0" fillId="0" borderId="2" xfId="0" applyNumberFormat="1" applyBorder="1" applyAlignment="1">
      <alignment horizontal="center"/>
    </xf>
    <xf numFmtId="0" fontId="13" fillId="0" borderId="2" xfId="0" applyFont="1" applyBorder="1" applyAlignment="1">
      <alignment horizontal="center"/>
    </xf>
    <xf numFmtId="0" fontId="12" fillId="0" borderId="2" xfId="0" applyFont="1" applyBorder="1" applyAlignment="1">
      <alignment horizontal="center"/>
    </xf>
    <xf numFmtId="0" fontId="12" fillId="0" borderId="10" xfId="0" applyFont="1" applyBorder="1" applyAlignment="1">
      <alignment horizontal="center"/>
    </xf>
    <xf numFmtId="0" fontId="12" fillId="0" borderId="37" xfId="0" applyFont="1" applyBorder="1" applyAlignment="1">
      <alignment horizontal="center"/>
    </xf>
    <xf numFmtId="0" fontId="0" fillId="2" borderId="37" xfId="0" applyFill="1" applyBorder="1" applyAlignment="1">
      <alignment horizontal="center"/>
    </xf>
    <xf numFmtId="0" fontId="12" fillId="0" borderId="0" xfId="0" applyFont="1" applyAlignment="1">
      <alignment horizontal="right"/>
    </xf>
    <xf numFmtId="0" fontId="12" fillId="0" borderId="9" xfId="0" applyFont="1" applyBorder="1" applyAlignment="1">
      <alignment horizontal="center"/>
    </xf>
    <xf numFmtId="0" fontId="12" fillId="0" borderId="0" xfId="0" applyFont="1" applyAlignment="1">
      <alignment horizontal="center"/>
    </xf>
    <xf numFmtId="0" fontId="15" fillId="6" borderId="2" xfId="0" applyFont="1" applyFill="1" applyBorder="1" applyAlignment="1">
      <alignment horizontal="center"/>
    </xf>
    <xf numFmtId="0" fontId="0" fillId="6" borderId="2" xfId="0" applyFill="1" applyBorder="1" applyAlignment="1">
      <alignment horizontal="center"/>
    </xf>
    <xf numFmtId="9" fontId="0" fillId="6" borderId="2" xfId="6" applyFont="1" applyFill="1" applyBorder="1" applyAlignment="1">
      <alignment horizontal="center"/>
    </xf>
    <xf numFmtId="173" fontId="0" fillId="6" borderId="2" xfId="2" applyNumberFormat="1" applyFont="1" applyFill="1" applyBorder="1" applyAlignment="1">
      <alignment horizontal="center"/>
    </xf>
    <xf numFmtId="173" fontId="0" fillId="6" borderId="10" xfId="2" applyNumberFormat="1" applyFont="1" applyFill="1" applyBorder="1" applyAlignment="1">
      <alignment horizontal="center"/>
    </xf>
    <xf numFmtId="0" fontId="16" fillId="0" borderId="2" xfId="0" applyFont="1" applyBorder="1" applyAlignment="1">
      <alignment horizontal="center"/>
    </xf>
    <xf numFmtId="173" fontId="16" fillId="0" borderId="2" xfId="0" applyNumberFormat="1" applyFont="1" applyBorder="1" applyAlignment="1">
      <alignment horizontal="center"/>
    </xf>
    <xf numFmtId="0" fontId="17" fillId="0" borderId="0" xfId="0" applyFont="1" applyAlignment="1">
      <alignment horizontal="center"/>
    </xf>
    <xf numFmtId="9" fontId="18" fillId="2" borderId="2" xfId="0" applyNumberFormat="1" applyFont="1" applyFill="1" applyBorder="1" applyAlignment="1">
      <alignment horizontal="center"/>
    </xf>
    <xf numFmtId="0" fontId="15" fillId="7" borderId="2" xfId="0" applyFont="1" applyFill="1" applyBorder="1" applyAlignment="1">
      <alignment horizontal="center"/>
    </xf>
    <xf numFmtId="0" fontId="0" fillId="7" borderId="2" xfId="0" applyFill="1" applyBorder="1" applyAlignment="1">
      <alignment horizontal="center"/>
    </xf>
    <xf numFmtId="9" fontId="0" fillId="7" borderId="2" xfId="6" applyFont="1" applyFill="1" applyBorder="1" applyAlignment="1">
      <alignment horizontal="center"/>
    </xf>
    <xf numFmtId="173" fontId="0" fillId="7" borderId="2" xfId="2" applyNumberFormat="1" applyFont="1" applyFill="1" applyBorder="1" applyAlignment="1">
      <alignment horizontal="center"/>
    </xf>
    <xf numFmtId="173" fontId="0" fillId="7" borderId="10" xfId="2" applyNumberFormat="1" applyFont="1" applyFill="1" applyBorder="1" applyAlignment="1">
      <alignment horizontal="center"/>
    </xf>
    <xf numFmtId="0" fontId="15" fillId="8" borderId="2" xfId="0" applyFont="1" applyFill="1" applyBorder="1" applyAlignment="1">
      <alignment horizontal="center"/>
    </xf>
    <xf numFmtId="0" fontId="0" fillId="8" borderId="2" xfId="0" applyFill="1" applyBorder="1" applyAlignment="1">
      <alignment horizontal="center"/>
    </xf>
    <xf numFmtId="9" fontId="0" fillId="8" borderId="2" xfId="6" applyFont="1" applyFill="1" applyBorder="1" applyAlignment="1">
      <alignment horizontal="center"/>
    </xf>
    <xf numFmtId="173" fontId="0" fillId="8" borderId="2" xfId="2" applyNumberFormat="1" applyFont="1" applyFill="1" applyBorder="1" applyAlignment="1">
      <alignment horizontal="center"/>
    </xf>
    <xf numFmtId="173" fontId="0" fillId="8" borderId="10" xfId="2" applyNumberFormat="1" applyFont="1" applyFill="1" applyBorder="1" applyAlignment="1">
      <alignment horizontal="center"/>
    </xf>
    <xf numFmtId="0" fontId="15" fillId="0" borderId="2" xfId="0" applyFont="1" applyBorder="1" applyAlignment="1">
      <alignment horizontal="center"/>
    </xf>
    <xf numFmtId="0" fontId="0" fillId="9" borderId="2" xfId="0" applyFill="1" applyBorder="1" applyAlignment="1">
      <alignment horizontal="center"/>
    </xf>
    <xf numFmtId="173" fontId="0" fillId="0" borderId="2" xfId="2" applyNumberFormat="1" applyFont="1" applyBorder="1" applyAlignment="1">
      <alignment horizontal="center"/>
    </xf>
    <xf numFmtId="173" fontId="0" fillId="0" borderId="10" xfId="2" applyNumberFormat="1" applyFont="1" applyBorder="1" applyAlignment="1">
      <alignment horizontal="center"/>
    </xf>
    <xf numFmtId="9" fontId="0" fillId="0" borderId="2" xfId="6" applyFont="1" applyFill="1" applyBorder="1" applyAlignment="1">
      <alignment horizontal="center"/>
    </xf>
    <xf numFmtId="9" fontId="0" fillId="0" borderId="10" xfId="6" applyFont="1" applyBorder="1" applyAlignment="1">
      <alignment horizontal="center"/>
    </xf>
    <xf numFmtId="173" fontId="0" fillId="0" borderId="2" xfId="2" applyNumberFormat="1" applyFont="1" applyFill="1" applyBorder="1" applyAlignment="1">
      <alignment horizontal="center"/>
    </xf>
    <xf numFmtId="0" fontId="0" fillId="10" borderId="2" xfId="0" applyFill="1" applyBorder="1" applyAlignment="1">
      <alignment horizontal="center"/>
    </xf>
    <xf numFmtId="173" fontId="0" fillId="0" borderId="2" xfId="0" applyNumberFormat="1" applyBorder="1" applyAlignment="1">
      <alignment horizontal="center"/>
    </xf>
    <xf numFmtId="0" fontId="0" fillId="11" borderId="2" xfId="0" applyFill="1" applyBorder="1" applyAlignment="1">
      <alignment horizontal="center"/>
    </xf>
    <xf numFmtId="173" fontId="0" fillId="0" borderId="38" xfId="2" applyNumberFormat="1" applyFont="1" applyBorder="1" applyAlignment="1">
      <alignment horizontal="center"/>
    </xf>
    <xf numFmtId="173" fontId="0" fillId="0" borderId="0" xfId="2" applyNumberFormat="1" applyFont="1" applyAlignment="1">
      <alignment horizontal="center"/>
    </xf>
    <xf numFmtId="173" fontId="0" fillId="0" borderId="39" xfId="2" applyNumberFormat="1" applyFont="1" applyBorder="1" applyAlignment="1">
      <alignment horizontal="center"/>
    </xf>
    <xf numFmtId="173" fontId="0" fillId="4" borderId="0" xfId="2" applyNumberFormat="1" applyFont="1" applyFill="1" applyAlignment="1">
      <alignment horizontal="center"/>
    </xf>
    <xf numFmtId="9" fontId="19" fillId="0" borderId="2" xfId="0" applyNumberFormat="1" applyFont="1" applyBorder="1" applyAlignment="1">
      <alignment horizontal="center"/>
    </xf>
    <xf numFmtId="174" fontId="0" fillId="4" borderId="0" xfId="1" applyNumberFormat="1" applyFont="1" applyFill="1" applyAlignment="1">
      <alignment horizontal="center" vertical="center"/>
    </xf>
    <xf numFmtId="0" fontId="0" fillId="12" borderId="0" xfId="0" applyFill="1" applyAlignment="1">
      <alignment horizontal="center"/>
    </xf>
    <xf numFmtId="164" fontId="0" fillId="13" borderId="0" xfId="0" applyNumberFormat="1" applyFill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164" fontId="0" fillId="4" borderId="0" xfId="2" applyFont="1" applyFill="1"/>
    <xf numFmtId="0" fontId="0" fillId="0" borderId="0" xfId="0" applyAlignment="1">
      <alignment wrapText="1"/>
    </xf>
    <xf numFmtId="0" fontId="22" fillId="14" borderId="40" xfId="0" applyFont="1" applyFill="1" applyBorder="1" applyAlignment="1">
      <alignment horizontal="center" vertical="center"/>
    </xf>
    <xf numFmtId="0" fontId="23" fillId="14" borderId="40" xfId="0" applyFont="1" applyFill="1" applyBorder="1" applyAlignment="1">
      <alignment vertical="center"/>
    </xf>
    <xf numFmtId="0" fontId="23" fillId="14" borderId="40" xfId="0" applyFont="1" applyFill="1" applyBorder="1" applyAlignment="1">
      <alignment horizontal="center" vertical="center"/>
    </xf>
    <xf numFmtId="10" fontId="0" fillId="0" borderId="0" xfId="0" applyNumberFormat="1" applyAlignment="1">
      <alignment horizontal="center"/>
    </xf>
    <xf numFmtId="164" fontId="0" fillId="2" borderId="0" xfId="2" applyFont="1" applyFill="1" applyAlignment="1">
      <alignment horizontal="center"/>
    </xf>
    <xf numFmtId="0" fontId="0" fillId="4" borderId="0" xfId="0" applyFill="1" applyAlignment="1">
      <alignment horizontal="center"/>
    </xf>
    <xf numFmtId="0" fontId="0" fillId="0" borderId="0" xfId="0" applyAlignment="1">
      <alignment horizontal="left"/>
    </xf>
    <xf numFmtId="0" fontId="3" fillId="0" borderId="2" xfId="0" applyFont="1" applyBorder="1"/>
    <xf numFmtId="0" fontId="0" fillId="2" borderId="2" xfId="0" applyFill="1" applyBorder="1" applyAlignment="1">
      <alignment horizontal="center"/>
    </xf>
    <xf numFmtId="0" fontId="0" fillId="0" borderId="2" xfId="0" applyBorder="1" applyAlignment="1">
      <alignment horizontal="left"/>
    </xf>
    <xf numFmtId="0" fontId="0" fillId="13" borderId="0" xfId="0" applyFill="1" applyAlignment="1">
      <alignment horizontal="center"/>
    </xf>
    <xf numFmtId="2" fontId="0" fillId="2" borderId="2" xfId="2" applyNumberFormat="1" applyFont="1" applyFill="1" applyBorder="1" applyAlignment="1">
      <alignment horizontal="center"/>
    </xf>
    <xf numFmtId="0" fontId="3" fillId="0" borderId="6" xfId="0" applyFont="1" applyBorder="1" applyAlignment="1">
      <alignment horizontal="center"/>
    </xf>
    <xf numFmtId="0" fontId="0" fillId="0" borderId="2" xfId="0" quotePrefix="1" applyBorder="1" applyAlignment="1">
      <alignment horizontal="center"/>
    </xf>
    <xf numFmtId="0" fontId="3" fillId="0" borderId="0" xfId="0" applyFont="1" applyAlignment="1">
      <alignment horizontal="center"/>
    </xf>
    <xf numFmtId="175" fontId="0" fillId="0" borderId="2" xfId="2" applyNumberFormat="1" applyFont="1" applyBorder="1" applyAlignment="1">
      <alignment horizontal="center"/>
    </xf>
    <xf numFmtId="175" fontId="0" fillId="13" borderId="0" xfId="2" applyNumberFormat="1" applyFont="1" applyFill="1" applyAlignment="1">
      <alignment horizontal="center"/>
    </xf>
    <xf numFmtId="0" fontId="3" fillId="0" borderId="2" xfId="0" applyFont="1" applyBorder="1" applyAlignment="1">
      <alignment horizontal="left"/>
    </xf>
    <xf numFmtId="175" fontId="0" fillId="0" borderId="2" xfId="0" applyNumberFormat="1" applyBorder="1" applyAlignment="1">
      <alignment horizontal="center"/>
    </xf>
    <xf numFmtId="175" fontId="0" fillId="13" borderId="0" xfId="0" applyNumberFormat="1" applyFill="1" applyAlignment="1">
      <alignment horizontal="center"/>
    </xf>
    <xf numFmtId="0" fontId="0" fillId="0" borderId="0" xfId="0" quotePrefix="1" applyAlignment="1">
      <alignment horizontal="center"/>
    </xf>
    <xf numFmtId="0" fontId="0" fillId="0" borderId="42" xfId="0" applyBorder="1" applyAlignment="1">
      <alignment horizontal="center"/>
    </xf>
    <xf numFmtId="2" fontId="0" fillId="0" borderId="28" xfId="0" applyNumberFormat="1" applyBorder="1" applyAlignment="1">
      <alignment horizontal="center"/>
    </xf>
    <xf numFmtId="0" fontId="3" fillId="0" borderId="28" xfId="0" applyFont="1" applyBorder="1" applyAlignment="1">
      <alignment horizontal="center"/>
    </xf>
    <xf numFmtId="0" fontId="3" fillId="0" borderId="43" xfId="0" applyFont="1" applyBorder="1"/>
    <xf numFmtId="0" fontId="0" fillId="0" borderId="43" xfId="0" applyBorder="1" applyAlignment="1">
      <alignment horizontal="center"/>
    </xf>
    <xf numFmtId="0" fontId="0" fillId="0" borderId="28" xfId="0" applyBorder="1" applyAlignment="1">
      <alignment horizontal="center"/>
    </xf>
    <xf numFmtId="0" fontId="0" fillId="0" borderId="2" xfId="0" applyBorder="1" applyAlignment="1">
      <alignment horizontal="right"/>
    </xf>
    <xf numFmtId="172" fontId="0" fillId="0" borderId="0" xfId="0" applyNumberFormat="1" applyAlignment="1">
      <alignment horizontal="center"/>
    </xf>
    <xf numFmtId="0" fontId="3" fillId="0" borderId="0" xfId="0" applyFont="1" applyAlignment="1">
      <alignment horizontal="left"/>
    </xf>
    <xf numFmtId="2" fontId="0" fillId="2" borderId="0" xfId="0" applyNumberFormat="1" applyFill="1" applyAlignment="1">
      <alignment horizontal="center"/>
    </xf>
    <xf numFmtId="172" fontId="0" fillId="13" borderId="0" xfId="0" applyNumberFormat="1" applyFill="1" applyAlignment="1">
      <alignment horizontal="center"/>
    </xf>
    <xf numFmtId="0" fontId="3" fillId="0" borderId="41" xfId="0" applyFont="1" applyBorder="1" applyAlignment="1">
      <alignment horizontal="center"/>
    </xf>
    <xf numFmtId="172" fontId="0" fillId="15" borderId="0" xfId="0" applyNumberFormat="1" applyFill="1" applyAlignment="1">
      <alignment horizontal="center"/>
    </xf>
    <xf numFmtId="0" fontId="0" fillId="16" borderId="2" xfId="0" applyFill="1" applyBorder="1" applyAlignment="1">
      <alignment horizontal="center"/>
    </xf>
    <xf numFmtId="0" fontId="8" fillId="0" borderId="2" xfId="0" applyFont="1" applyBorder="1" applyAlignment="1">
      <alignment horizontal="center"/>
    </xf>
    <xf numFmtId="9" fontId="0" fillId="2" borderId="2" xfId="6" applyFont="1" applyFill="1" applyBorder="1" applyAlignment="1">
      <alignment horizontal="center"/>
    </xf>
    <xf numFmtId="0" fontId="3" fillId="0" borderId="3" xfId="0" applyFont="1" applyBorder="1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2" xfId="0" applyBorder="1" applyAlignment="1">
      <alignment horizontal="right" indent="1"/>
    </xf>
    <xf numFmtId="172" fontId="0" fillId="2" borderId="0" xfId="0" applyNumberFormat="1" applyFill="1" applyAlignment="1">
      <alignment horizontal="center"/>
    </xf>
    <xf numFmtId="0" fontId="24" fillId="0" borderId="0" xfId="0" quotePrefix="1" applyFont="1" applyAlignment="1">
      <alignment horizontal="right"/>
    </xf>
    <xf numFmtId="0" fontId="25" fillId="17" borderId="2" xfId="0" applyFont="1" applyFill="1" applyBorder="1" applyAlignment="1">
      <alignment horizontal="center" vertical="center" wrapText="1"/>
    </xf>
    <xf numFmtId="0" fontId="25" fillId="2" borderId="2" xfId="0" applyFont="1" applyFill="1" applyBorder="1" applyAlignment="1">
      <alignment horizontal="center" vertical="center" wrapText="1"/>
    </xf>
    <xf numFmtId="0" fontId="26" fillId="0" borderId="0" xfId="0" applyFont="1" applyAlignment="1">
      <alignment horizontal="left"/>
    </xf>
    <xf numFmtId="9" fontId="27" fillId="0" borderId="2" xfId="0" applyNumberFormat="1" applyFont="1" applyBorder="1" applyAlignment="1">
      <alignment horizontal="center"/>
    </xf>
    <xf numFmtId="173" fontId="15" fillId="0" borderId="2" xfId="0" applyNumberFormat="1" applyFont="1" applyBorder="1" applyAlignment="1">
      <alignment horizontal="center"/>
    </xf>
    <xf numFmtId="0" fontId="28" fillId="0" borderId="0" xfId="0" applyFont="1" applyAlignment="1">
      <alignment horizontal="center"/>
    </xf>
    <xf numFmtId="9" fontId="29" fillId="2" borderId="2" xfId="0" applyNumberFormat="1" applyFont="1" applyFill="1" applyBorder="1" applyAlignment="1">
      <alignment horizontal="center"/>
    </xf>
    <xf numFmtId="0" fontId="3" fillId="0" borderId="10" xfId="0" applyFont="1" applyBorder="1" applyAlignment="1">
      <alignment horizontal="center"/>
    </xf>
    <xf numFmtId="0" fontId="3" fillId="0" borderId="9" xfId="0" applyFont="1" applyBorder="1" applyAlignment="1">
      <alignment horizontal="right"/>
    </xf>
    <xf numFmtId="0" fontId="15" fillId="0" borderId="2" xfId="0" applyFont="1" applyBorder="1" applyAlignment="1">
      <alignment horizontal="left"/>
    </xf>
    <xf numFmtId="0" fontId="3" fillId="0" borderId="44" xfId="0" applyFont="1" applyBorder="1" applyAlignment="1">
      <alignment horizontal="center"/>
    </xf>
    <xf numFmtId="0" fontId="0" fillId="2" borderId="44" xfId="0" applyFill="1" applyBorder="1" applyAlignment="1">
      <alignment horizontal="center"/>
    </xf>
    <xf numFmtId="0" fontId="2" fillId="0" borderId="1" xfId="3" applyAlignment="1">
      <alignment horizontal="center"/>
    </xf>
    <xf numFmtId="0" fontId="4" fillId="0" borderId="7" xfId="4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2" xfId="0" applyFont="1" applyBorder="1" applyAlignment="1">
      <alignment horizontal="center" vertical="center" textRotation="90"/>
    </xf>
    <xf numFmtId="0" fontId="6" fillId="0" borderId="8" xfId="5" applyAlignment="1">
      <alignment horizontal="center"/>
    </xf>
    <xf numFmtId="0" fontId="11" fillId="0" borderId="0" xfId="0" applyFont="1" applyAlignment="1">
      <alignment horizontal="center"/>
    </xf>
    <xf numFmtId="0" fontId="11" fillId="0" borderId="0" xfId="0" applyFont="1" applyAlignment="1">
      <alignment horizontal="right" vertical="center" textRotation="90"/>
    </xf>
    <xf numFmtId="0" fontId="11" fillId="0" borderId="10" xfId="0" applyFont="1" applyBorder="1" applyAlignment="1">
      <alignment horizontal="center"/>
    </xf>
    <xf numFmtId="0" fontId="11" fillId="0" borderId="11" xfId="0" applyFont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0" xfId="0" applyAlignment="1">
      <alignment horizontal="center"/>
    </xf>
    <xf numFmtId="0" fontId="3" fillId="5" borderId="2" xfId="0" applyFont="1" applyFill="1" applyBorder="1" applyAlignment="1">
      <alignment horizontal="center"/>
    </xf>
    <xf numFmtId="0" fontId="0" fillId="0" borderId="2" xfId="0" applyBorder="1" applyAlignment="1">
      <alignment horizontal="left"/>
    </xf>
    <xf numFmtId="0" fontId="0" fillId="0" borderId="2" xfId="0" applyBorder="1" applyAlignment="1">
      <alignment horizontal="center" vertical="center"/>
    </xf>
    <xf numFmtId="0" fontId="12" fillId="0" borderId="2" xfId="0" applyFont="1" applyBorder="1" applyAlignment="1">
      <alignment horizontal="center"/>
    </xf>
    <xf numFmtId="0" fontId="14" fillId="0" borderId="2" xfId="0" applyFont="1" applyBorder="1" applyAlignment="1">
      <alignment horizontal="center"/>
    </xf>
    <xf numFmtId="0" fontId="12" fillId="0" borderId="35" xfId="0" applyFont="1" applyBorder="1" applyAlignment="1">
      <alignment horizontal="center"/>
    </xf>
    <xf numFmtId="0" fontId="12" fillId="0" borderId="36" xfId="0" applyFont="1" applyBorder="1" applyAlignment="1">
      <alignment horizontal="center"/>
    </xf>
    <xf numFmtId="0" fontId="12" fillId="0" borderId="4" xfId="0" applyFont="1" applyBorder="1" applyAlignment="1">
      <alignment horizontal="center"/>
    </xf>
    <xf numFmtId="0" fontId="0" fillId="0" borderId="26" xfId="0" applyBorder="1" applyAlignment="1">
      <alignment horizontal="center" wrapText="1"/>
    </xf>
    <xf numFmtId="0" fontId="0" fillId="0" borderId="6" xfId="0" applyBorder="1" applyAlignment="1">
      <alignment horizontal="center" wrapText="1"/>
    </xf>
    <xf numFmtId="0" fontId="0" fillId="0" borderId="41" xfId="0" applyBorder="1" applyAlignment="1">
      <alignment horizontal="center" wrapText="1"/>
    </xf>
    <xf numFmtId="0" fontId="3" fillId="0" borderId="4" xfId="0" applyFont="1" applyBorder="1" applyAlignment="1">
      <alignment horizontal="center"/>
    </xf>
    <xf numFmtId="0" fontId="3" fillId="0" borderId="3" xfId="0" applyFont="1" applyBorder="1" applyAlignment="1">
      <alignment horizontal="right" vertical="center" textRotation="90"/>
    </xf>
    <xf numFmtId="0" fontId="0" fillId="13" borderId="0" xfId="0" applyFill="1" applyAlignment="1">
      <alignment horizontal="center"/>
    </xf>
    <xf numFmtId="0" fontId="30" fillId="0" borderId="1" xfId="3" applyFont="1" applyAlignment="1">
      <alignment horizontal="center"/>
    </xf>
    <xf numFmtId="0" fontId="13" fillId="0" borderId="2" xfId="0" applyFont="1" applyBorder="1" applyAlignment="1">
      <alignment horizontal="center"/>
    </xf>
    <xf numFmtId="0" fontId="3" fillId="0" borderId="35" xfId="0" applyFont="1" applyBorder="1" applyAlignment="1">
      <alignment horizontal="center"/>
    </xf>
    <xf numFmtId="0" fontId="3" fillId="0" borderId="36" xfId="0" applyFont="1" applyBorder="1" applyAlignment="1">
      <alignment horizontal="center"/>
    </xf>
    <xf numFmtId="0" fontId="3" fillId="0" borderId="2" xfId="0" applyFont="1" applyBorder="1" applyAlignment="1">
      <alignment horizontal="center" vertical="center"/>
    </xf>
  </cellXfs>
  <cellStyles count="7">
    <cellStyle name="Comma" xfId="1" builtinId="3"/>
    <cellStyle name="Currency" xfId="2" builtinId="4"/>
    <cellStyle name="Heading 1" xfId="4" builtinId="16"/>
    <cellStyle name="Heading 2" xfId="3" builtinId="17"/>
    <cellStyle name="Heading 3" xfId="5" builtinId="18"/>
    <cellStyle name="Normal" xfId="0" builtinId="0"/>
    <cellStyle name="Percent" xfId="6" builtinId="5"/>
  </cellStyles>
  <dxfs count="35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ustomXml" Target="../customXml/item1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microsoft.com/office/2023/09/relationships/Python" Target="pytho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haredStrings" Target="sharedStrings.xml"/><Relationship Id="rId40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Woodworks Bookshelf Company Cost Projections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GB"/>
        </a:p>
      </c:tx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strRef>
              <c:f>'H02'!$E$15</c:f>
              <c:strCache>
                <c:ptCount val="1"/>
                <c:pt idx="0">
                  <c:v>Total Cherrry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'H02'!$A$16:$A$21</c:f>
              <c:numCache>
                <c:formatCode>General</c:formatCode>
                <c:ptCount val="6"/>
                <c:pt idx="0">
                  <c:v>2024</c:v>
                </c:pt>
                <c:pt idx="1">
                  <c:v>2025</c:v>
                </c:pt>
                <c:pt idx="2">
                  <c:v>2026</c:v>
                </c:pt>
                <c:pt idx="3">
                  <c:v>2027</c:v>
                </c:pt>
                <c:pt idx="4">
                  <c:v>2028</c:v>
                </c:pt>
                <c:pt idx="5">
                  <c:v>2029</c:v>
                </c:pt>
              </c:numCache>
            </c:numRef>
          </c:cat>
          <c:val>
            <c:numRef>
              <c:f>'H02'!$E$16:$E$21</c:f>
              <c:numCache>
                <c:formatCode>_-[$$-409]* #\ ##0.00_ ;_-[$$-409]* \-#\ ##0.00\ ;_-[$$-409]* "-"??_ ;_-@_ </c:formatCode>
                <c:ptCount val="6"/>
                <c:pt idx="0">
                  <c:v>461</c:v>
                </c:pt>
                <c:pt idx="1">
                  <c:v>469.4</c:v>
                </c:pt>
                <c:pt idx="2">
                  <c:v>477.96163999999999</c:v>
                </c:pt>
                <c:pt idx="3">
                  <c:v>486.68819995999996</c:v>
                </c:pt>
                <c:pt idx="4">
                  <c:v>495.58302956803993</c:v>
                </c:pt>
                <c:pt idx="5">
                  <c:v>504.64954977880791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FFA-4D83-AADB-C7BA1B70EEE9}"/>
            </c:ext>
          </c:extLst>
        </c:ser>
        <c:ser>
          <c:idx val="4"/>
          <c:order val="1"/>
          <c:tx>
            <c:strRef>
              <c:f>'H02'!$F$15</c:f>
              <c:strCache>
                <c:ptCount val="1"/>
                <c:pt idx="0">
                  <c:v>Total Oak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'H02'!$A$16:$A$21</c:f>
              <c:numCache>
                <c:formatCode>General</c:formatCode>
                <c:ptCount val="6"/>
                <c:pt idx="0">
                  <c:v>2024</c:v>
                </c:pt>
                <c:pt idx="1">
                  <c:v>2025</c:v>
                </c:pt>
                <c:pt idx="2">
                  <c:v>2026</c:v>
                </c:pt>
                <c:pt idx="3">
                  <c:v>2027</c:v>
                </c:pt>
                <c:pt idx="4">
                  <c:v>2028</c:v>
                </c:pt>
                <c:pt idx="5">
                  <c:v>2029</c:v>
                </c:pt>
              </c:numCache>
            </c:numRef>
          </c:cat>
          <c:val>
            <c:numRef>
              <c:f>'H02'!$F$16:$F$21</c:f>
              <c:numCache>
                <c:formatCode>_-[$$-409]* #\ ##0.00_ ;_-[$$-409]* \-#\ ##0.00\ ;_-[$$-409]* "-"??_ ;_-@_ </c:formatCode>
                <c:ptCount val="6"/>
                <c:pt idx="0">
                  <c:v>425</c:v>
                </c:pt>
                <c:pt idx="1">
                  <c:v>431.63299999999998</c:v>
                </c:pt>
                <c:pt idx="2">
                  <c:v>438.36988099999996</c:v>
                </c:pt>
                <c:pt idx="3">
                  <c:v>445.21227577699995</c:v>
                </c:pt>
                <c:pt idx="4">
                  <c:v>452.16184286720886</c:v>
                </c:pt>
                <c:pt idx="5">
                  <c:v>459.22026697398138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FFA-4D83-AADB-C7BA1B70EE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98185119"/>
        <c:axId val="1998196639"/>
      </c:lineChart>
      <c:catAx>
        <c:axId val="19981851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Years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8196639"/>
        <c:crosses val="autoZero"/>
        <c:auto val="1"/>
        <c:lblAlgn val="ctr"/>
        <c:lblOffset val="100"/>
        <c:noMultiLvlLbl val="0"/>
      </c:catAx>
      <c:valAx>
        <c:axId val="1998196639"/>
        <c:scaling>
          <c:orientation val="minMax"/>
          <c:max val="520"/>
          <c:min val="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Total cost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-[$$-409]* #,##0_ ;_-[$$-409]* \-#,##0\ ;_-[$$-409]* &quot;-&quot;_ ;_-@_ 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8185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Quality Sweater Co.</a:t>
            </a:r>
            <a:r>
              <a:rPr lang="en-GB" baseline="0"/>
              <a:t> Response Rate / Profit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GB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'H03'!$G$5:$G$15</c:f>
              <c:numCache>
                <c:formatCode>0.00%</c:formatCode>
                <c:ptCount val="11"/>
                <c:pt idx="0" formatCode="0%">
                  <c:v>0.03</c:v>
                </c:pt>
                <c:pt idx="1">
                  <c:v>3.5000000000000003E-2</c:v>
                </c:pt>
                <c:pt idx="2" formatCode="0%">
                  <c:v>0.04</c:v>
                </c:pt>
                <c:pt idx="3">
                  <c:v>4.4999999999999998E-2</c:v>
                </c:pt>
                <c:pt idx="4" formatCode="0%">
                  <c:v>0.05</c:v>
                </c:pt>
                <c:pt idx="5">
                  <c:v>5.5E-2</c:v>
                </c:pt>
                <c:pt idx="6" formatCode="0%">
                  <c:v>0.06</c:v>
                </c:pt>
                <c:pt idx="7">
                  <c:v>6.5000000000000002E-2</c:v>
                </c:pt>
                <c:pt idx="8" formatCode="0%">
                  <c:v>7.0000000000000007E-2</c:v>
                </c:pt>
                <c:pt idx="9">
                  <c:v>7.4999999999999997E-2</c:v>
                </c:pt>
                <c:pt idx="10" formatCode="0%">
                  <c:v>0.08</c:v>
                </c:pt>
              </c:numCache>
            </c:numRef>
          </c:cat>
          <c:val>
            <c:numRef>
              <c:f>'H03'!$H$5:$H$15</c:f>
              <c:numCache>
                <c:formatCode>_-"£"* #\ ##0_-;\-"£"* #\ ##0_-;_-"£"* "-"??_-;_-@_-</c:formatCode>
                <c:ptCount val="11"/>
                <c:pt idx="0">
                  <c:v>-21600</c:v>
                </c:pt>
                <c:pt idx="1">
                  <c:v>-17700</c:v>
                </c:pt>
                <c:pt idx="2">
                  <c:v>-13800</c:v>
                </c:pt>
                <c:pt idx="3">
                  <c:v>-9900</c:v>
                </c:pt>
                <c:pt idx="4">
                  <c:v>-6000</c:v>
                </c:pt>
                <c:pt idx="5">
                  <c:v>-2100.0000000000291</c:v>
                </c:pt>
                <c:pt idx="6">
                  <c:v>1799.9999999999709</c:v>
                </c:pt>
                <c:pt idx="7">
                  <c:v>5699.9999999999709</c:v>
                </c:pt>
                <c:pt idx="8">
                  <c:v>9600</c:v>
                </c:pt>
                <c:pt idx="9">
                  <c:v>13500</c:v>
                </c:pt>
                <c:pt idx="10">
                  <c:v>17400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2E-423B-A662-B151C1757E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78919248"/>
        <c:axId val="1378928368"/>
      </c:barChart>
      <c:catAx>
        <c:axId val="1378919248"/>
        <c:scaling>
          <c:orientation val="minMax"/>
        </c:scaling>
        <c:delete val="0"/>
        <c:axPos val="b"/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8928368"/>
        <c:crosses val="autoZero"/>
        <c:auto val="1"/>
        <c:lblAlgn val="ctr"/>
        <c:lblOffset val="100"/>
        <c:noMultiLvlLbl val="0"/>
      </c:catAx>
      <c:valAx>
        <c:axId val="1378928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&quot;£&quot;* #\ ##0_-;\-&quot;£&quot;* #\ ##0_-;_-&quot;£&quot;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89192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'H05'!$G$2:$G$7</c:f>
              <c:numCache>
                <c:formatCode>General</c:formatCode>
                <c:ptCount val="6"/>
                <c:pt idx="0" formatCode="_-&quot;£&quot;* #\ ##0_-;\-&quot;£&quot;* #\ ##0_-;_-&quot;£&quot;* &quot;-&quot;??_-;_-@_-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'H05'!$H$2:$H$7</c:f>
              <c:numCache>
                <c:formatCode>General</c:formatCode>
                <c:ptCount val="6"/>
                <c:pt idx="0">
                  <c:v>500</c:v>
                </c:pt>
                <c:pt idx="1">
                  <c:v>-2800</c:v>
                </c:pt>
                <c:pt idx="2">
                  <c:v>-2025</c:v>
                </c:pt>
                <c:pt idx="3">
                  <c:v>-7025</c:v>
                </c:pt>
                <c:pt idx="4">
                  <c:v>-12025</c:v>
                </c:pt>
                <c:pt idx="5">
                  <c:v>-17025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24-4F24-AC94-2F65237BBFDE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'H05'!$G$2:$G$7</c:f>
              <c:numCache>
                <c:formatCode>General</c:formatCode>
                <c:ptCount val="6"/>
                <c:pt idx="0" formatCode="_-&quot;£&quot;* #\ ##0_-;\-&quot;£&quot;* #\ ##0_-;_-&quot;£&quot;* &quot;-&quot;??_-;_-@_-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'H05'!$I$2:$I$7</c:f>
              <c:numCache>
                <c:formatCode>General</c:formatCode>
                <c:ptCount val="6"/>
                <c:pt idx="0">
                  <c:v>1000</c:v>
                </c:pt>
                <c:pt idx="1">
                  <c:v>-2800</c:v>
                </c:pt>
                <c:pt idx="2">
                  <c:v>-800</c:v>
                </c:pt>
                <c:pt idx="3">
                  <c:v>1200</c:v>
                </c:pt>
                <c:pt idx="4">
                  <c:v>750</c:v>
                </c:pt>
                <c:pt idx="5">
                  <c:v>-4250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B24-4F24-AC94-2F65237BBFDE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'H05'!$G$2:$G$7</c:f>
              <c:numCache>
                <c:formatCode>General</c:formatCode>
                <c:ptCount val="6"/>
                <c:pt idx="0" formatCode="_-&quot;£&quot;* #\ ##0_-;\-&quot;£&quot;* #\ ##0_-;_-&quot;£&quot;* &quot;-&quot;??_-;_-@_-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'H05'!$J$2:$J$7</c:f>
              <c:numCache>
                <c:formatCode>General</c:formatCode>
                <c:ptCount val="6"/>
                <c:pt idx="0">
                  <c:v>1500</c:v>
                </c:pt>
                <c:pt idx="1">
                  <c:v>-2800</c:v>
                </c:pt>
                <c:pt idx="2">
                  <c:v>-800</c:v>
                </c:pt>
                <c:pt idx="3">
                  <c:v>1200</c:v>
                </c:pt>
                <c:pt idx="4">
                  <c:v>3200</c:v>
                </c:pt>
                <c:pt idx="5">
                  <c:v>5200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B24-4F24-AC94-2F65237BBFDE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'H05'!$G$2:$G$7</c:f>
              <c:numCache>
                <c:formatCode>General</c:formatCode>
                <c:ptCount val="6"/>
                <c:pt idx="0" formatCode="_-&quot;£&quot;* #\ ##0_-;\-&quot;£&quot;* #\ ##0_-;_-&quot;£&quot;* &quot;-&quot;??_-;_-@_-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'H05'!$K$2:$K$7</c:f>
              <c:numCache>
                <c:formatCode>General</c:formatCode>
                <c:ptCount val="6"/>
                <c:pt idx="0">
                  <c:v>2000</c:v>
                </c:pt>
                <c:pt idx="1">
                  <c:v>-2800</c:v>
                </c:pt>
                <c:pt idx="2">
                  <c:v>-800</c:v>
                </c:pt>
                <c:pt idx="3">
                  <c:v>1200</c:v>
                </c:pt>
                <c:pt idx="4">
                  <c:v>3200</c:v>
                </c:pt>
                <c:pt idx="5">
                  <c:v>5200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B24-4F24-AC94-2F65237BBF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24866560"/>
        <c:axId val="224865600"/>
      </c:barChart>
      <c:catAx>
        <c:axId val="224866560"/>
        <c:scaling>
          <c:orientation val="minMax"/>
        </c:scaling>
        <c:delete val="0"/>
        <c:axPos val="b"/>
        <c:numFmt formatCode="_-&quot;£&quot;* #\ ##0_-;\-&quot;£&quot;* #\ ##0_-;_-&quot;£&quot;* &quot;-&quot;??_-;_-@_-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4865600"/>
        <c:crosses val="autoZero"/>
        <c:auto val="1"/>
        <c:lblAlgn val="ctr"/>
        <c:lblOffset val="100"/>
        <c:noMultiLvlLbl val="0"/>
      </c:catAx>
      <c:valAx>
        <c:axId val="224865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48665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Price vs Demand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'H07'!$C$1</c:f>
              <c:strCache>
                <c:ptCount val="1"/>
                <c:pt idx="0">
                  <c:v>Demand (00s)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3396337227598718"/>
                  <c:y val="0.3000562729746317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l-PL"/>
                </a:p>
              </c:txPr>
            </c:trendlineLbl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0"/>
            <c:dispEq val="1"/>
            <c:trendlineLbl>
              <c:layout>
                <c:manualLayout>
                  <c:x val="0.16847466973765102"/>
                  <c:y val="0.3253819112093961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l-PL"/>
                </a:p>
              </c:txPr>
            </c:trendlineLbl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wer"/>
            <c:dispRSqr val="0"/>
            <c:dispEq val="1"/>
            <c:trendlineLbl>
              <c:layout>
                <c:manualLayout>
                  <c:x val="-1.6757714727766784E-2"/>
                  <c:y val="0.33667134623059725"/>
                </c:manualLayout>
              </c:layout>
              <c:numFmt formatCode="#,##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l-PL"/>
                </a:p>
              </c:txPr>
            </c:trendlineLbl>
          </c:trendline>
          <c:xVal>
            <c:numRef>
              <c:f>'H07'!$B$2:$B$13</c:f>
              <c:numCache>
                <c:formatCode>General</c:formatCode>
                <c:ptCount val="12"/>
                <c:pt idx="0">
                  <c:v>450</c:v>
                </c:pt>
                <c:pt idx="1">
                  <c:v>300</c:v>
                </c:pt>
                <c:pt idx="2">
                  <c:v>440</c:v>
                </c:pt>
                <c:pt idx="3">
                  <c:v>360</c:v>
                </c:pt>
                <c:pt idx="4">
                  <c:v>290</c:v>
                </c:pt>
                <c:pt idx="5">
                  <c:v>450</c:v>
                </c:pt>
                <c:pt idx="6">
                  <c:v>340</c:v>
                </c:pt>
                <c:pt idx="7">
                  <c:v>370</c:v>
                </c:pt>
                <c:pt idx="8">
                  <c:v>500</c:v>
                </c:pt>
                <c:pt idx="9">
                  <c:v>490</c:v>
                </c:pt>
                <c:pt idx="10">
                  <c:v>430</c:v>
                </c:pt>
                <c:pt idx="11">
                  <c:v>390</c:v>
                </c:pt>
              </c:numCache>
            </c:numRef>
          </c:xVal>
          <c:yVal>
            <c:numRef>
              <c:f>'H07'!$C$2:$C$13</c:f>
              <c:numCache>
                <c:formatCode>General</c:formatCode>
                <c:ptCount val="12"/>
                <c:pt idx="0">
                  <c:v>45</c:v>
                </c:pt>
                <c:pt idx="1">
                  <c:v>103</c:v>
                </c:pt>
                <c:pt idx="2">
                  <c:v>49</c:v>
                </c:pt>
                <c:pt idx="3">
                  <c:v>86</c:v>
                </c:pt>
                <c:pt idx="4">
                  <c:v>125</c:v>
                </c:pt>
                <c:pt idx="5">
                  <c:v>52</c:v>
                </c:pt>
                <c:pt idx="6">
                  <c:v>87</c:v>
                </c:pt>
                <c:pt idx="7">
                  <c:v>68</c:v>
                </c:pt>
                <c:pt idx="8">
                  <c:v>45</c:v>
                </c:pt>
                <c:pt idx="9">
                  <c:v>44</c:v>
                </c:pt>
                <c:pt idx="10">
                  <c:v>58</c:v>
                </c:pt>
                <c:pt idx="11">
                  <c:v>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B71-49D8-9CFC-3105527F36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542896"/>
        <c:axId val="148547696"/>
      </c:scatterChart>
      <c:valAx>
        <c:axId val="1485428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Price ($)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48547696"/>
        <c:crosses val="autoZero"/>
        <c:crossBetween val="midCat"/>
      </c:valAx>
      <c:valAx>
        <c:axId val="148547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Demand (00s)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485428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'H07'!$G$38:$G$83</c:f>
              <c:numCache>
                <c:formatCode>General</c:formatCode>
                <c:ptCount val="46"/>
                <c:pt idx="0">
                  <c:v>260</c:v>
                </c:pt>
                <c:pt idx="1">
                  <c:v>270</c:v>
                </c:pt>
                <c:pt idx="2">
                  <c:v>280</c:v>
                </c:pt>
                <c:pt idx="3">
                  <c:v>290</c:v>
                </c:pt>
                <c:pt idx="4">
                  <c:v>300</c:v>
                </c:pt>
                <c:pt idx="5">
                  <c:v>310</c:v>
                </c:pt>
                <c:pt idx="6">
                  <c:v>320</c:v>
                </c:pt>
                <c:pt idx="7">
                  <c:v>330</c:v>
                </c:pt>
                <c:pt idx="8">
                  <c:v>340</c:v>
                </c:pt>
                <c:pt idx="9">
                  <c:v>350</c:v>
                </c:pt>
                <c:pt idx="10">
                  <c:v>360</c:v>
                </c:pt>
                <c:pt idx="11">
                  <c:v>370</c:v>
                </c:pt>
                <c:pt idx="12">
                  <c:v>380</c:v>
                </c:pt>
                <c:pt idx="13">
                  <c:v>390</c:v>
                </c:pt>
                <c:pt idx="14">
                  <c:v>400</c:v>
                </c:pt>
                <c:pt idx="15">
                  <c:v>410</c:v>
                </c:pt>
                <c:pt idx="16">
                  <c:v>420</c:v>
                </c:pt>
                <c:pt idx="17">
                  <c:v>430</c:v>
                </c:pt>
                <c:pt idx="18">
                  <c:v>440</c:v>
                </c:pt>
                <c:pt idx="19">
                  <c:v>450</c:v>
                </c:pt>
                <c:pt idx="20">
                  <c:v>460</c:v>
                </c:pt>
                <c:pt idx="21">
                  <c:v>470</c:v>
                </c:pt>
                <c:pt idx="22">
                  <c:v>480</c:v>
                </c:pt>
                <c:pt idx="23">
                  <c:v>490</c:v>
                </c:pt>
                <c:pt idx="24">
                  <c:v>500</c:v>
                </c:pt>
                <c:pt idx="25">
                  <c:v>510</c:v>
                </c:pt>
                <c:pt idx="26">
                  <c:v>520</c:v>
                </c:pt>
                <c:pt idx="27">
                  <c:v>530</c:v>
                </c:pt>
                <c:pt idx="28">
                  <c:v>540</c:v>
                </c:pt>
                <c:pt idx="29">
                  <c:v>550</c:v>
                </c:pt>
                <c:pt idx="30">
                  <c:v>560</c:v>
                </c:pt>
                <c:pt idx="31">
                  <c:v>570</c:v>
                </c:pt>
                <c:pt idx="32">
                  <c:v>580</c:v>
                </c:pt>
                <c:pt idx="33">
                  <c:v>590</c:v>
                </c:pt>
                <c:pt idx="34">
                  <c:v>600</c:v>
                </c:pt>
                <c:pt idx="35">
                  <c:v>800</c:v>
                </c:pt>
                <c:pt idx="36">
                  <c:v>900</c:v>
                </c:pt>
                <c:pt idx="37">
                  <c:v>1000</c:v>
                </c:pt>
                <c:pt idx="38">
                  <c:v>1100</c:v>
                </c:pt>
                <c:pt idx="39">
                  <c:v>1200</c:v>
                </c:pt>
                <c:pt idx="40">
                  <c:v>1300</c:v>
                </c:pt>
                <c:pt idx="41">
                  <c:v>1400</c:v>
                </c:pt>
                <c:pt idx="42">
                  <c:v>1500</c:v>
                </c:pt>
                <c:pt idx="43">
                  <c:v>1600</c:v>
                </c:pt>
                <c:pt idx="44">
                  <c:v>1700</c:v>
                </c:pt>
                <c:pt idx="45">
                  <c:v>1800</c:v>
                </c:pt>
              </c:numCache>
            </c:numRef>
          </c:xVal>
          <c:yVal>
            <c:numRef>
              <c:f>'H07'!$H$38:$H$83</c:f>
              <c:numCache>
                <c:formatCode>_-"£"* #\ ##0_-;\-"£"* #\ ##0_-;_-"£"* "-"??_-;_-@_-</c:formatCode>
                <c:ptCount val="46"/>
                <c:pt idx="0">
                  <c:v>144859.72842847556</c:v>
                </c:pt>
                <c:pt idx="1">
                  <c:v>269590.60184817808</c:v>
                </c:pt>
                <c:pt idx="2">
                  <c:v>377277.18719872413</c:v>
                </c:pt>
                <c:pt idx="3">
                  <c:v>470458.61526328744</c:v>
                </c:pt>
                <c:pt idx="4">
                  <c:v>551238.40185229108</c:v>
                </c:pt>
                <c:pt idx="5">
                  <c:v>621369.53021456813</c:v>
                </c:pt>
                <c:pt idx="6">
                  <c:v>682320.93416212313</c:v>
                </c:pt>
                <c:pt idx="7">
                  <c:v>735329.86392835062</c:v>
                </c:pt>
                <c:pt idx="8">
                  <c:v>781443.44106265297</c:v>
                </c:pt>
                <c:pt idx="9">
                  <c:v>821551.86522268457</c:v>
                </c:pt>
                <c:pt idx="10">
                  <c:v>856415.12424477958</c:v>
                </c:pt>
                <c:pt idx="11">
                  <c:v>886684.61116254725</c:v>
                </c:pt>
                <c:pt idx="12">
                  <c:v>912920.72098907013</c:v>
                </c:pt>
                <c:pt idx="13">
                  <c:v>935607.253438466</c:v>
                </c:pt>
                <c:pt idx="14">
                  <c:v>955163.26238462282</c:v>
                </c:pt>
                <c:pt idx="15">
                  <c:v>971952.85243747453</c:v>
                </c:pt>
                <c:pt idx="16">
                  <c:v>986293.31587235699</c:v>
                </c:pt>
                <c:pt idx="17">
                  <c:v>998461.92082203622</c:v>
                </c:pt>
                <c:pt idx="18">
                  <c:v>1008701.5979665397</c:v>
                </c:pt>
                <c:pt idx="19">
                  <c:v>1017225.7233983984</c:v>
                </c:pt>
                <c:pt idx="20">
                  <c:v>1024222.1565401531</c:v>
                </c:pt>
                <c:pt idx="21">
                  <c:v>1029856.6614397548</c:v>
                </c:pt>
                <c:pt idx="22">
                  <c:v>1034275.8155834542</c:v>
                </c:pt>
                <c:pt idx="23">
                  <c:v>1037609.4911199291</c:v>
                </c:pt>
                <c:pt idx="24">
                  <c:v>1039972.9779989794</c:v>
                </c:pt>
                <c:pt idx="25">
                  <c:v>1041468.8061629091</c:v>
                </c:pt>
                <c:pt idx="26">
                  <c:v>1042188.3139489595</c:v>
                </c:pt>
                <c:pt idx="27">
                  <c:v>1042213.0017719698</c:v>
                </c:pt>
                <c:pt idx="28">
                  <c:v>1041615.7035724644</c:v>
                </c:pt>
                <c:pt idx="29">
                  <c:v>1040461.6031350964</c:v>
                </c:pt>
                <c:pt idx="30">
                  <c:v>1038809.1179690239</c:v>
                </c:pt>
                <c:pt idx="31">
                  <c:v>1036710.669808225</c:v>
                </c:pt>
                <c:pt idx="32">
                  <c:v>1034213.3577876764</c:v>
                </c:pt>
                <c:pt idx="33">
                  <c:v>1031359.5478624469</c:v>
                </c:pt>
                <c:pt idx="34">
                  <c:v>1028187.3899667513</c:v>
                </c:pt>
                <c:pt idx="35">
                  <c:v>933219.50848926988</c:v>
                </c:pt>
                <c:pt idx="36">
                  <c:v>880917.95766693447</c:v>
                </c:pt>
                <c:pt idx="37">
                  <c:v>831338.85314930137</c:v>
                </c:pt>
                <c:pt idx="38">
                  <c:v>785522.26095810602</c:v>
                </c:pt>
                <c:pt idx="39">
                  <c:v>743639.76069940359</c:v>
                </c:pt>
                <c:pt idx="40">
                  <c:v>705508.4138351829</c:v>
                </c:pt>
                <c:pt idx="41">
                  <c:v>670814.37853000883</c:v>
                </c:pt>
                <c:pt idx="42">
                  <c:v>639211.68487958203</c:v>
                </c:pt>
                <c:pt idx="43">
                  <c:v>610365.04802890634</c:v>
                </c:pt>
                <c:pt idx="44">
                  <c:v>583966.95838628535</c:v>
                </c:pt>
                <c:pt idx="45">
                  <c:v>559742.87360790663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064-402E-95E0-576194497B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7046032"/>
        <c:axId val="1637043632"/>
      </c:scatterChart>
      <c:valAx>
        <c:axId val="16370460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637043632"/>
        <c:crosses val="autoZero"/>
        <c:crossBetween val="midCat"/>
      </c:valAx>
      <c:valAx>
        <c:axId val="1637043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&quot;£&quot;* #\ ##0_-;\-&quot;£&quot;* #\ ##0_-;_-&quot;£&quot;* &quot;-&quot;??_-;_-@_-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6370460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'H08'!$B$2</c:f>
              <c:strCache>
                <c:ptCount val="1"/>
                <c:pt idx="0">
                  <c:v>Revenue (millions of USD)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wer"/>
            <c:dispRSqr val="0"/>
            <c:dispEq val="1"/>
            <c:trendlineLbl>
              <c:layout>
                <c:manualLayout>
                  <c:x val="0.17948762054460707"/>
                  <c:y val="5.827209098862646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l-PL"/>
                </a:p>
              </c:txPr>
            </c:trendlineLbl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l-PL"/>
                </a:p>
              </c:txPr>
            </c:trendlineLbl>
          </c:trendline>
          <c:xVal>
            <c:numRef>
              <c:f>'H08'!$A$3:$A$8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'H08'!$B$3:$B$8</c:f>
              <c:numCache>
                <c:formatCode>0.00</c:formatCode>
                <c:ptCount val="6"/>
                <c:pt idx="0">
                  <c:v>218.6</c:v>
                </c:pt>
                <c:pt idx="1">
                  <c:v>435</c:v>
                </c:pt>
                <c:pt idx="2">
                  <c:v>915</c:v>
                </c:pt>
                <c:pt idx="3">
                  <c:v>1825.9</c:v>
                </c:pt>
                <c:pt idx="4">
                  <c:v>4021.8</c:v>
                </c:pt>
                <c:pt idx="5">
                  <c:v>3582.1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7B7-4E99-8FD4-D5ED24E408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7034032"/>
        <c:axId val="1637039312"/>
      </c:scatterChart>
      <c:valAx>
        <c:axId val="16370340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Number</a:t>
                </a:r>
                <a:r>
                  <a:rPr lang="pl-PL" baseline="0"/>
                  <a:t> Year</a:t>
                </a:r>
                <a:endParaRPr lang="pl-PL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637039312"/>
        <c:crosses val="autoZero"/>
        <c:crossBetween val="midCat"/>
      </c:valAx>
      <c:valAx>
        <c:axId val="1637039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Revenue (millions of USD)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6370340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chart" Target="../charts/chart2.xml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chart" Target="../charts/chart3.xml"/><Relationship Id="rId1" Type="http://schemas.openxmlformats.org/officeDocument/2006/relationships/image" Target="../media/image8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image" Target="../media/image11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chart" Target="../charts/chart6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png"/><Relationship Id="rId1" Type="http://schemas.openxmlformats.org/officeDocument/2006/relationships/image" Target="../media/image27.pn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30.png"/><Relationship Id="rId1" Type="http://schemas.openxmlformats.org/officeDocument/2006/relationships/image" Target="../media/image29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35.png"/><Relationship Id="rId1" Type="http://schemas.openxmlformats.org/officeDocument/2006/relationships/image" Target="../media/image34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7.png"/><Relationship Id="rId1" Type="http://schemas.openxmlformats.org/officeDocument/2006/relationships/image" Target="../media/image36.pn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0.png"/><Relationship Id="rId2" Type="http://schemas.openxmlformats.org/officeDocument/2006/relationships/image" Target="../media/image39.png"/><Relationship Id="rId1" Type="http://schemas.openxmlformats.org/officeDocument/2006/relationships/image" Target="../media/image38.png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2.png"/><Relationship Id="rId1" Type="http://schemas.openxmlformats.org/officeDocument/2006/relationships/image" Target="../media/image41.png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4.png"/><Relationship Id="rId1" Type="http://schemas.openxmlformats.org/officeDocument/2006/relationships/image" Target="../media/image43.png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6.png"/><Relationship Id="rId1" Type="http://schemas.openxmlformats.org/officeDocument/2006/relationships/image" Target="../media/image45.png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48.png"/><Relationship Id="rId1" Type="http://schemas.openxmlformats.org/officeDocument/2006/relationships/image" Target="../media/image47.png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1.png"/><Relationship Id="rId2" Type="http://schemas.openxmlformats.org/officeDocument/2006/relationships/image" Target="../media/image50.png"/><Relationship Id="rId1" Type="http://schemas.openxmlformats.org/officeDocument/2006/relationships/image" Target="../media/image49.png"/><Relationship Id="rId4" Type="http://schemas.openxmlformats.org/officeDocument/2006/relationships/image" Target="../media/image52.png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54.png"/><Relationship Id="rId1" Type="http://schemas.openxmlformats.org/officeDocument/2006/relationships/image" Target="../media/image5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0</xdr:row>
      <xdr:rowOff>1</xdr:rowOff>
    </xdr:from>
    <xdr:to>
      <xdr:col>13</xdr:col>
      <xdr:colOff>323850</xdr:colOff>
      <xdr:row>9</xdr:row>
      <xdr:rowOff>163906</xdr:rowOff>
    </xdr:to>
    <xdr:pic>
      <xdr:nvPicPr>
        <xdr:cNvPr id="2" name="Obraz 1">
          <a:extLst>
            <a:ext uri="{FF2B5EF4-FFF2-40B4-BE49-F238E27FC236}">
              <a16:creationId xmlns:a16="http://schemas.microsoft.com/office/drawing/2014/main" id="{EDC41829-AEE2-CB38-80A4-4D4D61FF0F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67325" y="1"/>
          <a:ext cx="4591050" cy="1926030"/>
        </a:xfrm>
        <a:prstGeom prst="rect">
          <a:avLst/>
        </a:prstGeom>
      </xdr:spPr>
    </xdr:pic>
    <xdr:clientData/>
  </xdr:twoCellAnchor>
  <xdr:twoCellAnchor editAs="oneCell">
    <xdr:from>
      <xdr:col>5</xdr:col>
      <xdr:colOff>603251</xdr:colOff>
      <xdr:row>11</xdr:row>
      <xdr:rowOff>6350</xdr:rowOff>
    </xdr:from>
    <xdr:to>
      <xdr:col>13</xdr:col>
      <xdr:colOff>501651</xdr:colOff>
      <xdr:row>20</xdr:row>
      <xdr:rowOff>27531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57F28BC-A7C5-B514-944F-5AD8DC4229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97501" y="2076450"/>
          <a:ext cx="4775200" cy="167853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609599</xdr:colOff>
      <xdr:row>1</xdr:row>
      <xdr:rowOff>0</xdr:rowOff>
    </xdr:from>
    <xdr:to>
      <xdr:col>15</xdr:col>
      <xdr:colOff>0</xdr:colOff>
      <xdr:row>16</xdr:row>
      <xdr:rowOff>1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2189728E-523F-4D3F-6E51-0F8E83F1AB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7</xdr:col>
      <xdr:colOff>0</xdr:colOff>
      <xdr:row>18</xdr:row>
      <xdr:rowOff>0</xdr:rowOff>
    </xdr:from>
    <xdr:to>
      <xdr:col>14</xdr:col>
      <xdr:colOff>323850</xdr:colOff>
      <xdr:row>32</xdr:row>
      <xdr:rowOff>59485</xdr:rowOff>
    </xdr:to>
    <xdr:pic>
      <xdr:nvPicPr>
        <xdr:cNvPr id="3" name="Obraz 2">
          <a:extLst>
            <a:ext uri="{FF2B5EF4-FFF2-40B4-BE49-F238E27FC236}">
              <a16:creationId xmlns:a16="http://schemas.microsoft.com/office/drawing/2014/main" id="{0437D844-C4C7-BC8F-EBF9-9ED08E761B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62575" y="3476625"/>
          <a:ext cx="4591050" cy="272648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132773</xdr:colOff>
      <xdr:row>0</xdr:row>
      <xdr:rowOff>0</xdr:rowOff>
    </xdr:from>
    <xdr:to>
      <xdr:col>20</xdr:col>
      <xdr:colOff>301813</xdr:colOff>
      <xdr:row>14</xdr:row>
      <xdr:rowOff>101682</xdr:rowOff>
    </xdr:to>
    <xdr:pic>
      <xdr:nvPicPr>
        <xdr:cNvPr id="2" name="Obraz 1">
          <a:extLst>
            <a:ext uri="{FF2B5EF4-FFF2-40B4-BE49-F238E27FC236}">
              <a16:creationId xmlns:a16="http://schemas.microsoft.com/office/drawing/2014/main" id="{520C1CA8-7B6E-03FD-5306-7279F86F1C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835573" y="0"/>
          <a:ext cx="5045840" cy="2755982"/>
        </a:xfrm>
        <a:prstGeom prst="rect">
          <a:avLst/>
        </a:prstGeom>
      </xdr:spPr>
    </xdr:pic>
    <xdr:clientData/>
  </xdr:twoCellAnchor>
  <xdr:twoCellAnchor>
    <xdr:from>
      <xdr:col>4</xdr:col>
      <xdr:colOff>36945</xdr:colOff>
      <xdr:row>17</xdr:row>
      <xdr:rowOff>10103</xdr:rowOff>
    </xdr:from>
    <xdr:to>
      <xdr:col>10</xdr:col>
      <xdr:colOff>171161</xdr:colOff>
      <xdr:row>30</xdr:row>
      <xdr:rowOff>106795</xdr:rowOff>
    </xdr:to>
    <xdr:graphicFrame macro="">
      <xdr:nvGraphicFramePr>
        <xdr:cNvPr id="3" name="Wykres 2">
          <a:extLst>
            <a:ext uri="{FF2B5EF4-FFF2-40B4-BE49-F238E27FC236}">
              <a16:creationId xmlns:a16="http://schemas.microsoft.com/office/drawing/2014/main" id="{CF6C555E-7C38-19CF-AE41-FD697F6A5F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12</xdr:col>
      <xdr:colOff>122383</xdr:colOff>
      <xdr:row>14</xdr:row>
      <xdr:rowOff>171450</xdr:rowOff>
    </xdr:from>
    <xdr:to>
      <xdr:col>21</xdr:col>
      <xdr:colOff>257062</xdr:colOff>
      <xdr:row>30</xdr:row>
      <xdr:rowOff>126186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B126C0C-9B5F-A9CF-2EC2-7EA541405B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825183" y="2825750"/>
          <a:ext cx="5621079" cy="290113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58698</xdr:colOff>
      <xdr:row>10</xdr:row>
      <xdr:rowOff>38101</xdr:rowOff>
    </xdr:from>
    <xdr:to>
      <xdr:col>26</xdr:col>
      <xdr:colOff>220124</xdr:colOff>
      <xdr:row>26</xdr:row>
      <xdr:rowOff>142875</xdr:rowOff>
    </xdr:to>
    <xdr:pic>
      <xdr:nvPicPr>
        <xdr:cNvPr id="2" name="Obraz 1">
          <a:extLst>
            <a:ext uri="{FF2B5EF4-FFF2-40B4-BE49-F238E27FC236}">
              <a16:creationId xmlns:a16="http://schemas.microsoft.com/office/drawing/2014/main" id="{598EAD4D-BB06-6974-BD79-144CB71F3D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050673" y="1943101"/>
          <a:ext cx="5647826" cy="3152774"/>
        </a:xfrm>
        <a:prstGeom prst="rect">
          <a:avLst/>
        </a:prstGeom>
      </xdr:spPr>
    </xdr:pic>
    <xdr:clientData/>
  </xdr:twoCellAnchor>
  <xdr:twoCellAnchor editAs="oneCell">
    <xdr:from>
      <xdr:col>11</xdr:col>
      <xdr:colOff>28574</xdr:colOff>
      <xdr:row>2</xdr:row>
      <xdr:rowOff>76201</xdr:rowOff>
    </xdr:from>
    <xdr:to>
      <xdr:col>22</xdr:col>
      <xdr:colOff>401603</xdr:colOff>
      <xdr:row>9</xdr:row>
      <xdr:rowOff>44227</xdr:rowOff>
    </xdr:to>
    <xdr:pic>
      <xdr:nvPicPr>
        <xdr:cNvPr id="3" name="Obraz 2">
          <a:extLst>
            <a:ext uri="{FF2B5EF4-FFF2-40B4-BE49-F238E27FC236}">
              <a16:creationId xmlns:a16="http://schemas.microsoft.com/office/drawing/2014/main" id="{52A2DD68-6459-E563-5A18-00BA395701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77149" y="457201"/>
          <a:ext cx="8050179" cy="1301526"/>
        </a:xfrm>
        <a:prstGeom prst="rect">
          <a:avLst/>
        </a:prstGeom>
      </xdr:spPr>
    </xdr:pic>
    <xdr:clientData/>
  </xdr:twoCellAnchor>
  <xdr:oneCellAnchor>
    <xdr:from>
      <xdr:col>2</xdr:col>
      <xdr:colOff>390525</xdr:colOff>
      <xdr:row>0</xdr:row>
      <xdr:rowOff>76200</xdr:rowOff>
    </xdr:from>
    <xdr:ext cx="184731" cy="264560"/>
    <xdr:sp macro="" textlink="">
      <xdr:nvSpPr>
        <xdr:cNvPr id="4" name="pole tekstowe 3">
          <a:extLst>
            <a:ext uri="{FF2B5EF4-FFF2-40B4-BE49-F238E27FC236}">
              <a16:creationId xmlns:a16="http://schemas.microsoft.com/office/drawing/2014/main" id="{F33B019E-C93B-A6C6-3E94-46E2135E10FD}"/>
            </a:ext>
          </a:extLst>
        </xdr:cNvPr>
        <xdr:cNvSpPr txBox="1"/>
      </xdr:nvSpPr>
      <xdr:spPr>
        <a:xfrm>
          <a:off x="2209800" y="762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pl-PL" sz="1100"/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596900</xdr:colOff>
      <xdr:row>0</xdr:row>
      <xdr:rowOff>0</xdr:rowOff>
    </xdr:from>
    <xdr:to>
      <xdr:col>23</xdr:col>
      <xdr:colOff>6351</xdr:colOff>
      <xdr:row>6</xdr:row>
      <xdr:rowOff>44663</xdr:rowOff>
    </xdr:to>
    <xdr:pic>
      <xdr:nvPicPr>
        <xdr:cNvPr id="2" name="Obraz 1">
          <a:extLst>
            <a:ext uri="{FF2B5EF4-FFF2-40B4-BE49-F238E27FC236}">
              <a16:creationId xmlns:a16="http://schemas.microsoft.com/office/drawing/2014/main" id="{D159C9AE-516F-0509-5766-2A7708DB9C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07550" y="0"/>
          <a:ext cx="6115051" cy="1194013"/>
        </a:xfrm>
        <a:prstGeom prst="rect">
          <a:avLst/>
        </a:prstGeom>
      </xdr:spPr>
    </xdr:pic>
    <xdr:clientData/>
  </xdr:twoCellAnchor>
  <xdr:twoCellAnchor>
    <xdr:from>
      <xdr:col>5</xdr:col>
      <xdr:colOff>53975</xdr:colOff>
      <xdr:row>8</xdr:row>
      <xdr:rowOff>28575</xdr:rowOff>
    </xdr:from>
    <xdr:to>
      <xdr:col>12</xdr:col>
      <xdr:colOff>358775</xdr:colOff>
      <xdr:row>22</xdr:row>
      <xdr:rowOff>85725</xdr:rowOff>
    </xdr:to>
    <xdr:graphicFrame macro="">
      <xdr:nvGraphicFramePr>
        <xdr:cNvPr id="3" name="Wykres 2">
          <a:extLst>
            <a:ext uri="{FF2B5EF4-FFF2-40B4-BE49-F238E27FC236}">
              <a16:creationId xmlns:a16="http://schemas.microsoft.com/office/drawing/2014/main" id="{33A6B7BD-612C-610A-F871-1FD871735D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13</xdr:col>
      <xdr:colOff>31750</xdr:colOff>
      <xdr:row>8</xdr:row>
      <xdr:rowOff>12700</xdr:rowOff>
    </xdr:from>
    <xdr:to>
      <xdr:col>23</xdr:col>
      <xdr:colOff>23922</xdr:colOff>
      <xdr:row>14</xdr:row>
      <xdr:rowOff>184149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0238A67-BF3A-9D83-698D-6C29B1C66F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652000" y="1530350"/>
          <a:ext cx="6088172" cy="128269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40823</xdr:colOff>
      <xdr:row>11</xdr:row>
      <xdr:rowOff>55073</xdr:rowOff>
    </xdr:from>
    <xdr:to>
      <xdr:col>13</xdr:col>
      <xdr:colOff>347870</xdr:colOff>
      <xdr:row>19</xdr:row>
      <xdr:rowOff>20700</xdr:rowOff>
    </xdr:to>
    <xdr:pic>
      <xdr:nvPicPr>
        <xdr:cNvPr id="2" name="Obraz 1">
          <a:extLst>
            <a:ext uri="{FF2B5EF4-FFF2-40B4-BE49-F238E27FC236}">
              <a16:creationId xmlns:a16="http://schemas.microsoft.com/office/drawing/2014/main" id="{8E8828F6-6EE8-A078-9BDE-910D5A4D5D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66171" y="2241682"/>
          <a:ext cx="6080025" cy="150619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12463</xdr:colOff>
      <xdr:row>17</xdr:row>
      <xdr:rowOff>173935</xdr:rowOff>
    </xdr:from>
    <xdr:to>
      <xdr:col>12</xdr:col>
      <xdr:colOff>853109</xdr:colOff>
      <xdr:row>36</xdr:row>
      <xdr:rowOff>115582</xdr:rowOff>
    </xdr:to>
    <xdr:pic>
      <xdr:nvPicPr>
        <xdr:cNvPr id="2" name="Obraz 1">
          <a:extLst>
            <a:ext uri="{FF2B5EF4-FFF2-40B4-BE49-F238E27FC236}">
              <a16:creationId xmlns:a16="http://schemas.microsoft.com/office/drawing/2014/main" id="{2C00A012-9B2F-7BA9-7E83-AB8DF7C386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54876" y="3412435"/>
          <a:ext cx="3872081" cy="3585995"/>
        </a:xfrm>
        <a:prstGeom prst="rect">
          <a:avLst/>
        </a:prstGeom>
      </xdr:spPr>
    </xdr:pic>
    <xdr:clientData/>
  </xdr:twoCellAnchor>
  <xdr:twoCellAnchor>
    <xdr:from>
      <xdr:col>6</xdr:col>
      <xdr:colOff>79655</xdr:colOff>
      <xdr:row>0</xdr:row>
      <xdr:rowOff>49725</xdr:rowOff>
    </xdr:from>
    <xdr:to>
      <xdr:col>14</xdr:col>
      <xdr:colOff>308256</xdr:colOff>
      <xdr:row>17</xdr:row>
      <xdr:rowOff>25912</xdr:rowOff>
    </xdr:to>
    <xdr:graphicFrame macro="">
      <xdr:nvGraphicFramePr>
        <xdr:cNvPr id="3" name="Wykres 2">
          <a:extLst>
            <a:ext uri="{FF2B5EF4-FFF2-40B4-BE49-F238E27FC236}">
              <a16:creationId xmlns:a16="http://schemas.microsoft.com/office/drawing/2014/main" id="{21C5DA0B-83FD-E327-2855-E48454A091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1</xdr:colOff>
      <xdr:row>37</xdr:row>
      <xdr:rowOff>3314</xdr:rowOff>
    </xdr:from>
    <xdr:to>
      <xdr:col>16</xdr:col>
      <xdr:colOff>604630</xdr:colOff>
      <xdr:row>51</xdr:row>
      <xdr:rowOff>182217</xdr:rowOff>
    </xdr:to>
    <xdr:graphicFrame macro="">
      <xdr:nvGraphicFramePr>
        <xdr:cNvPr id="4" name="Wykres 3">
          <a:extLst>
            <a:ext uri="{FF2B5EF4-FFF2-40B4-BE49-F238E27FC236}">
              <a16:creationId xmlns:a16="http://schemas.microsoft.com/office/drawing/2014/main" id="{261A2A90-7D98-80F1-DA50-123FBCFAD6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9525</xdr:colOff>
      <xdr:row>2</xdr:row>
      <xdr:rowOff>4762</xdr:rowOff>
    </xdr:from>
    <xdr:to>
      <xdr:col>18</xdr:col>
      <xdr:colOff>428625</xdr:colOff>
      <xdr:row>18</xdr:row>
      <xdr:rowOff>0</xdr:rowOff>
    </xdr:to>
    <xdr:graphicFrame macro="">
      <xdr:nvGraphicFramePr>
        <xdr:cNvPr id="5" name="Wykres 4">
          <a:extLst>
            <a:ext uri="{FF2B5EF4-FFF2-40B4-BE49-F238E27FC236}">
              <a16:creationId xmlns:a16="http://schemas.microsoft.com/office/drawing/2014/main" id="{BCAE1663-D08A-03EC-22F2-6F34366A7E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1</xdr:colOff>
      <xdr:row>11</xdr:row>
      <xdr:rowOff>5217</xdr:rowOff>
    </xdr:from>
    <xdr:to>
      <xdr:col>7</xdr:col>
      <xdr:colOff>733425</xdr:colOff>
      <xdr:row>25</xdr:row>
      <xdr:rowOff>143330</xdr:rowOff>
    </xdr:to>
    <xdr:pic>
      <xdr:nvPicPr>
        <xdr:cNvPr id="6" name="Obraz 5">
          <a:extLst>
            <a:ext uri="{FF2B5EF4-FFF2-40B4-BE49-F238E27FC236}">
              <a16:creationId xmlns:a16="http://schemas.microsoft.com/office/drawing/2014/main" id="{54924E21-5B5F-3A74-BF79-972A183473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2291217"/>
          <a:ext cx="6600824" cy="2805113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44449</xdr:colOff>
      <xdr:row>0</xdr:row>
      <xdr:rowOff>0</xdr:rowOff>
    </xdr:from>
    <xdr:to>
      <xdr:col>20</xdr:col>
      <xdr:colOff>98424</xdr:colOff>
      <xdr:row>12</xdr:row>
      <xdr:rowOff>157107</xdr:rowOff>
    </xdr:to>
    <xdr:pic>
      <xdr:nvPicPr>
        <xdr:cNvPr id="3" name="Obraz 2">
          <a:extLst>
            <a:ext uri="{FF2B5EF4-FFF2-40B4-BE49-F238E27FC236}">
              <a16:creationId xmlns:a16="http://schemas.microsoft.com/office/drawing/2014/main" id="{C490B3E7-CFAF-9CA8-7333-7D8390378D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78899" y="0"/>
          <a:ext cx="5540375" cy="2443107"/>
        </a:xfrm>
        <a:prstGeom prst="rect">
          <a:avLst/>
        </a:prstGeom>
      </xdr:spPr>
    </xdr:pic>
    <xdr:clientData/>
  </xdr:twoCellAnchor>
  <xdr:twoCellAnchor editAs="oneCell">
    <xdr:from>
      <xdr:col>11</xdr:col>
      <xdr:colOff>33992</xdr:colOff>
      <xdr:row>13</xdr:row>
      <xdr:rowOff>171450</xdr:rowOff>
    </xdr:from>
    <xdr:to>
      <xdr:col>21</xdr:col>
      <xdr:colOff>123972</xdr:colOff>
      <xdr:row>30</xdr:row>
      <xdr:rowOff>31750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378423D-15DB-DCE7-9200-2801AEACD5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68442" y="2641600"/>
          <a:ext cx="6185980" cy="299085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317500</xdr:colOff>
      <xdr:row>11</xdr:row>
      <xdr:rowOff>50800</xdr:rowOff>
    </xdr:from>
    <xdr:to>
      <xdr:col>11</xdr:col>
      <xdr:colOff>457200</xdr:colOff>
      <xdr:row>14</xdr:row>
      <xdr:rowOff>76200</xdr:rowOff>
    </xdr:to>
    <xdr:sp macro="" textlink="">
      <xdr:nvSpPr>
        <xdr:cNvPr id="2" name="Alternate Process 1">
          <a:extLst>
            <a:ext uri="{FF2B5EF4-FFF2-40B4-BE49-F238E27FC236}">
              <a16:creationId xmlns:a16="http://schemas.microsoft.com/office/drawing/2014/main" id="{C0E107A2-413B-4C75-89B6-8BD8D748C5C7}"/>
            </a:ext>
          </a:extLst>
        </xdr:cNvPr>
        <xdr:cNvSpPr/>
      </xdr:nvSpPr>
      <xdr:spPr>
        <a:xfrm>
          <a:off x="8489950" y="2374900"/>
          <a:ext cx="1797050" cy="625475"/>
        </a:xfrm>
        <a:prstGeom prst="flowChartAlternate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/>
            <a:t>Insert 0 or 1 here:</a:t>
          </a:r>
        </a:p>
        <a:p>
          <a:pPr algn="l"/>
          <a:endParaRPr lang="en-US" sz="1100"/>
        </a:p>
      </xdr:txBody>
    </xdr:sp>
    <xdr:clientData/>
  </xdr:twoCellAnchor>
  <xdr:twoCellAnchor>
    <xdr:from>
      <xdr:col>14</xdr:col>
      <xdr:colOff>757766</xdr:colOff>
      <xdr:row>4</xdr:row>
      <xdr:rowOff>84667</xdr:rowOff>
    </xdr:from>
    <xdr:to>
      <xdr:col>16</xdr:col>
      <xdr:colOff>275167</xdr:colOff>
      <xdr:row>8</xdr:row>
      <xdr:rowOff>169334</xdr:rowOff>
    </xdr:to>
    <xdr:sp macro="" textlink="">
      <xdr:nvSpPr>
        <xdr:cNvPr id="3" name="Alternate Process 5">
          <a:extLst>
            <a:ext uri="{FF2B5EF4-FFF2-40B4-BE49-F238E27FC236}">
              <a16:creationId xmlns:a16="http://schemas.microsoft.com/office/drawing/2014/main" id="{07438E1C-9989-43AF-A7A2-FD35A2C7F26B}"/>
            </a:ext>
          </a:extLst>
        </xdr:cNvPr>
        <xdr:cNvSpPr/>
      </xdr:nvSpPr>
      <xdr:spPr>
        <a:xfrm>
          <a:off x="15321491" y="1008592"/>
          <a:ext cx="1689101" cy="884767"/>
        </a:xfrm>
        <a:prstGeom prst="flowChartAlternate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/>
            <a:t>Insert</a:t>
          </a:r>
          <a:r>
            <a:rPr lang="en-US" sz="1400" baseline="0"/>
            <a:t>  Discount Rate Reduction </a:t>
          </a:r>
        </a:p>
        <a:p>
          <a:pPr algn="ctr"/>
          <a:r>
            <a:rPr lang="en-US" sz="1400" baseline="0"/>
            <a:t>Here:</a:t>
          </a:r>
          <a:endParaRPr lang="en-US" sz="1400"/>
        </a:p>
        <a:p>
          <a:pPr algn="l"/>
          <a:endParaRPr lang="en-US" sz="1100"/>
        </a:p>
      </xdr:txBody>
    </xdr:sp>
    <xdr:clientData/>
  </xdr:twoCellAnchor>
  <xdr:twoCellAnchor>
    <xdr:from>
      <xdr:col>14</xdr:col>
      <xdr:colOff>203200</xdr:colOff>
      <xdr:row>5</xdr:row>
      <xdr:rowOff>177800</xdr:rowOff>
    </xdr:from>
    <xdr:to>
      <xdr:col>14</xdr:col>
      <xdr:colOff>711200</xdr:colOff>
      <xdr:row>7</xdr:row>
      <xdr:rowOff>50800</xdr:rowOff>
    </xdr:to>
    <xdr:sp macro="" textlink="">
      <xdr:nvSpPr>
        <xdr:cNvPr id="4" name="Left Arrow 6">
          <a:extLst>
            <a:ext uri="{FF2B5EF4-FFF2-40B4-BE49-F238E27FC236}">
              <a16:creationId xmlns:a16="http://schemas.microsoft.com/office/drawing/2014/main" id="{97B96331-E382-4FD3-9F59-9A03E8B7CC42}"/>
            </a:ext>
          </a:extLst>
        </xdr:cNvPr>
        <xdr:cNvSpPr/>
      </xdr:nvSpPr>
      <xdr:spPr>
        <a:xfrm>
          <a:off x="14766925" y="1301750"/>
          <a:ext cx="508000" cy="273050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444500</xdr:colOff>
      <xdr:row>14</xdr:row>
      <xdr:rowOff>127000</xdr:rowOff>
    </xdr:from>
    <xdr:to>
      <xdr:col>10</xdr:col>
      <xdr:colOff>787400</xdr:colOff>
      <xdr:row>16</xdr:row>
      <xdr:rowOff>127000</xdr:rowOff>
    </xdr:to>
    <xdr:sp macro="" textlink="">
      <xdr:nvSpPr>
        <xdr:cNvPr id="5" name="Down Arrow 7">
          <a:extLst>
            <a:ext uri="{FF2B5EF4-FFF2-40B4-BE49-F238E27FC236}">
              <a16:creationId xmlns:a16="http://schemas.microsoft.com/office/drawing/2014/main" id="{FA8478B8-36AA-45FD-B934-D5B597B20450}"/>
            </a:ext>
          </a:extLst>
        </xdr:cNvPr>
        <xdr:cNvSpPr/>
      </xdr:nvSpPr>
      <xdr:spPr>
        <a:xfrm>
          <a:off x="9159875" y="3051175"/>
          <a:ext cx="342900" cy="40957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5415</xdr:colOff>
      <xdr:row>0</xdr:row>
      <xdr:rowOff>1</xdr:rowOff>
    </xdr:from>
    <xdr:to>
      <xdr:col>13</xdr:col>
      <xdr:colOff>387570</xdr:colOff>
      <xdr:row>8</xdr:row>
      <xdr:rowOff>21859</xdr:rowOff>
    </xdr:to>
    <xdr:pic>
      <xdr:nvPicPr>
        <xdr:cNvPr id="2" name="Obraz 1">
          <a:extLst>
            <a:ext uri="{FF2B5EF4-FFF2-40B4-BE49-F238E27FC236}">
              <a16:creationId xmlns:a16="http://schemas.microsoft.com/office/drawing/2014/main" id="{8CF481FF-09D5-F901-7E60-0810BD1F8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38656" y="1"/>
          <a:ext cx="4047638" cy="1545858"/>
        </a:xfrm>
        <a:prstGeom prst="rect">
          <a:avLst/>
        </a:prstGeom>
      </xdr:spPr>
    </xdr:pic>
    <xdr:clientData/>
  </xdr:twoCellAnchor>
  <xdr:twoCellAnchor editAs="oneCell">
    <xdr:from>
      <xdr:col>10</xdr:col>
      <xdr:colOff>227134</xdr:colOff>
      <xdr:row>10</xdr:row>
      <xdr:rowOff>70721</xdr:rowOff>
    </xdr:from>
    <xdr:to>
      <xdr:col>14</xdr:col>
      <xdr:colOff>479753</xdr:colOff>
      <xdr:row>25</xdr:row>
      <xdr:rowOff>40037</xdr:rowOff>
    </xdr:to>
    <xdr:pic>
      <xdr:nvPicPr>
        <xdr:cNvPr id="3" name="Obraz 2">
          <a:extLst>
            <a:ext uri="{FF2B5EF4-FFF2-40B4-BE49-F238E27FC236}">
              <a16:creationId xmlns:a16="http://schemas.microsoft.com/office/drawing/2014/main" id="{76B071CB-83F6-C818-3AE8-727334239C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869115" y="1975721"/>
          <a:ext cx="2685157" cy="2826816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70597</xdr:colOff>
      <xdr:row>0</xdr:row>
      <xdr:rowOff>0</xdr:rowOff>
    </xdr:from>
    <xdr:to>
      <xdr:col>20</xdr:col>
      <xdr:colOff>142678</xdr:colOff>
      <xdr:row>12</xdr:row>
      <xdr:rowOff>126229</xdr:rowOff>
    </xdr:to>
    <xdr:pic>
      <xdr:nvPicPr>
        <xdr:cNvPr id="2" name="Obraz 1">
          <a:extLst>
            <a:ext uri="{FF2B5EF4-FFF2-40B4-BE49-F238E27FC236}">
              <a16:creationId xmlns:a16="http://schemas.microsoft.com/office/drawing/2014/main" id="{046564BF-3600-B068-82A6-0A9D9ED236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85772" y="0"/>
          <a:ext cx="6168081" cy="2412229"/>
        </a:xfrm>
        <a:prstGeom prst="rect">
          <a:avLst/>
        </a:prstGeom>
      </xdr:spPr>
    </xdr:pic>
    <xdr:clientData/>
  </xdr:twoCellAnchor>
  <xdr:twoCellAnchor editAs="oneCell">
    <xdr:from>
      <xdr:col>10</xdr:col>
      <xdr:colOff>65162</xdr:colOff>
      <xdr:row>14</xdr:row>
      <xdr:rowOff>50801</xdr:rowOff>
    </xdr:from>
    <xdr:to>
      <xdr:col>20</xdr:col>
      <xdr:colOff>52385</xdr:colOff>
      <xdr:row>27</xdr:row>
      <xdr:rowOff>152401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1BBAC80-C9EC-5F13-DB10-95EDA499DD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34612" y="2628901"/>
          <a:ext cx="6083223" cy="249555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49696</xdr:colOff>
      <xdr:row>0</xdr:row>
      <xdr:rowOff>0</xdr:rowOff>
    </xdr:from>
    <xdr:to>
      <xdr:col>17</xdr:col>
      <xdr:colOff>305721</xdr:colOff>
      <xdr:row>16</xdr:row>
      <xdr:rowOff>174793</xdr:rowOff>
    </xdr:to>
    <xdr:pic>
      <xdr:nvPicPr>
        <xdr:cNvPr id="2" name="Obraz 1">
          <a:extLst>
            <a:ext uri="{FF2B5EF4-FFF2-40B4-BE49-F238E27FC236}">
              <a16:creationId xmlns:a16="http://schemas.microsoft.com/office/drawing/2014/main" id="{DD6B433D-8A04-2972-8149-3A9675101B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26087" y="0"/>
          <a:ext cx="6294047" cy="3222793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171450</xdr:colOff>
      <xdr:row>0</xdr:row>
      <xdr:rowOff>0</xdr:rowOff>
    </xdr:from>
    <xdr:to>
      <xdr:col>26</xdr:col>
      <xdr:colOff>48632</xdr:colOff>
      <xdr:row>18</xdr:row>
      <xdr:rowOff>92084</xdr:rowOff>
    </xdr:to>
    <xdr:pic>
      <xdr:nvPicPr>
        <xdr:cNvPr id="2" name="Obraz 1">
          <a:extLst>
            <a:ext uri="{FF2B5EF4-FFF2-40B4-BE49-F238E27FC236}">
              <a16:creationId xmlns:a16="http://schemas.microsoft.com/office/drawing/2014/main" id="{D1F11DC9-575C-530E-1829-AFF1F6CCA9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649200" y="0"/>
          <a:ext cx="4144382" cy="3521084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</xdr:colOff>
      <xdr:row>0</xdr:row>
      <xdr:rowOff>1</xdr:rowOff>
    </xdr:from>
    <xdr:to>
      <xdr:col>13</xdr:col>
      <xdr:colOff>381001</xdr:colOff>
      <xdr:row>15</xdr:row>
      <xdr:rowOff>134385</xdr:rowOff>
    </xdr:to>
    <xdr:pic>
      <xdr:nvPicPr>
        <xdr:cNvPr id="2" name="Obraz 1">
          <a:extLst>
            <a:ext uri="{FF2B5EF4-FFF2-40B4-BE49-F238E27FC236}">
              <a16:creationId xmlns:a16="http://schemas.microsoft.com/office/drawing/2014/main" id="{64F3F24E-3613-4924-BECD-055F77450F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72076" y="1"/>
          <a:ext cx="4648200" cy="2991884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546100</xdr:colOff>
      <xdr:row>0</xdr:row>
      <xdr:rowOff>0</xdr:rowOff>
    </xdr:from>
    <xdr:to>
      <xdr:col>23</xdr:col>
      <xdr:colOff>250825</xdr:colOff>
      <xdr:row>11</xdr:row>
      <xdr:rowOff>17487</xdr:rowOff>
    </xdr:to>
    <xdr:pic>
      <xdr:nvPicPr>
        <xdr:cNvPr id="4" name="Obraz 3">
          <a:extLst>
            <a:ext uri="{FF2B5EF4-FFF2-40B4-BE49-F238E27FC236}">
              <a16:creationId xmlns:a16="http://schemas.microsoft.com/office/drawing/2014/main" id="{D1571366-0D41-4DC7-B270-8BFC14FEF9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61600" y="0"/>
          <a:ext cx="5191125" cy="2119337"/>
        </a:xfrm>
        <a:prstGeom prst="rect">
          <a:avLst/>
        </a:prstGeom>
      </xdr:spPr>
    </xdr:pic>
    <xdr:clientData/>
  </xdr:twoCellAnchor>
  <xdr:twoCellAnchor editAs="oneCell">
    <xdr:from>
      <xdr:col>14</xdr:col>
      <xdr:colOff>590550</xdr:colOff>
      <xdr:row>11</xdr:row>
      <xdr:rowOff>177800</xdr:rowOff>
    </xdr:from>
    <xdr:to>
      <xdr:col>23</xdr:col>
      <xdr:colOff>209550</xdr:colOff>
      <xdr:row>22</xdr:row>
      <xdr:rowOff>169585</xdr:rowOff>
    </xdr:to>
    <xdr:pic>
      <xdr:nvPicPr>
        <xdr:cNvPr id="5" name="Obraz 4">
          <a:extLst>
            <a:ext uri="{FF2B5EF4-FFF2-40B4-BE49-F238E27FC236}">
              <a16:creationId xmlns:a16="http://schemas.microsoft.com/office/drawing/2014/main" id="{9FE61504-66AE-4059-A2AD-C99420D768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306050" y="2203450"/>
          <a:ext cx="5105400" cy="2017435"/>
        </a:xfrm>
        <a:prstGeom prst="rect">
          <a:avLst/>
        </a:prstGeom>
      </xdr:spPr>
    </xdr:pic>
    <xdr:clientData/>
  </xdr:twoCellAnchor>
  <xdr:twoCellAnchor editAs="oneCell">
    <xdr:from>
      <xdr:col>8</xdr:col>
      <xdr:colOff>285751</xdr:colOff>
      <xdr:row>0</xdr:row>
      <xdr:rowOff>45212</xdr:rowOff>
    </xdr:from>
    <xdr:to>
      <xdr:col>14</xdr:col>
      <xdr:colOff>431800</xdr:colOff>
      <xdr:row>14</xdr:row>
      <xdr:rowOff>115146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B148B7-E3F0-73AA-D497-A9D3176A13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343651" y="45212"/>
          <a:ext cx="3803649" cy="2724234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0</xdr:row>
      <xdr:rowOff>0</xdr:rowOff>
    </xdr:from>
    <xdr:to>
      <xdr:col>15</xdr:col>
      <xdr:colOff>581025</xdr:colOff>
      <xdr:row>13</xdr:row>
      <xdr:rowOff>165831</xdr:rowOff>
    </xdr:to>
    <xdr:pic>
      <xdr:nvPicPr>
        <xdr:cNvPr id="6" name="Obraz 5">
          <a:extLst>
            <a:ext uri="{FF2B5EF4-FFF2-40B4-BE49-F238E27FC236}">
              <a16:creationId xmlns:a16="http://schemas.microsoft.com/office/drawing/2014/main" id="{A3A5A5D8-ED71-467A-A227-9C64B9DB6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19900" y="0"/>
          <a:ext cx="4238625" cy="2642331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15</xdr:row>
      <xdr:rowOff>0</xdr:rowOff>
    </xdr:from>
    <xdr:to>
      <xdr:col>16</xdr:col>
      <xdr:colOff>6979</xdr:colOff>
      <xdr:row>27</xdr:row>
      <xdr:rowOff>95250</xdr:rowOff>
    </xdr:to>
    <xdr:pic>
      <xdr:nvPicPr>
        <xdr:cNvPr id="7" name="Obraz 6">
          <a:extLst>
            <a:ext uri="{FF2B5EF4-FFF2-40B4-BE49-F238E27FC236}">
              <a16:creationId xmlns:a16="http://schemas.microsoft.com/office/drawing/2014/main" id="{49462633-3AE7-4E76-AB2E-3A690CEC23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19900" y="2857500"/>
          <a:ext cx="4274179" cy="238125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0</xdr:row>
      <xdr:rowOff>0</xdr:rowOff>
    </xdr:from>
    <xdr:to>
      <xdr:col>18</xdr:col>
      <xdr:colOff>104775</xdr:colOff>
      <xdr:row>17</xdr:row>
      <xdr:rowOff>156366</xdr:rowOff>
    </xdr:to>
    <xdr:pic>
      <xdr:nvPicPr>
        <xdr:cNvPr id="4" name="Obraz 3">
          <a:extLst>
            <a:ext uri="{FF2B5EF4-FFF2-40B4-BE49-F238E27FC236}">
              <a16:creationId xmlns:a16="http://schemas.microsoft.com/office/drawing/2014/main" id="{978E71B7-4019-4CD5-BF24-504CDF78C4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86625" y="0"/>
          <a:ext cx="5591175" cy="3394866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19</xdr:row>
      <xdr:rowOff>0</xdr:rowOff>
    </xdr:from>
    <xdr:to>
      <xdr:col>18</xdr:col>
      <xdr:colOff>139045</xdr:colOff>
      <xdr:row>35</xdr:row>
      <xdr:rowOff>95250</xdr:rowOff>
    </xdr:to>
    <xdr:pic>
      <xdr:nvPicPr>
        <xdr:cNvPr id="5" name="Obraz 4">
          <a:extLst>
            <a:ext uri="{FF2B5EF4-FFF2-40B4-BE49-F238E27FC236}">
              <a16:creationId xmlns:a16="http://schemas.microsoft.com/office/drawing/2014/main" id="{E494EC42-3E6C-48C8-9C42-65C9E6F13B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86625" y="3619500"/>
          <a:ext cx="5625445" cy="314325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0</xdr:row>
      <xdr:rowOff>0</xdr:rowOff>
    </xdr:from>
    <xdr:to>
      <xdr:col>20</xdr:col>
      <xdr:colOff>238125</xdr:colOff>
      <xdr:row>15</xdr:row>
      <xdr:rowOff>1453</xdr:rowOff>
    </xdr:to>
    <xdr:pic>
      <xdr:nvPicPr>
        <xdr:cNvPr id="4" name="Obraz 3">
          <a:extLst>
            <a:ext uri="{FF2B5EF4-FFF2-40B4-BE49-F238E27FC236}">
              <a16:creationId xmlns:a16="http://schemas.microsoft.com/office/drawing/2014/main" id="{2A2860C6-9099-4BDF-B5DA-9A5343A3DF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58025" y="0"/>
          <a:ext cx="5724525" cy="2858953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16</xdr:row>
      <xdr:rowOff>0</xdr:rowOff>
    </xdr:from>
    <xdr:to>
      <xdr:col>20</xdr:col>
      <xdr:colOff>266700</xdr:colOff>
      <xdr:row>28</xdr:row>
      <xdr:rowOff>184295</xdr:rowOff>
    </xdr:to>
    <xdr:pic>
      <xdr:nvPicPr>
        <xdr:cNvPr id="5" name="Obraz 4">
          <a:extLst>
            <a:ext uri="{FF2B5EF4-FFF2-40B4-BE49-F238E27FC236}">
              <a16:creationId xmlns:a16="http://schemas.microsoft.com/office/drawing/2014/main" id="{431CE33C-167D-4B88-9470-3DF700C3CC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58025" y="3048000"/>
          <a:ext cx="5753100" cy="2470295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1</xdr:colOff>
      <xdr:row>0</xdr:row>
      <xdr:rowOff>1</xdr:rowOff>
    </xdr:from>
    <xdr:to>
      <xdr:col>22</xdr:col>
      <xdr:colOff>342901</xdr:colOff>
      <xdr:row>9</xdr:row>
      <xdr:rowOff>222</xdr:rowOff>
    </xdr:to>
    <xdr:pic>
      <xdr:nvPicPr>
        <xdr:cNvPr id="2" name="Obraz 1">
          <a:extLst>
            <a:ext uri="{FF2B5EF4-FFF2-40B4-BE49-F238E27FC236}">
              <a16:creationId xmlns:a16="http://schemas.microsoft.com/office/drawing/2014/main" id="{5766C212-A6CC-1E60-11C2-0B3A865C1D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24801" y="1"/>
          <a:ext cx="5829300" cy="1762346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11</xdr:row>
      <xdr:rowOff>1</xdr:rowOff>
    </xdr:from>
    <xdr:to>
      <xdr:col>22</xdr:col>
      <xdr:colOff>352425</xdr:colOff>
      <xdr:row>18</xdr:row>
      <xdr:rowOff>170893</xdr:rowOff>
    </xdr:to>
    <xdr:pic>
      <xdr:nvPicPr>
        <xdr:cNvPr id="3" name="Obraz 2">
          <a:extLst>
            <a:ext uri="{FF2B5EF4-FFF2-40B4-BE49-F238E27FC236}">
              <a16:creationId xmlns:a16="http://schemas.microsoft.com/office/drawing/2014/main" id="{68074CC8-FC70-9722-7599-1369F32D74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24800" y="2095501"/>
          <a:ext cx="5838825" cy="15043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7</xdr:col>
      <xdr:colOff>210255</xdr:colOff>
      <xdr:row>17</xdr:row>
      <xdr:rowOff>142948</xdr:rowOff>
    </xdr:to>
    <xdr:pic>
      <xdr:nvPicPr>
        <xdr:cNvPr id="5" name="Obraz 4">
          <a:extLst>
            <a:ext uri="{FF2B5EF4-FFF2-40B4-BE49-F238E27FC236}">
              <a16:creationId xmlns:a16="http://schemas.microsoft.com/office/drawing/2014/main" id="{BA6186C6-6584-406C-94BE-9B92A0EFDC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905125"/>
          <a:ext cx="5048955" cy="523948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14</xdr:row>
      <xdr:rowOff>0</xdr:rowOff>
    </xdr:from>
    <xdr:to>
      <xdr:col>4</xdr:col>
      <xdr:colOff>314325</xdr:colOff>
      <xdr:row>28</xdr:row>
      <xdr:rowOff>127323</xdr:rowOff>
    </xdr:to>
    <xdr:pic>
      <xdr:nvPicPr>
        <xdr:cNvPr id="3" name="Obraz 2">
          <a:extLst>
            <a:ext uri="{FF2B5EF4-FFF2-40B4-BE49-F238E27FC236}">
              <a16:creationId xmlns:a16="http://schemas.microsoft.com/office/drawing/2014/main" id="{4FB6ACC1-C6AB-4839-9F98-8D7C2355B6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667000"/>
          <a:ext cx="4572000" cy="279432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</xdr:row>
      <xdr:rowOff>0</xdr:rowOff>
    </xdr:from>
    <xdr:to>
      <xdr:col>13</xdr:col>
      <xdr:colOff>474475</xdr:colOff>
      <xdr:row>28</xdr:row>
      <xdr:rowOff>114300</xdr:rowOff>
    </xdr:to>
    <xdr:pic>
      <xdr:nvPicPr>
        <xdr:cNvPr id="5" name="Obraz 4">
          <a:extLst>
            <a:ext uri="{FF2B5EF4-FFF2-40B4-BE49-F238E27FC236}">
              <a16:creationId xmlns:a16="http://schemas.microsoft.com/office/drawing/2014/main" id="{02AD6B37-1675-4AFE-8CE0-0227C20713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67275" y="2667000"/>
          <a:ext cx="5351275" cy="278130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0</xdr:row>
      <xdr:rowOff>1</xdr:rowOff>
    </xdr:from>
    <xdr:to>
      <xdr:col>22</xdr:col>
      <xdr:colOff>371475</xdr:colOff>
      <xdr:row>10</xdr:row>
      <xdr:rowOff>66127</xdr:rowOff>
    </xdr:to>
    <xdr:pic>
      <xdr:nvPicPr>
        <xdr:cNvPr id="2" name="Obraz 1">
          <a:extLst>
            <a:ext uri="{FF2B5EF4-FFF2-40B4-BE49-F238E27FC236}">
              <a16:creationId xmlns:a16="http://schemas.microsoft.com/office/drawing/2014/main" id="{4896004B-800B-3C0E-3D4A-D189C8DA3D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34400" y="1"/>
          <a:ext cx="5248275" cy="1971126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12</xdr:row>
      <xdr:rowOff>0</xdr:rowOff>
    </xdr:from>
    <xdr:to>
      <xdr:col>22</xdr:col>
      <xdr:colOff>409575</xdr:colOff>
      <xdr:row>19</xdr:row>
      <xdr:rowOff>170851</xdr:rowOff>
    </xdr:to>
    <xdr:pic>
      <xdr:nvPicPr>
        <xdr:cNvPr id="3" name="Obraz 2">
          <a:extLst>
            <a:ext uri="{FF2B5EF4-FFF2-40B4-BE49-F238E27FC236}">
              <a16:creationId xmlns:a16="http://schemas.microsoft.com/office/drawing/2014/main" id="{E363A175-F9AA-0046-F12D-01ADA91B11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34400" y="2286000"/>
          <a:ext cx="5286375" cy="1504351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558800</xdr:colOff>
      <xdr:row>0</xdr:row>
      <xdr:rowOff>0</xdr:rowOff>
    </xdr:from>
    <xdr:to>
      <xdr:col>28</xdr:col>
      <xdr:colOff>572401</xdr:colOff>
      <xdr:row>23</xdr:row>
      <xdr:rowOff>129295</xdr:rowOff>
    </xdr:to>
    <xdr:pic>
      <xdr:nvPicPr>
        <xdr:cNvPr id="3" name="Obraz 2">
          <a:extLst>
            <a:ext uri="{FF2B5EF4-FFF2-40B4-BE49-F238E27FC236}">
              <a16:creationId xmlns:a16="http://schemas.microsoft.com/office/drawing/2014/main" id="{FFB7D92B-4654-D14A-A155-F75BEC172DB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9843"/>
        <a:stretch/>
      </xdr:blipFill>
      <xdr:spPr>
        <a:xfrm>
          <a:off x="11982450" y="0"/>
          <a:ext cx="5500001" cy="4364745"/>
        </a:xfrm>
        <a:prstGeom prst="rect">
          <a:avLst/>
        </a:prstGeom>
      </xdr:spPr>
    </xdr:pic>
    <xdr:clientData/>
  </xdr:twoCellAnchor>
  <xdr:twoCellAnchor editAs="oneCell">
    <xdr:from>
      <xdr:col>11</xdr:col>
      <xdr:colOff>393019</xdr:colOff>
      <xdr:row>0</xdr:row>
      <xdr:rowOff>0</xdr:rowOff>
    </xdr:from>
    <xdr:to>
      <xdr:col>19</xdr:col>
      <xdr:colOff>533400</xdr:colOff>
      <xdr:row>23</xdr:row>
      <xdr:rowOff>165351</xdr:rowOff>
    </xdr:to>
    <xdr:pic>
      <xdr:nvPicPr>
        <xdr:cNvPr id="4" name="Obraz 3">
          <a:extLst>
            <a:ext uri="{FF2B5EF4-FFF2-40B4-BE49-F238E27FC236}">
              <a16:creationId xmlns:a16="http://schemas.microsoft.com/office/drawing/2014/main" id="{54DD79ED-EC3D-DB4B-77A2-5BC7F27DE6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39869" y="0"/>
          <a:ext cx="5017181" cy="4400801"/>
        </a:xfrm>
        <a:prstGeom prst="rect">
          <a:avLst/>
        </a:prstGeom>
      </xdr:spPr>
    </xdr:pic>
    <xdr:clientData/>
  </xdr:twoCellAnchor>
  <xdr:twoCellAnchor editAs="oneCell">
    <xdr:from>
      <xdr:col>2</xdr:col>
      <xdr:colOff>6350</xdr:colOff>
      <xdr:row>16</xdr:row>
      <xdr:rowOff>177801</xdr:rowOff>
    </xdr:from>
    <xdr:to>
      <xdr:col>8</xdr:col>
      <xdr:colOff>336550</xdr:colOff>
      <xdr:row>31</xdr:row>
      <xdr:rowOff>163052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C3BCA8F-4B91-8A2F-3A82-18B6BB63F1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14500" y="3124201"/>
          <a:ext cx="3683000" cy="2747501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0</xdr:row>
      <xdr:rowOff>0</xdr:rowOff>
    </xdr:from>
    <xdr:to>
      <xdr:col>21</xdr:col>
      <xdr:colOff>285750</xdr:colOff>
      <xdr:row>12</xdr:row>
      <xdr:rowOff>99271</xdr:rowOff>
    </xdr:to>
    <xdr:pic>
      <xdr:nvPicPr>
        <xdr:cNvPr id="2" name="Obraz 1">
          <a:extLst>
            <a:ext uri="{FF2B5EF4-FFF2-40B4-BE49-F238E27FC236}">
              <a16:creationId xmlns:a16="http://schemas.microsoft.com/office/drawing/2014/main" id="{C62884E1-7AE5-74CA-D8E3-D7B6B867B8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24800" y="0"/>
          <a:ext cx="5162550" cy="2385271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14</xdr:row>
      <xdr:rowOff>1</xdr:rowOff>
    </xdr:from>
    <xdr:to>
      <xdr:col>21</xdr:col>
      <xdr:colOff>304800</xdr:colOff>
      <xdr:row>25</xdr:row>
      <xdr:rowOff>45441</xdr:rowOff>
    </xdr:to>
    <xdr:pic>
      <xdr:nvPicPr>
        <xdr:cNvPr id="3" name="Obraz 2">
          <a:extLst>
            <a:ext uri="{FF2B5EF4-FFF2-40B4-BE49-F238E27FC236}">
              <a16:creationId xmlns:a16="http://schemas.microsoft.com/office/drawing/2014/main" id="{B8651071-FABB-532C-EAEF-643B455F59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24800" y="2667001"/>
          <a:ext cx="5181600" cy="214094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38100</xdr:colOff>
      <xdr:row>0</xdr:row>
      <xdr:rowOff>0</xdr:rowOff>
    </xdr:from>
    <xdr:to>
      <xdr:col>17</xdr:col>
      <xdr:colOff>371475</xdr:colOff>
      <xdr:row>10</xdr:row>
      <xdr:rowOff>32422</xdr:rowOff>
    </xdr:to>
    <xdr:pic>
      <xdr:nvPicPr>
        <xdr:cNvPr id="2" name="Obraz 1">
          <a:extLst>
            <a:ext uri="{FF2B5EF4-FFF2-40B4-BE49-F238E27FC236}">
              <a16:creationId xmlns:a16="http://schemas.microsoft.com/office/drawing/2014/main" id="{BE980633-D010-1B2F-E2B2-F8E7D03C10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62575" y="0"/>
          <a:ext cx="5819775" cy="1937422"/>
        </a:xfrm>
        <a:prstGeom prst="rect">
          <a:avLst/>
        </a:prstGeom>
      </xdr:spPr>
    </xdr:pic>
    <xdr:clientData/>
  </xdr:twoCellAnchor>
  <xdr:twoCellAnchor editAs="oneCell">
    <xdr:from>
      <xdr:col>8</xdr:col>
      <xdr:colOff>9526</xdr:colOff>
      <xdr:row>10</xdr:row>
      <xdr:rowOff>114301</xdr:rowOff>
    </xdr:from>
    <xdr:to>
      <xdr:col>17</xdr:col>
      <xdr:colOff>390526</xdr:colOff>
      <xdr:row>19</xdr:row>
      <xdr:rowOff>95323</xdr:rowOff>
    </xdr:to>
    <xdr:pic>
      <xdr:nvPicPr>
        <xdr:cNvPr id="3" name="Obraz 2">
          <a:extLst>
            <a:ext uri="{FF2B5EF4-FFF2-40B4-BE49-F238E27FC236}">
              <a16:creationId xmlns:a16="http://schemas.microsoft.com/office/drawing/2014/main" id="{6CBA2712-087B-24A9-DAFF-FB27731D8B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1" y="2019301"/>
          <a:ext cx="5867400" cy="1695522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0</xdr:rowOff>
    </xdr:from>
    <xdr:to>
      <xdr:col>23</xdr:col>
      <xdr:colOff>231500</xdr:colOff>
      <xdr:row>17</xdr:row>
      <xdr:rowOff>140552</xdr:rowOff>
    </xdr:to>
    <xdr:pic>
      <xdr:nvPicPr>
        <xdr:cNvPr id="3" name="Obraz 2">
          <a:extLst>
            <a:ext uri="{FF2B5EF4-FFF2-40B4-BE49-F238E27FC236}">
              <a16:creationId xmlns:a16="http://schemas.microsoft.com/office/drawing/2014/main" id="{7FCC159E-AE34-7070-5C72-4A508FE241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949609" y="0"/>
          <a:ext cx="4753804" cy="3379052"/>
        </a:xfrm>
        <a:prstGeom prst="rect">
          <a:avLst/>
        </a:prstGeom>
      </xdr:spPr>
    </xdr:pic>
    <xdr:clientData/>
  </xdr:twoCellAnchor>
  <xdr:twoCellAnchor editAs="oneCell">
    <xdr:from>
      <xdr:col>8</xdr:col>
      <xdr:colOff>85725</xdr:colOff>
      <xdr:row>0</xdr:row>
      <xdr:rowOff>0</xdr:rowOff>
    </xdr:from>
    <xdr:to>
      <xdr:col>15</xdr:col>
      <xdr:colOff>372716</xdr:colOff>
      <xdr:row>17</xdr:row>
      <xdr:rowOff>75811</xdr:rowOff>
    </xdr:to>
    <xdr:pic>
      <xdr:nvPicPr>
        <xdr:cNvPr id="7" name="Obraz 6">
          <a:extLst>
            <a:ext uri="{FF2B5EF4-FFF2-40B4-BE49-F238E27FC236}">
              <a16:creationId xmlns:a16="http://schemas.microsoft.com/office/drawing/2014/main" id="{71DB3D9A-8E4B-A843-10AE-4A6CBEA1BC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63942" y="0"/>
          <a:ext cx="4577383" cy="3314311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0</xdr:row>
      <xdr:rowOff>0</xdr:rowOff>
    </xdr:from>
    <xdr:to>
      <xdr:col>14</xdr:col>
      <xdr:colOff>123824</xdr:colOff>
      <xdr:row>15</xdr:row>
      <xdr:rowOff>89296</xdr:rowOff>
    </xdr:to>
    <xdr:pic>
      <xdr:nvPicPr>
        <xdr:cNvPr id="6" name="Obraz 5">
          <a:extLst>
            <a:ext uri="{FF2B5EF4-FFF2-40B4-BE49-F238E27FC236}">
              <a16:creationId xmlns:a16="http://schemas.microsoft.com/office/drawing/2014/main" id="{3C55A63E-1998-4046-9C1B-5E80E1FAA3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52900" y="0"/>
          <a:ext cx="5000624" cy="2946796"/>
        </a:xfrm>
        <a:prstGeom prst="rect">
          <a:avLst/>
        </a:prstGeom>
      </xdr:spPr>
    </xdr:pic>
    <xdr:clientData/>
  </xdr:twoCellAnchor>
  <xdr:twoCellAnchor editAs="oneCell">
    <xdr:from>
      <xdr:col>14</xdr:col>
      <xdr:colOff>265396</xdr:colOff>
      <xdr:row>0</xdr:row>
      <xdr:rowOff>0</xdr:rowOff>
    </xdr:from>
    <xdr:to>
      <xdr:col>22</xdr:col>
      <xdr:colOff>193494</xdr:colOff>
      <xdr:row>15</xdr:row>
      <xdr:rowOff>171450</xdr:rowOff>
    </xdr:to>
    <xdr:pic>
      <xdr:nvPicPr>
        <xdr:cNvPr id="7" name="Obraz 6">
          <a:extLst>
            <a:ext uri="{FF2B5EF4-FFF2-40B4-BE49-F238E27FC236}">
              <a16:creationId xmlns:a16="http://schemas.microsoft.com/office/drawing/2014/main" id="{603FBF77-40DF-47E7-9C05-F856CF3F5C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95096" y="0"/>
          <a:ext cx="4804898" cy="3028950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317500</xdr:colOff>
      <xdr:row>11</xdr:row>
      <xdr:rowOff>50800</xdr:rowOff>
    </xdr:from>
    <xdr:to>
      <xdr:col>11</xdr:col>
      <xdr:colOff>457200</xdr:colOff>
      <xdr:row>14</xdr:row>
      <xdr:rowOff>76200</xdr:rowOff>
    </xdr:to>
    <xdr:sp macro="" textlink="">
      <xdr:nvSpPr>
        <xdr:cNvPr id="2" name="Alternate Process 1">
          <a:extLst>
            <a:ext uri="{FF2B5EF4-FFF2-40B4-BE49-F238E27FC236}">
              <a16:creationId xmlns:a16="http://schemas.microsoft.com/office/drawing/2014/main" id="{F97918AB-5F2D-4C69-B471-67E1CB9CC2D0}"/>
            </a:ext>
          </a:extLst>
        </xdr:cNvPr>
        <xdr:cNvSpPr/>
      </xdr:nvSpPr>
      <xdr:spPr>
        <a:xfrm>
          <a:off x="8870950" y="2317750"/>
          <a:ext cx="1635125" cy="596900"/>
        </a:xfrm>
        <a:prstGeom prst="flowChartAlternate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/>
            <a:t>Insert 0 or 1 here:</a:t>
          </a:r>
        </a:p>
        <a:p>
          <a:pPr algn="l"/>
          <a:endParaRPr lang="en-US" sz="1100"/>
        </a:p>
      </xdr:txBody>
    </xdr:sp>
    <xdr:clientData/>
  </xdr:twoCellAnchor>
  <xdr:twoCellAnchor>
    <xdr:from>
      <xdr:col>15</xdr:col>
      <xdr:colOff>757766</xdr:colOff>
      <xdr:row>4</xdr:row>
      <xdr:rowOff>84667</xdr:rowOff>
    </xdr:from>
    <xdr:to>
      <xdr:col>17</xdr:col>
      <xdr:colOff>275167</xdr:colOff>
      <xdr:row>8</xdr:row>
      <xdr:rowOff>169334</xdr:rowOff>
    </xdr:to>
    <xdr:sp macro="" textlink="">
      <xdr:nvSpPr>
        <xdr:cNvPr id="3" name="Alternate Process 5">
          <a:extLst>
            <a:ext uri="{FF2B5EF4-FFF2-40B4-BE49-F238E27FC236}">
              <a16:creationId xmlns:a16="http://schemas.microsoft.com/office/drawing/2014/main" id="{DB45C1E4-EF5D-471B-BF8C-C66F7E44B93F}"/>
            </a:ext>
          </a:extLst>
        </xdr:cNvPr>
        <xdr:cNvSpPr/>
      </xdr:nvSpPr>
      <xdr:spPr>
        <a:xfrm>
          <a:off x="14473766" y="980017"/>
          <a:ext cx="1031876" cy="875242"/>
        </a:xfrm>
        <a:prstGeom prst="flowChartAlternate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/>
            <a:t>Insert</a:t>
          </a:r>
          <a:r>
            <a:rPr lang="en-US" sz="1400" baseline="0"/>
            <a:t>  Discount Rate Reduction </a:t>
          </a:r>
        </a:p>
        <a:p>
          <a:pPr algn="ctr"/>
          <a:r>
            <a:rPr lang="en-US" sz="1400" baseline="0"/>
            <a:t>Here:</a:t>
          </a:r>
          <a:endParaRPr lang="en-US" sz="1400"/>
        </a:p>
        <a:p>
          <a:pPr algn="l"/>
          <a:endParaRPr lang="en-US" sz="1100"/>
        </a:p>
      </xdr:txBody>
    </xdr:sp>
    <xdr:clientData/>
  </xdr:twoCellAnchor>
  <xdr:twoCellAnchor>
    <xdr:from>
      <xdr:col>15</xdr:col>
      <xdr:colOff>203200</xdr:colOff>
      <xdr:row>5</xdr:row>
      <xdr:rowOff>177800</xdr:rowOff>
    </xdr:from>
    <xdr:to>
      <xdr:col>15</xdr:col>
      <xdr:colOff>711200</xdr:colOff>
      <xdr:row>7</xdr:row>
      <xdr:rowOff>50800</xdr:rowOff>
    </xdr:to>
    <xdr:sp macro="" textlink="">
      <xdr:nvSpPr>
        <xdr:cNvPr id="4" name="Left Arrow 6">
          <a:extLst>
            <a:ext uri="{FF2B5EF4-FFF2-40B4-BE49-F238E27FC236}">
              <a16:creationId xmlns:a16="http://schemas.microsoft.com/office/drawing/2014/main" id="{A59034C4-3DB3-4889-9802-95C13DF91EC5}"/>
            </a:ext>
          </a:extLst>
        </xdr:cNvPr>
        <xdr:cNvSpPr/>
      </xdr:nvSpPr>
      <xdr:spPr>
        <a:xfrm>
          <a:off x="13938250" y="1273175"/>
          <a:ext cx="508000" cy="273050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444500</xdr:colOff>
      <xdr:row>14</xdr:row>
      <xdr:rowOff>127000</xdr:rowOff>
    </xdr:from>
    <xdr:to>
      <xdr:col>10</xdr:col>
      <xdr:colOff>787400</xdr:colOff>
      <xdr:row>16</xdr:row>
      <xdr:rowOff>127000</xdr:rowOff>
    </xdr:to>
    <xdr:sp macro="" textlink="">
      <xdr:nvSpPr>
        <xdr:cNvPr id="5" name="Down Arrow 7">
          <a:extLst>
            <a:ext uri="{FF2B5EF4-FFF2-40B4-BE49-F238E27FC236}">
              <a16:creationId xmlns:a16="http://schemas.microsoft.com/office/drawing/2014/main" id="{F60FBADC-2EAC-40BF-B794-4048B476385A}"/>
            </a:ext>
          </a:extLst>
        </xdr:cNvPr>
        <xdr:cNvSpPr/>
      </xdr:nvSpPr>
      <xdr:spPr>
        <a:xfrm>
          <a:off x="9312275" y="2965450"/>
          <a:ext cx="342900" cy="3810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18</xdr:col>
      <xdr:colOff>593912</xdr:colOff>
      <xdr:row>0</xdr:row>
      <xdr:rowOff>1</xdr:rowOff>
    </xdr:from>
    <xdr:to>
      <xdr:col>29</xdr:col>
      <xdr:colOff>551394</xdr:colOff>
      <xdr:row>14</xdr:row>
      <xdr:rowOff>72162</xdr:rowOff>
    </xdr:to>
    <xdr:pic>
      <xdr:nvPicPr>
        <xdr:cNvPr id="6" name="Obraz 5">
          <a:extLst>
            <a:ext uri="{FF2B5EF4-FFF2-40B4-BE49-F238E27FC236}">
              <a16:creationId xmlns:a16="http://schemas.microsoft.com/office/drawing/2014/main" id="{2A35523D-170F-411E-3BCC-52C2625EBE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472647" y="1"/>
          <a:ext cx="7868835" cy="2851220"/>
        </a:xfrm>
        <a:prstGeom prst="rect">
          <a:avLst/>
        </a:prstGeom>
      </xdr:spPr>
    </xdr:pic>
    <xdr:clientData/>
  </xdr:twoCellAnchor>
  <xdr:twoCellAnchor editAs="oneCell">
    <xdr:from>
      <xdr:col>13</xdr:col>
      <xdr:colOff>44825</xdr:colOff>
      <xdr:row>45</xdr:row>
      <xdr:rowOff>126067</xdr:rowOff>
    </xdr:from>
    <xdr:to>
      <xdr:col>19</xdr:col>
      <xdr:colOff>717177</xdr:colOff>
      <xdr:row>59</xdr:row>
      <xdr:rowOff>9511</xdr:rowOff>
    </xdr:to>
    <xdr:pic>
      <xdr:nvPicPr>
        <xdr:cNvPr id="7" name="Obraz 6">
          <a:extLst>
            <a:ext uri="{FF2B5EF4-FFF2-40B4-BE49-F238E27FC236}">
              <a16:creationId xmlns:a16="http://schemas.microsoft.com/office/drawing/2014/main" id="{276E09F8-B60D-89D2-9135-905FCFBD62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897972" y="8833038"/>
          <a:ext cx="7799293" cy="2684914"/>
        </a:xfrm>
        <a:prstGeom prst="rect">
          <a:avLst/>
        </a:prstGeom>
      </xdr:spPr>
    </xdr:pic>
    <xdr:clientData/>
  </xdr:twoCellAnchor>
  <xdr:twoCellAnchor editAs="oneCell">
    <xdr:from>
      <xdr:col>13</xdr:col>
      <xdr:colOff>67236</xdr:colOff>
      <xdr:row>59</xdr:row>
      <xdr:rowOff>156883</xdr:rowOff>
    </xdr:from>
    <xdr:to>
      <xdr:col>19</xdr:col>
      <xdr:colOff>773206</xdr:colOff>
      <xdr:row>75</xdr:row>
      <xdr:rowOff>183292</xdr:rowOff>
    </xdr:to>
    <xdr:pic>
      <xdr:nvPicPr>
        <xdr:cNvPr id="8" name="Obraz 7">
          <a:extLst>
            <a:ext uri="{FF2B5EF4-FFF2-40B4-BE49-F238E27FC236}">
              <a16:creationId xmlns:a16="http://schemas.microsoft.com/office/drawing/2014/main" id="{B4F55E32-AF79-591A-17C7-4D8F6531EC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920383" y="11665324"/>
          <a:ext cx="7832911" cy="3208880"/>
        </a:xfrm>
        <a:prstGeom prst="rect">
          <a:avLst/>
        </a:prstGeom>
      </xdr:spPr>
    </xdr:pic>
    <xdr:clientData/>
  </xdr:twoCellAnchor>
  <xdr:twoCellAnchor editAs="oneCell">
    <xdr:from>
      <xdr:col>18</xdr:col>
      <xdr:colOff>616323</xdr:colOff>
      <xdr:row>16</xdr:row>
      <xdr:rowOff>0</xdr:rowOff>
    </xdr:from>
    <xdr:to>
      <xdr:col>29</xdr:col>
      <xdr:colOff>296405</xdr:colOff>
      <xdr:row>30</xdr:row>
      <xdr:rowOff>140705</xdr:rowOff>
    </xdr:to>
    <xdr:pic>
      <xdr:nvPicPr>
        <xdr:cNvPr id="9" name="Obraz 8">
          <a:extLst>
            <a:ext uri="{FF2B5EF4-FFF2-40B4-BE49-F238E27FC236}">
              <a16:creationId xmlns:a16="http://schemas.microsoft.com/office/drawing/2014/main" id="{ECCC8771-1640-B12F-4CEA-F73B0141D8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075088" y="3104029"/>
          <a:ext cx="7591435" cy="2818911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1</xdr:row>
      <xdr:rowOff>38101</xdr:rowOff>
    </xdr:from>
    <xdr:to>
      <xdr:col>7</xdr:col>
      <xdr:colOff>457199</xdr:colOff>
      <xdr:row>26</xdr:row>
      <xdr:rowOff>118615</xdr:rowOff>
    </xdr:to>
    <xdr:pic>
      <xdr:nvPicPr>
        <xdr:cNvPr id="4" name="Obraz 3">
          <a:extLst>
            <a:ext uri="{FF2B5EF4-FFF2-40B4-BE49-F238E27FC236}">
              <a16:creationId xmlns:a16="http://schemas.microsoft.com/office/drawing/2014/main" id="{449795AB-CD71-D23A-BB07-B009CD148E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0" y="228601"/>
          <a:ext cx="4610099" cy="4843014"/>
        </a:xfrm>
        <a:prstGeom prst="rect">
          <a:avLst/>
        </a:prstGeom>
      </xdr:spPr>
    </xdr:pic>
    <xdr:clientData/>
  </xdr:twoCellAnchor>
  <xdr:twoCellAnchor editAs="oneCell">
    <xdr:from>
      <xdr:col>11</xdr:col>
      <xdr:colOff>76201</xdr:colOff>
      <xdr:row>1</xdr:row>
      <xdr:rowOff>57151</xdr:rowOff>
    </xdr:from>
    <xdr:to>
      <xdr:col>18</xdr:col>
      <xdr:colOff>419101</xdr:colOff>
      <xdr:row>26</xdr:row>
      <xdr:rowOff>145697</xdr:rowOff>
    </xdr:to>
    <xdr:pic>
      <xdr:nvPicPr>
        <xdr:cNvPr id="6" name="Obraz 5">
          <a:extLst>
            <a:ext uri="{FF2B5EF4-FFF2-40B4-BE49-F238E27FC236}">
              <a16:creationId xmlns:a16="http://schemas.microsoft.com/office/drawing/2014/main" id="{F274C843-56A8-0365-9A8C-CCEF93D2DD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81801" y="247651"/>
          <a:ext cx="4610100" cy="485104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8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FF2B55-BB23-4A08-8A84-A0F02A992EF4}">
  <dimension ref="A1:C24"/>
  <sheetViews>
    <sheetView workbookViewId="0">
      <selection activeCell="C22" sqref="C22"/>
    </sheetView>
  </sheetViews>
  <sheetFormatPr defaultRowHeight="14.5"/>
  <cols>
    <col min="1" max="1" width="14.81640625" bestFit="1" customWidth="1"/>
    <col min="2" max="2" width="11.54296875" bestFit="1" customWidth="1"/>
    <col min="3" max="3" width="12.81640625" customWidth="1"/>
  </cols>
  <sheetData>
    <row r="1" spans="1:3" ht="17.5" thickBot="1">
      <c r="A1" s="220" t="s">
        <v>0</v>
      </c>
      <c r="B1" s="220"/>
    </row>
    <row r="2" spans="1:3" ht="15" thickTop="1"/>
    <row r="3" spans="1:3">
      <c r="A3" s="4" t="s">
        <v>1</v>
      </c>
    </row>
    <row r="4" spans="1:3">
      <c r="A4" s="5" t="s">
        <v>2</v>
      </c>
      <c r="B4" s="1">
        <v>50000</v>
      </c>
    </row>
    <row r="5" spans="1:3">
      <c r="A5" s="5" t="s">
        <v>3</v>
      </c>
      <c r="B5" s="2">
        <f>22%*B4</f>
        <v>11000</v>
      </c>
      <c r="C5" t="str">
        <f ca="1">_xlfn.FORMULATEXT(B5)</f>
        <v>=22%*B4</v>
      </c>
    </row>
    <row r="6" spans="1:3">
      <c r="A6" s="5" t="s">
        <v>4</v>
      </c>
      <c r="B6" s="2">
        <v>5000</v>
      </c>
    </row>
    <row r="7" spans="1:3">
      <c r="A7" s="5" t="s">
        <v>5</v>
      </c>
      <c r="B7" s="2">
        <v>500</v>
      </c>
    </row>
    <row r="8" spans="1:3">
      <c r="A8" s="5" t="s">
        <v>6</v>
      </c>
      <c r="B8" s="2">
        <v>4000</v>
      </c>
    </row>
    <row r="9" spans="1:3">
      <c r="A9" s="4" t="s">
        <v>7</v>
      </c>
      <c r="B9" s="6">
        <f>B4-B5-B6-B8-B7</f>
        <v>29500</v>
      </c>
      <c r="C9" t="str">
        <f ca="1">_xlfn.FORMULATEXT(B9)</f>
        <v>=B4-B5-B6-B8-B7</v>
      </c>
    </row>
    <row r="12" spans="1:3">
      <c r="A12" s="4" t="s">
        <v>8</v>
      </c>
    </row>
    <row r="13" spans="1:3">
      <c r="A13" s="5" t="s">
        <v>9</v>
      </c>
      <c r="B13" s="2">
        <f>500*12</f>
        <v>6000</v>
      </c>
    </row>
    <row r="14" spans="1:3">
      <c r="A14" s="5" t="s">
        <v>10</v>
      </c>
      <c r="B14" s="2">
        <v>5000</v>
      </c>
    </row>
    <row r="15" spans="1:3">
      <c r="A15" s="5" t="s">
        <v>11</v>
      </c>
      <c r="B15" s="2">
        <v>5000</v>
      </c>
    </row>
    <row r="16" spans="1:3">
      <c r="A16" s="5" t="s">
        <v>12</v>
      </c>
      <c r="B16" s="2">
        <v>1000</v>
      </c>
    </row>
    <row r="17" spans="1:3">
      <c r="A17" s="5" t="s">
        <v>13</v>
      </c>
      <c r="B17" s="2">
        <v>1000</v>
      </c>
    </row>
    <row r="18" spans="1:3">
      <c r="A18" s="5" t="s">
        <v>14</v>
      </c>
      <c r="B18" s="2">
        <v>0</v>
      </c>
    </row>
    <row r="19" spans="1:3">
      <c r="A19" s="5" t="s">
        <v>15</v>
      </c>
      <c r="B19" s="2">
        <v>500</v>
      </c>
    </row>
    <row r="20" spans="1:3">
      <c r="A20" s="5" t="s">
        <v>16</v>
      </c>
      <c r="B20" s="2">
        <v>1000</v>
      </c>
    </row>
    <row r="21" spans="1:3">
      <c r="A21" s="5" t="s">
        <v>17</v>
      </c>
      <c r="B21" s="2">
        <v>10000</v>
      </c>
    </row>
    <row r="22" spans="1:3">
      <c r="A22" s="4" t="s">
        <v>18</v>
      </c>
      <c r="B22" s="6">
        <f>SUM(B13:B21)</f>
        <v>29500</v>
      </c>
      <c r="C22" t="str">
        <f ca="1">_xlfn.FORMULATEXT(B22)</f>
        <v>=SUM(B13:B21)</v>
      </c>
    </row>
    <row r="24" spans="1:3">
      <c r="A24" s="4" t="s">
        <v>19</v>
      </c>
      <c r="B24" s="6">
        <f>B9-B22</f>
        <v>0</v>
      </c>
      <c r="C24" t="str">
        <f ca="1">_xlfn.FORMULATEXT(B24)</f>
        <v>=B9-B22</v>
      </c>
    </row>
  </sheetData>
  <mergeCells count="1">
    <mergeCell ref="A1:B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6A0AED-0024-45EB-A639-6942C78EB378}">
  <dimension ref="A1:D20"/>
  <sheetViews>
    <sheetView zoomScale="115" zoomScaleNormal="115" workbookViewId="0">
      <selection sqref="A1:D1"/>
    </sheetView>
  </sheetViews>
  <sheetFormatPr defaultRowHeight="14.5"/>
  <cols>
    <col min="1" max="1" width="31.1796875" bestFit="1" customWidth="1"/>
    <col min="2" max="2" width="11.26953125" bestFit="1" customWidth="1"/>
  </cols>
  <sheetData>
    <row r="1" spans="1:4" ht="17.5" thickBot="1">
      <c r="A1" s="220" t="s">
        <v>20</v>
      </c>
      <c r="B1" s="220"/>
      <c r="C1" s="220"/>
      <c r="D1" s="220"/>
    </row>
    <row r="2" spans="1:4" ht="15" thickTop="1"/>
    <row r="4" spans="1:4">
      <c r="A4" s="4" t="s">
        <v>21</v>
      </c>
    </row>
    <row r="5" spans="1:4">
      <c r="A5" s="4" t="s">
        <v>22</v>
      </c>
    </row>
    <row r="6" spans="1:4">
      <c r="A6" s="5" t="s">
        <v>23</v>
      </c>
      <c r="B6" s="2">
        <v>750</v>
      </c>
    </row>
    <row r="7" spans="1:4">
      <c r="A7" s="5" t="s">
        <v>24</v>
      </c>
      <c r="B7" s="3">
        <v>8</v>
      </c>
      <c r="C7" t="s">
        <v>25</v>
      </c>
    </row>
    <row r="8" spans="1:4">
      <c r="A8" s="4" t="s">
        <v>28</v>
      </c>
    </row>
    <row r="9" spans="1:4">
      <c r="A9" s="5" t="s">
        <v>29</v>
      </c>
      <c r="B9" s="2">
        <v>18</v>
      </c>
      <c r="C9" t="s">
        <v>25</v>
      </c>
    </row>
    <row r="10" spans="1:4">
      <c r="A10" s="5" t="s">
        <v>30</v>
      </c>
      <c r="B10" s="3">
        <v>6</v>
      </c>
      <c r="C10" t="s">
        <v>25</v>
      </c>
    </row>
    <row r="13" spans="1:4">
      <c r="A13" t="s">
        <v>26</v>
      </c>
      <c r="B13" s="36">
        <v>1450</v>
      </c>
    </row>
    <row r="14" spans="1:4">
      <c r="A14" t="s">
        <v>35</v>
      </c>
      <c r="B14" s="36">
        <v>1500</v>
      </c>
    </row>
    <row r="15" spans="1:4">
      <c r="A15" t="s">
        <v>31</v>
      </c>
      <c r="B15" s="7">
        <f>MIN(B13:B14)</f>
        <v>1450</v>
      </c>
      <c r="C15" t="str">
        <f ca="1">_xlfn.FORMULATEXT(B15)</f>
        <v>=MIN(B13:B14)</v>
      </c>
    </row>
    <row r="16" spans="1:4">
      <c r="A16" t="s">
        <v>32</v>
      </c>
      <c r="B16" s="7">
        <f>MAX(B13-B14,0)</f>
        <v>0</v>
      </c>
      <c r="C16" t="str">
        <f ca="1">_xlfn.FORMULATEXT(B16)</f>
        <v>=MAX(B13-B14;0)</v>
      </c>
    </row>
    <row r="18" spans="1:3">
      <c r="A18" s="8" t="s">
        <v>27</v>
      </c>
      <c r="B18" s="2">
        <f>B6+B7*B13</f>
        <v>12350</v>
      </c>
      <c r="C18" t="str">
        <f ca="1">_xlfn.FORMULATEXT(B18)</f>
        <v>=B6+B7*B13</v>
      </c>
    </row>
    <row r="19" spans="1:3">
      <c r="A19" s="8" t="s">
        <v>33</v>
      </c>
      <c r="B19" s="2">
        <f>B9*B15+B10*B16</f>
        <v>26100</v>
      </c>
      <c r="C19" t="str">
        <f ca="1">_xlfn.FORMULATEXT(B19)</f>
        <v>=B9*B15+B10*B16</v>
      </c>
    </row>
    <row r="20" spans="1:3">
      <c r="A20" s="8" t="s">
        <v>34</v>
      </c>
      <c r="B20" s="2">
        <f>B19-B18</f>
        <v>13750</v>
      </c>
      <c r="C20" t="str">
        <f ca="1">_xlfn.FORMULATEXT(B20)</f>
        <v>=B19-B18</v>
      </c>
    </row>
  </sheetData>
  <mergeCells count="1">
    <mergeCell ref="A1:D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D3B3B4-4D50-4B76-BC2A-6F6A4BDF2D3A}">
  <dimension ref="A1:F21"/>
  <sheetViews>
    <sheetView workbookViewId="0">
      <selection activeCell="Q31" sqref="Q31"/>
    </sheetView>
  </sheetViews>
  <sheetFormatPr defaultRowHeight="14.5"/>
  <cols>
    <col min="1" max="1" width="15.81640625" customWidth="1"/>
    <col min="2" max="3" width="10.7265625" bestFit="1" customWidth="1"/>
    <col min="5" max="5" width="12.453125" bestFit="1" customWidth="1"/>
    <col min="6" max="6" width="12.453125" customWidth="1"/>
  </cols>
  <sheetData>
    <row r="1" spans="1:6" ht="17.5" thickBot="1">
      <c r="A1" s="220" t="s">
        <v>36</v>
      </c>
      <c r="B1" s="220"/>
      <c r="C1" s="220"/>
      <c r="D1" s="220"/>
      <c r="E1" s="220"/>
      <c r="F1" s="220"/>
    </row>
    <row r="2" spans="1:6" ht="15" thickTop="1"/>
    <row r="3" spans="1:6">
      <c r="A3" s="4" t="s">
        <v>22</v>
      </c>
      <c r="B3" s="21" t="s">
        <v>37</v>
      </c>
      <c r="C3" s="22" t="s">
        <v>38</v>
      </c>
    </row>
    <row r="4" spans="1:6">
      <c r="A4" s="5" t="s">
        <v>39</v>
      </c>
      <c r="B4" s="16">
        <v>5.5</v>
      </c>
      <c r="C4" s="9">
        <v>4.3</v>
      </c>
    </row>
    <row r="5" spans="1:6">
      <c r="A5" s="5" t="s">
        <v>40</v>
      </c>
      <c r="B5" s="17">
        <v>30</v>
      </c>
      <c r="C5" s="7">
        <v>30</v>
      </c>
    </row>
    <row r="6" spans="1:6">
      <c r="A6" s="5" t="s">
        <v>41</v>
      </c>
      <c r="B6" s="18">
        <f>B4*B5</f>
        <v>165</v>
      </c>
      <c r="C6" s="11">
        <f>C4*C5</f>
        <v>129</v>
      </c>
    </row>
    <row r="7" spans="1:6">
      <c r="A7" s="5" t="s">
        <v>42</v>
      </c>
      <c r="B7" s="17">
        <v>16</v>
      </c>
      <c r="C7" s="7">
        <v>16</v>
      </c>
    </row>
    <row r="8" spans="1:6">
      <c r="A8" s="5" t="s">
        <v>43</v>
      </c>
      <c r="B8" s="19">
        <v>18.5</v>
      </c>
      <c r="C8" s="9">
        <v>18.5</v>
      </c>
    </row>
    <row r="9" spans="1:6">
      <c r="A9" s="5" t="s">
        <v>44</v>
      </c>
      <c r="B9" s="20">
        <f>B7*B8</f>
        <v>296</v>
      </c>
      <c r="C9" s="10">
        <f>C7*C8</f>
        <v>296</v>
      </c>
    </row>
    <row r="10" spans="1:6">
      <c r="B10" s="10"/>
      <c r="C10" s="10"/>
    </row>
    <row r="11" spans="1:6">
      <c r="A11" s="4" t="s">
        <v>27</v>
      </c>
      <c r="B11" s="20">
        <f>B9+B6</f>
        <v>461</v>
      </c>
      <c r="C11" s="10">
        <f>C9+C6</f>
        <v>425</v>
      </c>
    </row>
    <row r="13" spans="1:6">
      <c r="A13" s="4" t="s">
        <v>45</v>
      </c>
      <c r="B13" s="23">
        <v>2.4E-2</v>
      </c>
      <c r="C13" s="24">
        <v>1.7000000000000001E-2</v>
      </c>
      <c r="D13" s="15">
        <v>1.4999999999999999E-2</v>
      </c>
    </row>
    <row r="15" spans="1:6">
      <c r="A15" s="13" t="s">
        <v>46</v>
      </c>
      <c r="B15" s="13" t="s">
        <v>37</v>
      </c>
      <c r="C15" s="13" t="s">
        <v>38</v>
      </c>
      <c r="D15" s="13" t="s">
        <v>47</v>
      </c>
      <c r="E15" s="13" t="s">
        <v>48</v>
      </c>
      <c r="F15" s="13" t="s">
        <v>49</v>
      </c>
    </row>
    <row r="16" spans="1:6">
      <c r="A16" s="12">
        <v>2024</v>
      </c>
      <c r="B16" s="14">
        <f>B6</f>
        <v>165</v>
      </c>
      <c r="C16" s="14">
        <f>C6</f>
        <v>129</v>
      </c>
      <c r="D16" s="14">
        <f>B9</f>
        <v>296</v>
      </c>
      <c r="E16" s="14">
        <f>B16+D16</f>
        <v>461</v>
      </c>
      <c r="F16" s="14">
        <f>C16+D16</f>
        <v>425</v>
      </c>
    </row>
    <row r="17" spans="1:6">
      <c r="A17" s="12">
        <v>2025</v>
      </c>
      <c r="B17" s="14">
        <f>B16*(1+$B$13)</f>
        <v>168.96</v>
      </c>
      <c r="C17" s="14">
        <f>C16*(1+$C$13)</f>
        <v>131.19299999999998</v>
      </c>
      <c r="D17" s="14">
        <f>D16*(1+$D$13)</f>
        <v>300.44</v>
      </c>
      <c r="E17" s="14">
        <f>D17+B17</f>
        <v>469.4</v>
      </c>
      <c r="F17" s="14">
        <f>D17+C17</f>
        <v>431.63299999999998</v>
      </c>
    </row>
    <row r="18" spans="1:6">
      <c r="A18" s="12">
        <v>2026</v>
      </c>
      <c r="B18" s="14">
        <f t="shared" ref="B18:B21" si="0">B17*(1+$B$13)</f>
        <v>173.01504</v>
      </c>
      <c r="C18" s="14">
        <f t="shared" ref="C18:C21" si="1">C17*(1+$C$13)</f>
        <v>133.42328099999997</v>
      </c>
      <c r="D18" s="14">
        <f t="shared" ref="D18:D21" si="2">D17*(1+$D$13)</f>
        <v>304.94659999999999</v>
      </c>
      <c r="E18" s="14">
        <f t="shared" ref="E18:E21" si="3">D18+B18</f>
        <v>477.96163999999999</v>
      </c>
      <c r="F18" s="14">
        <f t="shared" ref="F18:F21" si="4">D18+C18</f>
        <v>438.36988099999996</v>
      </c>
    </row>
    <row r="19" spans="1:6">
      <c r="A19" s="12">
        <v>2027</v>
      </c>
      <c r="B19" s="14">
        <f t="shared" si="0"/>
        <v>177.16740096000001</v>
      </c>
      <c r="C19" s="14">
        <f t="shared" si="1"/>
        <v>135.69147677699996</v>
      </c>
      <c r="D19" s="14">
        <f t="shared" si="2"/>
        <v>309.52079899999995</v>
      </c>
      <c r="E19" s="14">
        <f t="shared" si="3"/>
        <v>486.68819995999996</v>
      </c>
      <c r="F19" s="14">
        <f t="shared" si="4"/>
        <v>445.21227577699995</v>
      </c>
    </row>
    <row r="20" spans="1:6">
      <c r="A20" s="12">
        <v>2028</v>
      </c>
      <c r="B20" s="14">
        <f t="shared" si="0"/>
        <v>181.41941858304003</v>
      </c>
      <c r="C20" s="14">
        <f t="shared" si="1"/>
        <v>137.99823188220896</v>
      </c>
      <c r="D20" s="14">
        <f t="shared" si="2"/>
        <v>314.16361098499993</v>
      </c>
      <c r="E20" s="14">
        <f t="shared" si="3"/>
        <v>495.58302956803993</v>
      </c>
      <c r="F20" s="14">
        <f t="shared" si="4"/>
        <v>452.16184286720886</v>
      </c>
    </row>
    <row r="21" spans="1:6">
      <c r="A21" s="12">
        <v>2029</v>
      </c>
      <c r="B21" s="14">
        <f t="shared" si="0"/>
        <v>185.77348462903299</v>
      </c>
      <c r="C21" s="14">
        <f t="shared" si="1"/>
        <v>140.34420182420649</v>
      </c>
      <c r="D21" s="14">
        <f t="shared" si="2"/>
        <v>318.87606514977489</v>
      </c>
      <c r="E21" s="14">
        <f t="shared" si="3"/>
        <v>504.64954977880791</v>
      </c>
      <c r="F21" s="14">
        <f t="shared" si="4"/>
        <v>459.22026697398138</v>
      </c>
    </row>
  </sheetData>
  <mergeCells count="1">
    <mergeCell ref="A1:F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937720-5F8E-45ED-B89E-50348B702C44}">
  <dimension ref="A1:H20"/>
  <sheetViews>
    <sheetView zoomScaleNormal="100" workbookViewId="0">
      <selection sqref="A1:D1"/>
    </sheetView>
  </sheetViews>
  <sheetFormatPr defaultRowHeight="14.5"/>
  <cols>
    <col min="1" max="1" width="25.81640625" customWidth="1"/>
    <col min="2" max="2" width="12.54296875" bestFit="1" customWidth="1"/>
    <col min="3" max="3" width="13.1796875" bestFit="1" customWidth="1"/>
    <col min="7" max="7" width="14.7265625" bestFit="1" customWidth="1"/>
    <col min="8" max="8" width="11.54296875" bestFit="1" customWidth="1"/>
  </cols>
  <sheetData>
    <row r="1" spans="1:8" ht="20" thickBot="1">
      <c r="A1" s="221" t="s">
        <v>50</v>
      </c>
      <c r="B1" s="221"/>
      <c r="C1" s="221"/>
      <c r="D1" s="221"/>
    </row>
    <row r="2" spans="1:8" ht="15" thickTop="1">
      <c r="G2" t="s">
        <v>63</v>
      </c>
    </row>
    <row r="3" spans="1:8">
      <c r="A3" s="4" t="s">
        <v>51</v>
      </c>
      <c r="G3" s="12" t="s">
        <v>60</v>
      </c>
      <c r="H3" s="12" t="s">
        <v>64</v>
      </c>
    </row>
    <row r="4" spans="1:8">
      <c r="A4" s="4" t="s">
        <v>22</v>
      </c>
      <c r="G4" s="32"/>
      <c r="H4" s="33">
        <f>B20</f>
        <v>-21600</v>
      </c>
    </row>
    <row r="5" spans="1:8">
      <c r="A5" s="5" t="s">
        <v>52</v>
      </c>
      <c r="B5" s="26">
        <v>20000</v>
      </c>
      <c r="G5" s="29">
        <v>0.03</v>
      </c>
      <c r="H5" s="30">
        <f t="dataTable" ref="H5:H15" dt2D="0" dtr="0" r1="B14"/>
        <v>-21600</v>
      </c>
    </row>
    <row r="6" spans="1:8">
      <c r="A6" s="4" t="s">
        <v>24</v>
      </c>
      <c r="G6" s="31">
        <v>3.5000000000000003E-2</v>
      </c>
      <c r="H6" s="30">
        <v>-17700</v>
      </c>
    </row>
    <row r="7" spans="1:8">
      <c r="A7" s="5" t="s">
        <v>52</v>
      </c>
      <c r="B7" s="25">
        <v>0.1</v>
      </c>
      <c r="C7" t="s">
        <v>53</v>
      </c>
      <c r="G7" s="29">
        <v>0.04</v>
      </c>
      <c r="H7" s="30">
        <v>-13800</v>
      </c>
    </row>
    <row r="8" spans="1:8">
      <c r="A8" s="5" t="s">
        <v>54</v>
      </c>
      <c r="B8" s="25">
        <v>0.15</v>
      </c>
      <c r="C8" t="s">
        <v>53</v>
      </c>
      <c r="G8" s="31">
        <v>4.4999999999999998E-2</v>
      </c>
      <c r="H8" s="30">
        <v>-9900</v>
      </c>
    </row>
    <row r="9" spans="1:8">
      <c r="A9" s="5" t="s">
        <v>55</v>
      </c>
      <c r="B9" s="25">
        <v>0.2</v>
      </c>
      <c r="C9" t="s">
        <v>56</v>
      </c>
      <c r="G9" s="29">
        <v>0.05</v>
      </c>
      <c r="H9" s="30">
        <v>-6000</v>
      </c>
    </row>
    <row r="10" spans="1:8">
      <c r="A10" s="5" t="s">
        <v>58</v>
      </c>
      <c r="B10" s="25">
        <v>32</v>
      </c>
      <c r="C10" t="s">
        <v>56</v>
      </c>
      <c r="G10" s="31">
        <v>5.5E-2</v>
      </c>
      <c r="H10" s="30">
        <v>-2100.0000000000291</v>
      </c>
    </row>
    <row r="11" spans="1:8">
      <c r="A11" s="5" t="s">
        <v>27</v>
      </c>
      <c r="B11" s="26">
        <f>B5+(B7+B8)*B13+(B9+B10)*B15</f>
        <v>141600</v>
      </c>
      <c r="C11" t="str">
        <f ca="1">_xlfn.FORMULATEXT(B11)</f>
        <v>=B5+(B7+B8)*B13+(B9+B10)*B15</v>
      </c>
      <c r="G11" s="29">
        <v>0.06</v>
      </c>
      <c r="H11" s="30">
        <v>1799.9999999999709</v>
      </c>
    </row>
    <row r="12" spans="1:8">
      <c r="G12" s="31">
        <v>6.5000000000000002E-2</v>
      </c>
      <c r="H12" s="30">
        <v>5699.9999999999709</v>
      </c>
    </row>
    <row r="13" spans="1:8">
      <c r="A13" t="s">
        <v>59</v>
      </c>
      <c r="B13" s="27">
        <v>100000</v>
      </c>
      <c r="G13" s="29">
        <v>7.0000000000000007E-2</v>
      </c>
      <c r="H13" s="30">
        <v>9600</v>
      </c>
    </row>
    <row r="14" spans="1:8">
      <c r="A14" t="s">
        <v>60</v>
      </c>
      <c r="B14" s="28">
        <v>0.03</v>
      </c>
      <c r="C14" t="s">
        <v>61</v>
      </c>
      <c r="G14" s="31">
        <v>7.4999999999999997E-2</v>
      </c>
      <c r="H14" s="30">
        <v>13500</v>
      </c>
    </row>
    <row r="15" spans="1:8">
      <c r="A15" t="s">
        <v>62</v>
      </c>
      <c r="B15">
        <f>B14*B13</f>
        <v>3000</v>
      </c>
      <c r="C15" t="str">
        <f ca="1">_xlfn.FORMULATEXT(B15)</f>
        <v>=B14*B13</v>
      </c>
      <c r="G15" s="29">
        <v>0.08</v>
      </c>
      <c r="H15" s="30">
        <v>17400</v>
      </c>
    </row>
    <row r="17" spans="1:3">
      <c r="A17" t="s">
        <v>28</v>
      </c>
    </row>
    <row r="18" spans="1:3">
      <c r="A18" t="s">
        <v>57</v>
      </c>
      <c r="B18" s="25">
        <v>40</v>
      </c>
    </row>
    <row r="19" spans="1:3">
      <c r="A19" t="s">
        <v>33</v>
      </c>
      <c r="B19" s="26">
        <f>B18*B15</f>
        <v>120000</v>
      </c>
      <c r="C19" t="str">
        <f ca="1">_xlfn.FORMULATEXT(B19)</f>
        <v>=B18*B15</v>
      </c>
    </row>
    <row r="20" spans="1:3">
      <c r="A20" t="s">
        <v>34</v>
      </c>
      <c r="B20" s="26">
        <f>B19-B11</f>
        <v>-21600</v>
      </c>
      <c r="C20" t="str">
        <f ca="1">_xlfn.FORMULATEXT(B20)</f>
        <v>=B19-B11</v>
      </c>
    </row>
  </sheetData>
  <mergeCells count="1">
    <mergeCell ref="A1:D1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CCAE4B-7C4D-4C91-84E9-72C0C5622061}">
  <dimension ref="A1:Q24"/>
  <sheetViews>
    <sheetView workbookViewId="0">
      <selection activeCell="E32" sqref="E32"/>
    </sheetView>
  </sheetViews>
  <sheetFormatPr defaultRowHeight="14.5"/>
  <cols>
    <col min="1" max="1" width="14.7265625" bestFit="1" customWidth="1"/>
    <col min="2" max="2" width="12.54296875" bestFit="1" customWidth="1"/>
    <col min="8" max="8" width="3.7265625" bestFit="1" customWidth="1"/>
    <col min="9" max="9" width="10.54296875" bestFit="1" customWidth="1"/>
    <col min="10" max="17" width="11.54296875" bestFit="1" customWidth="1"/>
  </cols>
  <sheetData>
    <row r="1" spans="1:17" ht="17.5" thickBot="1">
      <c r="A1" s="220" t="s">
        <v>65</v>
      </c>
      <c r="B1" s="220"/>
      <c r="C1" s="220"/>
      <c r="D1" s="220"/>
    </row>
    <row r="2" spans="1:17" ht="15" thickTop="1"/>
    <row r="3" spans="1:17">
      <c r="I3" t="s">
        <v>69</v>
      </c>
    </row>
    <row r="4" spans="1:17">
      <c r="A4" t="s">
        <v>66</v>
      </c>
      <c r="B4" s="34">
        <v>30</v>
      </c>
      <c r="I4" s="13" t="s">
        <v>67</v>
      </c>
      <c r="J4" s="13" t="s">
        <v>68</v>
      </c>
    </row>
    <row r="5" spans="1:17">
      <c r="A5" t="s">
        <v>72</v>
      </c>
      <c r="B5" s="34">
        <v>10</v>
      </c>
      <c r="I5" s="12">
        <v>0</v>
      </c>
      <c r="J5" s="35">
        <v>24</v>
      </c>
    </row>
    <row r="6" spans="1:17">
      <c r="I6" s="12">
        <v>1000</v>
      </c>
      <c r="J6" s="35">
        <v>23</v>
      </c>
    </row>
    <row r="7" spans="1:17">
      <c r="I7" s="12">
        <v>2000</v>
      </c>
      <c r="J7" s="35">
        <v>22.75</v>
      </c>
    </row>
    <row r="8" spans="1:17">
      <c r="I8" s="12">
        <v>3000</v>
      </c>
      <c r="J8" s="35">
        <v>21.75</v>
      </c>
    </row>
    <row r="9" spans="1:17">
      <c r="I9" s="12">
        <v>4000</v>
      </c>
      <c r="J9" s="35">
        <v>21.3</v>
      </c>
    </row>
    <row r="11" spans="1:17">
      <c r="A11" t="s">
        <v>35</v>
      </c>
      <c r="B11" s="37">
        <v>1000</v>
      </c>
      <c r="C11" t="s">
        <v>71</v>
      </c>
    </row>
    <row r="12" spans="1:17">
      <c r="A12" t="s">
        <v>70</v>
      </c>
      <c r="B12" s="36">
        <v>500</v>
      </c>
      <c r="J12" s="222" t="s">
        <v>75</v>
      </c>
      <c r="K12" s="222"/>
      <c r="L12" s="222"/>
      <c r="M12" s="222"/>
      <c r="N12" s="222"/>
      <c r="O12" s="222"/>
      <c r="P12" s="222"/>
      <c r="Q12" s="222"/>
    </row>
    <row r="13" spans="1:17">
      <c r="I13" s="40">
        <f>B24</f>
        <v>3000</v>
      </c>
      <c r="J13" s="12">
        <v>500</v>
      </c>
      <c r="K13" s="12">
        <v>1000</v>
      </c>
      <c r="L13" s="12">
        <v>1500</v>
      </c>
      <c r="M13" s="12">
        <v>2000</v>
      </c>
      <c r="N13" s="12">
        <v>2500</v>
      </c>
      <c r="O13" s="12">
        <v>3000</v>
      </c>
      <c r="P13" s="12">
        <v>3500</v>
      </c>
      <c r="Q13" s="12">
        <v>4000</v>
      </c>
    </row>
    <row r="14" spans="1:17">
      <c r="A14" t="s">
        <v>73</v>
      </c>
      <c r="B14" s="7">
        <f>MAX(B12-B11,0)</f>
        <v>0</v>
      </c>
      <c r="C14" t="str">
        <f ca="1">_xlfn.FORMULATEXT(B14)</f>
        <v>=MAX(B12-B11;0)</v>
      </c>
      <c r="H14" s="223" t="s">
        <v>76</v>
      </c>
      <c r="I14" s="38">
        <v>500</v>
      </c>
      <c r="J14" s="39">
        <f t="dataTable" ref="J14:Q21" dt2D="1" dtr="1" r1="B11" r2="B12"/>
        <v>3000</v>
      </c>
      <c r="K14" s="39">
        <v>3000</v>
      </c>
      <c r="L14" s="39">
        <v>3000</v>
      </c>
      <c r="M14" s="39">
        <v>3000</v>
      </c>
      <c r="N14" s="39">
        <v>3000</v>
      </c>
      <c r="O14" s="39">
        <v>3000</v>
      </c>
      <c r="P14" s="39">
        <v>3000</v>
      </c>
      <c r="Q14" s="39">
        <v>3000</v>
      </c>
    </row>
    <row r="15" spans="1:17">
      <c r="A15" t="s">
        <v>74</v>
      </c>
      <c r="B15" s="7">
        <f>IF(B11&gt;B12,0,B12-B11)</f>
        <v>0</v>
      </c>
      <c r="C15" t="str">
        <f ca="1">_xlfn.FORMULATEXT(B15)</f>
        <v>=IF(B11&gt;B12;0;B12-B11)</v>
      </c>
      <c r="H15" s="223"/>
      <c r="I15" s="38">
        <v>1000</v>
      </c>
      <c r="J15" s="39">
        <v>-3000</v>
      </c>
      <c r="K15" s="39">
        <v>7000</v>
      </c>
      <c r="L15" s="39">
        <v>7000</v>
      </c>
      <c r="M15" s="39">
        <v>7000</v>
      </c>
      <c r="N15" s="39">
        <v>7000</v>
      </c>
      <c r="O15" s="39">
        <v>7000</v>
      </c>
      <c r="P15" s="39">
        <v>7000</v>
      </c>
      <c r="Q15" s="39">
        <v>7000</v>
      </c>
    </row>
    <row r="16" spans="1:17">
      <c r="H16" s="223"/>
      <c r="I16" s="38">
        <v>1500</v>
      </c>
      <c r="J16" s="39">
        <v>-9500</v>
      </c>
      <c r="K16" s="39">
        <v>500</v>
      </c>
      <c r="L16" s="39">
        <v>10500</v>
      </c>
      <c r="M16" s="39">
        <v>10500</v>
      </c>
      <c r="N16" s="39">
        <v>10500</v>
      </c>
      <c r="O16" s="39">
        <v>10500</v>
      </c>
      <c r="P16" s="39">
        <v>10500</v>
      </c>
      <c r="Q16" s="39">
        <v>10500</v>
      </c>
    </row>
    <row r="17" spans="1:17" ht="15" customHeight="1">
      <c r="H17" s="223"/>
      <c r="I17" s="38">
        <v>2000</v>
      </c>
      <c r="J17" s="39">
        <v>-15500</v>
      </c>
      <c r="K17" s="39">
        <v>-5500</v>
      </c>
      <c r="L17" s="39">
        <v>4500</v>
      </c>
      <c r="M17" s="39">
        <v>14500</v>
      </c>
      <c r="N17" s="39">
        <v>14500</v>
      </c>
      <c r="O17" s="39">
        <v>14500</v>
      </c>
      <c r="P17" s="39">
        <v>14500</v>
      </c>
      <c r="Q17" s="39">
        <v>14500</v>
      </c>
    </row>
    <row r="18" spans="1:17">
      <c r="A18" t="s">
        <v>22</v>
      </c>
      <c r="B18" s="34">
        <f>VLOOKUP(B12,I5:J9,2,1)*B12</f>
        <v>12000</v>
      </c>
      <c r="C18" t="str">
        <f ca="1">_xlfn.FORMULATEXT(B18)</f>
        <v>=VLOOKUP(B12;I5:J9;2;1)*B12</v>
      </c>
      <c r="H18" s="223"/>
      <c r="I18" s="38">
        <v>2500</v>
      </c>
      <c r="J18" s="39">
        <v>-21875</v>
      </c>
      <c r="K18" s="39">
        <v>-11875</v>
      </c>
      <c r="L18" s="39">
        <v>-1875</v>
      </c>
      <c r="M18" s="39">
        <v>8125</v>
      </c>
      <c r="N18" s="39">
        <v>18125</v>
      </c>
      <c r="O18" s="39">
        <v>18125</v>
      </c>
      <c r="P18" s="39">
        <v>18125</v>
      </c>
      <c r="Q18" s="39">
        <v>18125</v>
      </c>
    </row>
    <row r="19" spans="1:17">
      <c r="H19" s="223"/>
      <c r="I19" s="38">
        <v>3000</v>
      </c>
      <c r="J19" s="39">
        <v>-25250</v>
      </c>
      <c r="K19" s="39">
        <v>-15250</v>
      </c>
      <c r="L19" s="39">
        <v>-5250</v>
      </c>
      <c r="M19" s="39">
        <v>4750</v>
      </c>
      <c r="N19" s="39">
        <v>14750</v>
      </c>
      <c r="O19" s="39">
        <v>24750</v>
      </c>
      <c r="P19" s="39">
        <v>24750</v>
      </c>
      <c r="Q19" s="39">
        <v>24750</v>
      </c>
    </row>
    <row r="20" spans="1:17">
      <c r="H20" s="223"/>
      <c r="I20" s="38">
        <v>3500</v>
      </c>
      <c r="J20" s="39">
        <v>-31125</v>
      </c>
      <c r="K20" s="39">
        <v>-21125</v>
      </c>
      <c r="L20" s="39">
        <v>-11125</v>
      </c>
      <c r="M20" s="39">
        <v>-1125</v>
      </c>
      <c r="N20" s="39">
        <v>8875</v>
      </c>
      <c r="O20" s="39">
        <v>18875</v>
      </c>
      <c r="P20" s="39">
        <v>28875</v>
      </c>
      <c r="Q20" s="39">
        <v>28875</v>
      </c>
    </row>
    <row r="21" spans="1:17">
      <c r="A21" t="s">
        <v>28</v>
      </c>
      <c r="B21" s="25">
        <f>MIN(B11:B12)*B4+B5*B14</f>
        <v>15000</v>
      </c>
      <c r="C21" t="str">
        <f ca="1">_xlfn.FORMULATEXT(B21)</f>
        <v>=MIN(B11:B12)*B4+B5*B14</v>
      </c>
      <c r="H21" s="223"/>
      <c r="I21" s="38">
        <v>4000</v>
      </c>
      <c r="J21" s="39">
        <v>-35200</v>
      </c>
      <c r="K21" s="39">
        <v>-25200</v>
      </c>
      <c r="L21" s="39">
        <v>-15200</v>
      </c>
      <c r="M21" s="39">
        <v>-5200</v>
      </c>
      <c r="N21" s="39">
        <v>4800</v>
      </c>
      <c r="O21" s="39">
        <v>14800</v>
      </c>
      <c r="P21" s="39">
        <v>24800</v>
      </c>
      <c r="Q21" s="39">
        <v>34800</v>
      </c>
    </row>
    <row r="24" spans="1:17">
      <c r="A24" t="s">
        <v>64</v>
      </c>
      <c r="B24" s="25">
        <f>B21-B18</f>
        <v>3000</v>
      </c>
      <c r="C24" t="str">
        <f ca="1">_xlfn.FORMULATEXT(B24)</f>
        <v>=B21-B18</v>
      </c>
    </row>
  </sheetData>
  <mergeCells count="3">
    <mergeCell ref="J12:Q12"/>
    <mergeCell ref="H14:H21"/>
    <mergeCell ref="A1:D1"/>
  </mergeCells>
  <conditionalFormatting sqref="J14:Q2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ellIs" dxfId="34" priority="2" operator="less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53FE3F-5BDB-48BD-BF7E-3D50882834FD}">
  <dimension ref="A1:K24"/>
  <sheetViews>
    <sheetView workbookViewId="0">
      <selection sqref="A1:D1"/>
    </sheetView>
  </sheetViews>
  <sheetFormatPr defaultRowHeight="14.5"/>
  <cols>
    <col min="1" max="1" width="25" bestFit="1" customWidth="1"/>
    <col min="2" max="3" width="12.7265625" customWidth="1"/>
  </cols>
  <sheetData>
    <row r="1" spans="1:11" ht="17.5" thickBot="1">
      <c r="A1" s="220" t="s">
        <v>77</v>
      </c>
      <c r="B1" s="220"/>
      <c r="C1" s="220"/>
      <c r="D1" s="220"/>
    </row>
    <row r="2" spans="1:11" ht="15" thickTop="1">
      <c r="G2" s="44">
        <f>B24</f>
        <v>0</v>
      </c>
      <c r="H2" s="12">
        <v>500</v>
      </c>
      <c r="I2" s="12">
        <v>1000</v>
      </c>
      <c r="J2" s="12">
        <v>1500</v>
      </c>
      <c r="K2" s="12">
        <v>2000</v>
      </c>
    </row>
    <row r="3" spans="1:11">
      <c r="A3" s="4" t="s">
        <v>78</v>
      </c>
      <c r="B3" s="41">
        <v>3</v>
      </c>
      <c r="G3" s="38">
        <v>1</v>
      </c>
      <c r="H3" s="38">
        <f t="dataTable" ref="H3:K7" dt2D="1" dtr="1" r1="B6" r2="B3"/>
        <v>-2800</v>
      </c>
      <c r="I3" s="38">
        <v>-2800</v>
      </c>
      <c r="J3" s="38">
        <v>-2800</v>
      </c>
      <c r="K3" s="38">
        <v>-2800</v>
      </c>
    </row>
    <row r="4" spans="1:11">
      <c r="A4" s="4" t="s">
        <v>79</v>
      </c>
      <c r="B4" s="7">
        <f>B3*100000</f>
        <v>300000</v>
      </c>
      <c r="C4" s="43" t="str">
        <f ca="1">_xlfn.FORMULATEXT(B4)</f>
        <v>=B3*100000</v>
      </c>
      <c r="G4" s="38">
        <v>2</v>
      </c>
      <c r="H4" s="38">
        <v>-2025</v>
      </c>
      <c r="I4" s="38">
        <v>-800</v>
      </c>
      <c r="J4" s="38">
        <v>-800</v>
      </c>
      <c r="K4" s="38">
        <v>-800</v>
      </c>
    </row>
    <row r="5" spans="1:11">
      <c r="G5" s="38">
        <v>3</v>
      </c>
      <c r="H5" s="38">
        <v>-7025</v>
      </c>
      <c r="I5" s="38">
        <v>1200</v>
      </c>
      <c r="J5" s="38">
        <v>1200</v>
      </c>
      <c r="K5" s="38">
        <v>1200</v>
      </c>
    </row>
    <row r="6" spans="1:11">
      <c r="A6" s="4" t="s">
        <v>80</v>
      </c>
      <c r="B6" s="36">
        <v>774.95107632093936</v>
      </c>
      <c r="C6" s="43" t="s">
        <v>92</v>
      </c>
      <c r="G6" s="38">
        <v>4</v>
      </c>
      <c r="H6" s="38">
        <v>-12025</v>
      </c>
      <c r="I6" s="38">
        <v>750</v>
      </c>
      <c r="J6" s="38">
        <v>3200</v>
      </c>
      <c r="K6" s="38">
        <v>3200</v>
      </c>
    </row>
    <row r="7" spans="1:11">
      <c r="A7" s="4" t="s">
        <v>81</v>
      </c>
      <c r="B7" s="7">
        <f>365*B6</f>
        <v>282857.14285714284</v>
      </c>
      <c r="C7" s="43" t="str">
        <f ca="1">_xlfn.FORMULATEXT(B7)</f>
        <v>=365*B6</v>
      </c>
      <c r="G7" s="38">
        <v>5</v>
      </c>
      <c r="H7" s="38">
        <v>-17025</v>
      </c>
      <c r="I7" s="38">
        <v>-4250</v>
      </c>
      <c r="J7" s="38">
        <v>5200</v>
      </c>
      <c r="K7" s="38">
        <v>5200</v>
      </c>
    </row>
    <row r="9" spans="1:11">
      <c r="A9" s="4" t="s">
        <v>82</v>
      </c>
      <c r="B9" s="7">
        <f>MIN(B4,B7)</f>
        <v>282857.14285714284</v>
      </c>
    </row>
    <row r="11" spans="1:11" ht="15" thickBot="1">
      <c r="A11" s="224" t="s">
        <v>83</v>
      </c>
      <c r="B11" s="224"/>
      <c r="C11" s="224"/>
      <c r="D11" s="224"/>
    </row>
    <row r="12" spans="1:11">
      <c r="A12" s="4" t="s">
        <v>84</v>
      </c>
      <c r="B12" s="34">
        <v>400</v>
      </c>
      <c r="C12" s="43" t="s">
        <v>86</v>
      </c>
    </row>
    <row r="13" spans="1:11">
      <c r="A13" s="4" t="s">
        <v>85</v>
      </c>
      <c r="B13" s="34"/>
      <c r="C13" s="43"/>
    </row>
    <row r="14" spans="1:11">
      <c r="A14" s="5" t="s">
        <v>87</v>
      </c>
      <c r="B14" s="42">
        <v>5000</v>
      </c>
      <c r="C14" s="43" t="s">
        <v>91</v>
      </c>
    </row>
    <row r="15" spans="1:11">
      <c r="A15" s="5" t="s">
        <v>88</v>
      </c>
      <c r="B15" s="34">
        <v>0.03</v>
      </c>
      <c r="C15" s="43" t="s">
        <v>90</v>
      </c>
    </row>
    <row r="17" spans="1:4">
      <c r="A17" s="4" t="s">
        <v>89</v>
      </c>
      <c r="B17" s="26">
        <f>12*B12+B3*B14+B15*B9</f>
        <v>28285.714285714283</v>
      </c>
      <c r="C17" s="43" t="str">
        <f ca="1">_xlfn.FORMULATEXT(B17)</f>
        <v>=12*B12+B3*B14+B15*B9</v>
      </c>
    </row>
    <row r="19" spans="1:4" ht="15" thickBot="1">
      <c r="A19" s="224" t="s">
        <v>93</v>
      </c>
      <c r="B19" s="224"/>
      <c r="C19" s="224"/>
      <c r="D19" s="224"/>
    </row>
    <row r="20" spans="1:4">
      <c r="A20" s="4" t="s">
        <v>94</v>
      </c>
      <c r="B20" s="34">
        <v>0.1</v>
      </c>
      <c r="C20" s="43" t="s">
        <v>90</v>
      </c>
    </row>
    <row r="21" spans="1:4">
      <c r="A21" s="4"/>
    </row>
    <row r="22" spans="1:4">
      <c r="A22" s="4" t="s">
        <v>95</v>
      </c>
      <c r="B22" s="26">
        <f>B20*B9</f>
        <v>28285.714285714286</v>
      </c>
      <c r="C22" s="43" t="str">
        <f ca="1">_xlfn.FORMULATEXT(B22)</f>
        <v>=B20*B9</v>
      </c>
      <c r="D22" s="43" t="s">
        <v>97</v>
      </c>
    </row>
    <row r="24" spans="1:4">
      <c r="A24" t="s">
        <v>96</v>
      </c>
      <c r="B24" s="26">
        <f>B22-B17</f>
        <v>0</v>
      </c>
      <c r="C24" s="43" t="str">
        <f ca="1">_xlfn.FORMULATEXT(B24)</f>
        <v>=B22-B17</v>
      </c>
      <c r="D24" s="43" t="s">
        <v>97</v>
      </c>
    </row>
  </sheetData>
  <mergeCells count="3">
    <mergeCell ref="A1:D1"/>
    <mergeCell ref="A11:D11"/>
    <mergeCell ref="A19:D19"/>
  </mergeCells>
  <conditionalFormatting sqref="H3:K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1D878E-C0A4-4DB1-90C2-5C2978E7C99C}">
  <dimension ref="A1:K34"/>
  <sheetViews>
    <sheetView zoomScaleNormal="100" workbookViewId="0">
      <selection activeCell="L24" sqref="L24"/>
    </sheetView>
  </sheetViews>
  <sheetFormatPr defaultRowHeight="14.5"/>
  <cols>
    <col min="1" max="1" width="27.7265625" bestFit="1" customWidth="1"/>
    <col min="2" max="2" width="14.26953125" style="7" bestFit="1" customWidth="1"/>
    <col min="5" max="5" width="10.54296875" customWidth="1"/>
    <col min="6" max="7" width="10.453125" customWidth="1"/>
  </cols>
  <sheetData>
    <row r="1" spans="1:11" ht="20" thickBot="1">
      <c r="A1" s="221" t="s">
        <v>98</v>
      </c>
      <c r="B1" s="221"/>
      <c r="C1" s="221"/>
    </row>
    <row r="2" spans="1:11" ht="15" thickTop="1"/>
    <row r="3" spans="1:11" ht="15" thickBot="1">
      <c r="A3" s="45" t="s">
        <v>99</v>
      </c>
      <c r="E3" s="50">
        <f>B23</f>
        <v>-706000</v>
      </c>
      <c r="F3" s="51">
        <v>40</v>
      </c>
      <c r="G3" s="51">
        <v>45</v>
      </c>
      <c r="H3" s="51">
        <v>50</v>
      </c>
      <c r="I3" s="51">
        <v>55</v>
      </c>
      <c r="J3" s="51">
        <v>60</v>
      </c>
      <c r="K3" s="51">
        <v>65</v>
      </c>
    </row>
    <row r="4" spans="1:11">
      <c r="A4" t="s">
        <v>100</v>
      </c>
      <c r="B4" s="36">
        <v>5</v>
      </c>
      <c r="E4" s="13">
        <v>30</v>
      </c>
      <c r="F4" s="38">
        <f t="dataTable" ref="F4:K9" dt2D="1" dtr="1" r1="B19" r2="B5" ca="1"/>
        <v>-1666000</v>
      </c>
      <c r="G4" s="38">
        <v>-1186000</v>
      </c>
      <c r="H4" s="38">
        <v>-706000</v>
      </c>
      <c r="I4" s="38">
        <v>-226000</v>
      </c>
      <c r="J4" s="38">
        <v>254000</v>
      </c>
      <c r="K4" s="38">
        <v>734000</v>
      </c>
    </row>
    <row r="5" spans="1:11">
      <c r="A5" t="s">
        <v>101</v>
      </c>
      <c r="B5" s="36">
        <v>30</v>
      </c>
      <c r="E5" s="13">
        <v>35</v>
      </c>
      <c r="F5" s="38">
        <v>-1027000</v>
      </c>
      <c r="G5" s="38">
        <v>-467000</v>
      </c>
      <c r="H5" s="38">
        <v>93000</v>
      </c>
      <c r="I5" s="38">
        <v>653000</v>
      </c>
      <c r="J5" s="38">
        <v>1213000</v>
      </c>
      <c r="K5" s="38">
        <v>1773000</v>
      </c>
    </row>
    <row r="6" spans="1:11">
      <c r="A6" t="s">
        <v>102</v>
      </c>
      <c r="B6" s="7">
        <f>B5*B4</f>
        <v>150</v>
      </c>
      <c r="C6" t="str">
        <f ca="1">_xlfn.FORMULATEXT(B6)</f>
        <v>=B5*B4</v>
      </c>
      <c r="E6" s="13">
        <v>40</v>
      </c>
      <c r="F6" s="38">
        <v>-388000</v>
      </c>
      <c r="G6" s="38">
        <v>252000</v>
      </c>
      <c r="H6" s="38">
        <v>892000</v>
      </c>
      <c r="I6" s="38">
        <v>1532000</v>
      </c>
      <c r="J6" s="38">
        <v>2172000</v>
      </c>
      <c r="K6" s="38">
        <v>2812000</v>
      </c>
    </row>
    <row r="7" spans="1:11">
      <c r="E7" s="13">
        <v>45</v>
      </c>
      <c r="F7" s="38">
        <v>251000</v>
      </c>
      <c r="G7" s="38">
        <v>971000</v>
      </c>
      <c r="H7" s="38">
        <v>1691000</v>
      </c>
      <c r="I7" s="38">
        <v>2411000</v>
      </c>
      <c r="J7" s="38">
        <v>3131000</v>
      </c>
      <c r="K7" s="38">
        <v>3851000</v>
      </c>
    </row>
    <row r="8" spans="1:11" ht="15" thickBot="1">
      <c r="A8" s="45" t="s">
        <v>103</v>
      </c>
      <c r="E8" s="13">
        <v>50</v>
      </c>
      <c r="F8" s="38">
        <v>890000</v>
      </c>
      <c r="G8" s="38">
        <v>1690000</v>
      </c>
      <c r="H8" s="38">
        <v>2490000</v>
      </c>
      <c r="I8" s="38">
        <v>3290000</v>
      </c>
      <c r="J8" s="38">
        <v>4090000</v>
      </c>
      <c r="K8" s="38">
        <v>4890000</v>
      </c>
    </row>
    <row r="9" spans="1:11">
      <c r="A9" t="s">
        <v>104</v>
      </c>
      <c r="B9" s="7">
        <v>800</v>
      </c>
      <c r="E9" s="13">
        <v>55</v>
      </c>
      <c r="F9" s="38">
        <v>1529000</v>
      </c>
      <c r="G9" s="38">
        <v>2409000</v>
      </c>
      <c r="H9" s="38">
        <v>3289000</v>
      </c>
      <c r="I9" s="38">
        <v>4169000</v>
      </c>
      <c r="J9" s="38">
        <v>5049000</v>
      </c>
      <c r="K9" s="38">
        <v>5929000</v>
      </c>
    </row>
    <row r="10" spans="1:11">
      <c r="A10" t="s">
        <v>105</v>
      </c>
      <c r="B10" s="46">
        <v>0.8</v>
      </c>
    </row>
    <row r="11" spans="1:11">
      <c r="A11" t="s">
        <v>106</v>
      </c>
      <c r="B11" s="7">
        <f>B10*B9</f>
        <v>640</v>
      </c>
      <c r="C11" t="str">
        <f ca="1">_xlfn.FORMULATEXT(B11)</f>
        <v>=B10*B9</v>
      </c>
    </row>
    <row r="13" spans="1:11" ht="15" thickBot="1">
      <c r="A13" s="45" t="s">
        <v>83</v>
      </c>
    </row>
    <row r="14" spans="1:11">
      <c r="A14" t="s">
        <v>107</v>
      </c>
      <c r="B14" s="47">
        <v>5500000</v>
      </c>
    </row>
    <row r="15" spans="1:11">
      <c r="A15" t="s">
        <v>108</v>
      </c>
      <c r="B15" s="47">
        <v>1000</v>
      </c>
    </row>
    <row r="16" spans="1:11">
      <c r="A16" t="s">
        <v>109</v>
      </c>
      <c r="B16" s="47">
        <f>B14+B15*B6</f>
        <v>5650000</v>
      </c>
      <c r="C16" t="str">
        <f ca="1">_xlfn.FORMULATEXT(B16)</f>
        <v>=B14+B15*B6</v>
      </c>
    </row>
    <row r="18" spans="1:3" ht="15" thickBot="1">
      <c r="A18" s="45" t="s">
        <v>93</v>
      </c>
    </row>
    <row r="19" spans="1:3">
      <c r="A19" t="s">
        <v>110</v>
      </c>
      <c r="B19" s="48">
        <v>50</v>
      </c>
    </row>
    <row r="20" spans="1:3">
      <c r="A20" t="s">
        <v>111</v>
      </c>
      <c r="B20" s="48">
        <v>1.5</v>
      </c>
    </row>
    <row r="21" spans="1:3">
      <c r="A21" t="s">
        <v>112</v>
      </c>
      <c r="B21" s="47">
        <f>B6*B11*(B19+B20)</f>
        <v>4944000</v>
      </c>
      <c r="C21" t="str">
        <f ca="1">_xlfn.FORMULATEXT(B21)</f>
        <v>=B6*B11*(B19+B20)</v>
      </c>
    </row>
    <row r="23" spans="1:3" ht="15" thickBot="1">
      <c r="A23" s="45" t="s">
        <v>113</v>
      </c>
      <c r="B23" s="49">
        <f>B21-B16</f>
        <v>-706000</v>
      </c>
    </row>
    <row r="26" spans="1:3">
      <c r="A26" s="52" t="s">
        <v>114</v>
      </c>
      <c r="B26" s="53" t="s">
        <v>113</v>
      </c>
    </row>
    <row r="27" spans="1:3">
      <c r="A27" s="53"/>
      <c r="B27" s="55">
        <f>B23</f>
        <v>-706000</v>
      </c>
    </row>
    <row r="28" spans="1:3">
      <c r="A28" s="54">
        <v>0.4</v>
      </c>
      <c r="B28" s="56">
        <f t="dataTable" ref="B28:B34" dt2D="0" dtr="0" r1="B10"/>
        <v>-3178000</v>
      </c>
    </row>
    <row r="29" spans="1:3">
      <c r="A29" s="54">
        <v>0.5</v>
      </c>
      <c r="B29" s="56">
        <v>-2560000</v>
      </c>
    </row>
    <row r="30" spans="1:3">
      <c r="A30" s="54">
        <v>0.6</v>
      </c>
      <c r="B30" s="56">
        <v>-1942000</v>
      </c>
    </row>
    <row r="31" spans="1:3">
      <c r="A31" s="54">
        <v>0.7</v>
      </c>
      <c r="B31" s="56">
        <v>-1324000</v>
      </c>
    </row>
    <row r="32" spans="1:3">
      <c r="A32" s="54">
        <v>0.8</v>
      </c>
      <c r="B32" s="56">
        <v>-706000</v>
      </c>
    </row>
    <row r="33" spans="1:2">
      <c r="A33" s="54">
        <v>0.9</v>
      </c>
      <c r="B33" s="56">
        <v>-88000</v>
      </c>
    </row>
    <row r="34" spans="1:2">
      <c r="A34" s="54">
        <v>1</v>
      </c>
      <c r="B34" s="56">
        <v>530000</v>
      </c>
    </row>
  </sheetData>
  <mergeCells count="1">
    <mergeCell ref="A1:C1"/>
  </mergeCells>
  <phoneticPr fontId="10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B2C7E7-C36C-4539-B076-ED97C137E2B0}">
  <dimension ref="A1:N132"/>
  <sheetViews>
    <sheetView zoomScaleNormal="100" workbookViewId="0">
      <selection activeCell="H21" sqref="H21"/>
    </sheetView>
  </sheetViews>
  <sheetFormatPr defaultRowHeight="14.5"/>
  <cols>
    <col min="1" max="1" width="14.453125" customWidth="1"/>
    <col min="2" max="2" width="12.26953125" bestFit="1" customWidth="1"/>
    <col min="3" max="3" width="14.453125" customWidth="1"/>
    <col min="4" max="4" width="11.54296875" bestFit="1" customWidth="1"/>
    <col min="5" max="5" width="19" bestFit="1" customWidth="1"/>
    <col min="7" max="7" width="11" style="7" customWidth="1"/>
    <col min="8" max="8" width="15.26953125" bestFit="1" customWidth="1"/>
    <col min="9" max="9" width="13.453125" bestFit="1" customWidth="1"/>
    <col min="10" max="14" width="15.1796875" bestFit="1" customWidth="1"/>
  </cols>
  <sheetData>
    <row r="1" spans="1:6">
      <c r="A1" s="57" t="s">
        <v>115</v>
      </c>
      <c r="B1" s="57" t="s">
        <v>116</v>
      </c>
      <c r="C1" s="57" t="s">
        <v>117</v>
      </c>
    </row>
    <row r="2" spans="1:6">
      <c r="A2" s="12">
        <v>1</v>
      </c>
      <c r="B2" s="12">
        <v>450</v>
      </c>
      <c r="C2" s="12">
        <v>45</v>
      </c>
    </row>
    <row r="3" spans="1:6">
      <c r="A3" s="12">
        <v>2</v>
      </c>
      <c r="B3" s="12">
        <v>300</v>
      </c>
      <c r="C3" s="12">
        <v>103</v>
      </c>
    </row>
    <row r="4" spans="1:6">
      <c r="A4" s="12">
        <v>3</v>
      </c>
      <c r="B4" s="12">
        <v>440</v>
      </c>
      <c r="C4" s="12">
        <v>49</v>
      </c>
    </row>
    <row r="5" spans="1:6">
      <c r="A5" s="12">
        <v>4</v>
      </c>
      <c r="B5" s="12">
        <v>360</v>
      </c>
      <c r="C5" s="12">
        <v>86</v>
      </c>
    </row>
    <row r="6" spans="1:6">
      <c r="A6" s="12">
        <v>5</v>
      </c>
      <c r="B6" s="12">
        <v>290</v>
      </c>
      <c r="C6" s="12">
        <v>125</v>
      </c>
    </row>
    <row r="7" spans="1:6">
      <c r="A7" s="12">
        <v>6</v>
      </c>
      <c r="B7" s="12">
        <v>450</v>
      </c>
      <c r="C7" s="12">
        <v>52</v>
      </c>
    </row>
    <row r="8" spans="1:6">
      <c r="A8" s="12">
        <v>7</v>
      </c>
      <c r="B8" s="12">
        <v>340</v>
      </c>
      <c r="C8" s="12">
        <v>87</v>
      </c>
    </row>
    <row r="9" spans="1:6">
      <c r="A9" s="12">
        <v>8</v>
      </c>
      <c r="B9" s="12">
        <v>370</v>
      </c>
      <c r="C9" s="12">
        <v>68</v>
      </c>
    </row>
    <row r="10" spans="1:6">
      <c r="A10" s="12">
        <v>9</v>
      </c>
      <c r="B10" s="12">
        <v>500</v>
      </c>
      <c r="C10" s="12">
        <v>45</v>
      </c>
    </row>
    <row r="11" spans="1:6">
      <c r="A11" s="12">
        <v>10</v>
      </c>
      <c r="B11" s="12">
        <v>490</v>
      </c>
      <c r="C11" s="12">
        <v>44</v>
      </c>
    </row>
    <row r="12" spans="1:6">
      <c r="A12" s="12">
        <v>11</v>
      </c>
      <c r="B12" s="12">
        <v>430</v>
      </c>
      <c r="C12" s="12">
        <v>58</v>
      </c>
    </row>
    <row r="13" spans="1:6">
      <c r="A13" s="12">
        <v>12</v>
      </c>
      <c r="B13" s="12">
        <v>390</v>
      </c>
      <c r="C13" s="12">
        <v>68</v>
      </c>
    </row>
    <row r="15" spans="1:6">
      <c r="A15" s="227" t="s">
        <v>128</v>
      </c>
      <c r="B15" s="228"/>
      <c r="C15" s="227" t="s">
        <v>120</v>
      </c>
      <c r="D15" s="228"/>
      <c r="E15" s="227" t="s">
        <v>129</v>
      </c>
      <c r="F15" s="228"/>
    </row>
    <row r="16" spans="1:6">
      <c r="A16" s="38" t="s">
        <v>118</v>
      </c>
      <c r="B16" s="12">
        <v>211.31</v>
      </c>
      <c r="C16" s="38" t="s">
        <v>121</v>
      </c>
      <c r="D16" s="12">
        <v>5871064</v>
      </c>
      <c r="E16" s="38" t="s">
        <v>121</v>
      </c>
      <c r="F16" s="12">
        <v>466.51</v>
      </c>
    </row>
    <row r="17" spans="1:8">
      <c r="A17" s="38" t="s">
        <v>119</v>
      </c>
      <c r="B17" s="12">
        <v>-0.35460000000000003</v>
      </c>
      <c r="C17" s="38" t="s">
        <v>122</v>
      </c>
      <c r="D17" s="12">
        <v>-1.9079999999999999</v>
      </c>
      <c r="E17" s="38" t="s">
        <v>122</v>
      </c>
      <c r="F17" s="12">
        <v>-5.0000000000000001E-3</v>
      </c>
    </row>
    <row r="19" spans="1:8" ht="15" thickBot="1">
      <c r="A19" s="229" t="s">
        <v>123</v>
      </c>
      <c r="B19" s="230"/>
      <c r="C19" s="230"/>
      <c r="D19" s="230"/>
      <c r="F19" t="s">
        <v>130</v>
      </c>
    </row>
    <row r="20" spans="1:8">
      <c r="A20" s="58" t="s">
        <v>127</v>
      </c>
      <c r="B20" s="60" t="s">
        <v>124</v>
      </c>
      <c r="C20" s="61" t="s">
        <v>125</v>
      </c>
      <c r="D20" s="62" t="s">
        <v>126</v>
      </c>
      <c r="E20" s="69" t="s">
        <v>117</v>
      </c>
      <c r="F20" s="60" t="s">
        <v>124</v>
      </c>
      <c r="G20" s="61" t="s">
        <v>125</v>
      </c>
      <c r="H20" s="62" t="s">
        <v>126</v>
      </c>
    </row>
    <row r="21" spans="1:8">
      <c r="A21" s="59">
        <v>450</v>
      </c>
      <c r="B21" s="63">
        <f>$B$17*A21+$B$16</f>
        <v>51.739999999999981</v>
      </c>
      <c r="C21" s="64">
        <f>$D$16*A21^$D$17</f>
        <v>50.861286169919921</v>
      </c>
      <c r="D21" s="65">
        <f>$F$16*EXP($F$17*A21)</f>
        <v>49.169792250355329</v>
      </c>
      <c r="E21" s="70">
        <v>45</v>
      </c>
      <c r="F21" s="72">
        <f>ABS(B21-E21)/E21</f>
        <v>0.14977777777777734</v>
      </c>
      <c r="G21" s="71">
        <f>ABS(C21-E21)/E21</f>
        <v>0.13025080377599826</v>
      </c>
      <c r="H21" s="77">
        <f>ABS(D21-E21)/E21</f>
        <v>9.2662050007896193E-2</v>
      </c>
    </row>
    <row r="22" spans="1:8">
      <c r="A22" s="59">
        <v>300</v>
      </c>
      <c r="B22" s="63">
        <f t="shared" ref="B22:B32" si="0">$B$17*A22+$B$16</f>
        <v>104.92999999999999</v>
      </c>
      <c r="C22" s="64">
        <f t="shared" ref="C22:C32" si="1">$D$16*A22^$D$17</f>
        <v>110.2476803704582</v>
      </c>
      <c r="D22" s="65">
        <f t="shared" ref="D22:D32" si="2">$F$16*EXP($F$17*A22)</f>
        <v>104.09245101084399</v>
      </c>
      <c r="E22" s="70">
        <v>103</v>
      </c>
      <c r="F22" s="72">
        <f t="shared" ref="F22:F32" si="3">ABS(B22-E22)/E22</f>
        <v>1.8737864077669832E-2</v>
      </c>
      <c r="G22" s="71">
        <f t="shared" ref="G22:G32" si="4">ABS(C22-E22)/E22</f>
        <v>7.0365828839399985E-2</v>
      </c>
      <c r="H22" s="77">
        <f t="shared" ref="H22:H32" si="5">ABS(D22-E22)/E22</f>
        <v>1.0606320493630948E-2</v>
      </c>
    </row>
    <row r="23" spans="1:8">
      <c r="A23" s="59">
        <v>440</v>
      </c>
      <c r="B23" s="63">
        <f t="shared" si="0"/>
        <v>55.286000000000001</v>
      </c>
      <c r="C23" s="64">
        <f t="shared" si="1"/>
        <v>53.089557787712614</v>
      </c>
      <c r="D23" s="65">
        <f t="shared" si="2"/>
        <v>51.69078140761237</v>
      </c>
      <c r="E23" s="70">
        <v>49</v>
      </c>
      <c r="F23" s="72">
        <f t="shared" si="3"/>
        <v>0.12828571428571431</v>
      </c>
      <c r="G23" s="71">
        <f t="shared" si="4"/>
        <v>8.3460363014543154E-2</v>
      </c>
      <c r="H23" s="77">
        <f t="shared" si="5"/>
        <v>5.4913906277803466E-2</v>
      </c>
    </row>
    <row r="24" spans="1:8">
      <c r="A24" s="59">
        <v>360</v>
      </c>
      <c r="B24" s="63">
        <f t="shared" si="0"/>
        <v>83.653999999999996</v>
      </c>
      <c r="C24" s="64">
        <f t="shared" si="1"/>
        <v>77.85592038588905</v>
      </c>
      <c r="D24" s="65">
        <f t="shared" si="2"/>
        <v>77.113584344252331</v>
      </c>
      <c r="E24" s="70">
        <v>86</v>
      </c>
      <c r="F24" s="72">
        <f t="shared" si="3"/>
        <v>2.7279069767441901E-2</v>
      </c>
      <c r="G24" s="71">
        <f t="shared" si="4"/>
        <v>9.4698600164080812E-2</v>
      </c>
      <c r="H24" s="77">
        <f t="shared" si="5"/>
        <v>0.10333041460171709</v>
      </c>
    </row>
    <row r="25" spans="1:8">
      <c r="A25" s="59">
        <v>290</v>
      </c>
      <c r="B25" s="63">
        <f t="shared" si="0"/>
        <v>108.476</v>
      </c>
      <c r="C25" s="64">
        <f t="shared" si="1"/>
        <v>117.61465381582187</v>
      </c>
      <c r="D25" s="65">
        <f t="shared" si="2"/>
        <v>109.42938509863754</v>
      </c>
      <c r="E25" s="70">
        <v>125</v>
      </c>
      <c r="F25" s="72">
        <f t="shared" si="3"/>
        <v>0.132192</v>
      </c>
      <c r="G25" s="71">
        <f t="shared" si="4"/>
        <v>5.9082769473425063E-2</v>
      </c>
      <c r="H25" s="77">
        <f t="shared" si="5"/>
        <v>0.12456491921089968</v>
      </c>
    </row>
    <row r="26" spans="1:8">
      <c r="A26" s="59">
        <v>450</v>
      </c>
      <c r="B26" s="63">
        <f t="shared" si="0"/>
        <v>51.739999999999981</v>
      </c>
      <c r="C26" s="64">
        <f t="shared" si="1"/>
        <v>50.861286169919921</v>
      </c>
      <c r="D26" s="65">
        <f t="shared" si="2"/>
        <v>49.169792250355329</v>
      </c>
      <c r="E26" s="70">
        <v>52</v>
      </c>
      <c r="F26" s="72">
        <f t="shared" si="3"/>
        <v>5.0000000000003713E-3</v>
      </c>
      <c r="G26" s="71">
        <f t="shared" si="4"/>
        <v>2.1898342886155355E-2</v>
      </c>
      <c r="H26" s="77">
        <f t="shared" si="5"/>
        <v>5.4427072108551369E-2</v>
      </c>
    </row>
    <row r="27" spans="1:8">
      <c r="A27" s="59">
        <v>340</v>
      </c>
      <c r="B27" s="63">
        <f t="shared" si="0"/>
        <v>90.745999999999995</v>
      </c>
      <c r="C27" s="64">
        <f t="shared" si="1"/>
        <v>86.827049006961417</v>
      </c>
      <c r="D27" s="65">
        <f t="shared" si="2"/>
        <v>85.223690805841244</v>
      </c>
      <c r="E27" s="70">
        <v>87</v>
      </c>
      <c r="F27" s="72">
        <f t="shared" si="3"/>
        <v>4.3057471264367757E-2</v>
      </c>
      <c r="G27" s="71">
        <f t="shared" si="4"/>
        <v>1.9879424487193459E-3</v>
      </c>
      <c r="H27" s="77">
        <f t="shared" si="5"/>
        <v>2.0417347059296046E-2</v>
      </c>
    </row>
    <row r="28" spans="1:8">
      <c r="A28" s="59">
        <v>370</v>
      </c>
      <c r="B28" s="63">
        <f t="shared" si="0"/>
        <v>80.108000000000004</v>
      </c>
      <c r="C28" s="64">
        <f t="shared" si="1"/>
        <v>73.890384263545585</v>
      </c>
      <c r="D28" s="65">
        <f t="shared" si="2"/>
        <v>73.352710456970414</v>
      </c>
      <c r="E28" s="70">
        <v>68</v>
      </c>
      <c r="F28" s="72">
        <f t="shared" si="3"/>
        <v>0.17805882352941182</v>
      </c>
      <c r="G28" s="71">
        <f t="shared" si="4"/>
        <v>8.6623297993317416E-2</v>
      </c>
      <c r="H28" s="77">
        <f t="shared" si="5"/>
        <v>7.8716330249564911E-2</v>
      </c>
    </row>
    <row r="29" spans="1:8">
      <c r="A29" s="59">
        <v>500</v>
      </c>
      <c r="B29" s="63">
        <f t="shared" si="0"/>
        <v>34.009999999999991</v>
      </c>
      <c r="C29" s="64">
        <f t="shared" si="1"/>
        <v>41.59891911995917</v>
      </c>
      <c r="D29" s="65">
        <f t="shared" si="2"/>
        <v>38.293472708035026</v>
      </c>
      <c r="E29" s="70">
        <v>45</v>
      </c>
      <c r="F29" s="72">
        <f t="shared" si="3"/>
        <v>0.24422222222222242</v>
      </c>
      <c r="G29" s="71">
        <f t="shared" si="4"/>
        <v>7.5579575112018446E-2</v>
      </c>
      <c r="H29" s="77">
        <f t="shared" si="5"/>
        <v>0.14903393982144386</v>
      </c>
    </row>
    <row r="30" spans="1:8">
      <c r="A30" s="59">
        <v>490</v>
      </c>
      <c r="B30" s="63">
        <f t="shared" si="0"/>
        <v>37.555999999999983</v>
      </c>
      <c r="C30" s="64">
        <f t="shared" si="1"/>
        <v>43.233728796663705</v>
      </c>
      <c r="D30" s="65">
        <f t="shared" si="2"/>
        <v>40.256821037821332</v>
      </c>
      <c r="E30" s="70">
        <v>44</v>
      </c>
      <c r="F30" s="72">
        <f t="shared" si="3"/>
        <v>0.14645454545454584</v>
      </c>
      <c r="G30" s="71">
        <f t="shared" si="4"/>
        <v>1.7415254621279432E-2</v>
      </c>
      <c r="H30" s="77">
        <f t="shared" si="5"/>
        <v>8.5072249140424272E-2</v>
      </c>
    </row>
    <row r="31" spans="1:8">
      <c r="A31" s="59">
        <v>430</v>
      </c>
      <c r="B31" s="63">
        <f t="shared" si="0"/>
        <v>58.831999999999994</v>
      </c>
      <c r="C31" s="64">
        <f t="shared" si="1"/>
        <v>55.470106712335337</v>
      </c>
      <c r="D31" s="65">
        <f t="shared" si="2"/>
        <v>54.341024442914069</v>
      </c>
      <c r="E31" s="70">
        <v>58</v>
      </c>
      <c r="F31" s="72">
        <f t="shared" si="3"/>
        <v>1.4344827586206787E-2</v>
      </c>
      <c r="G31" s="71">
        <f t="shared" si="4"/>
        <v>4.3618849787321778E-2</v>
      </c>
      <c r="H31" s="77">
        <f t="shared" si="5"/>
        <v>6.3085785466998806E-2</v>
      </c>
    </row>
    <row r="32" spans="1:8" ht="15" thickBot="1">
      <c r="A32" s="59">
        <v>390</v>
      </c>
      <c r="B32" s="66">
        <f t="shared" si="0"/>
        <v>73.015999999999991</v>
      </c>
      <c r="C32" s="67">
        <f t="shared" si="1"/>
        <v>66.829089531318985</v>
      </c>
      <c r="D32" s="68">
        <f t="shared" si="2"/>
        <v>66.372277135824447</v>
      </c>
      <c r="E32" s="70">
        <v>68</v>
      </c>
      <c r="F32" s="74">
        <f t="shared" si="3"/>
        <v>7.3764705882352816E-2</v>
      </c>
      <c r="G32" s="78">
        <f t="shared" si="4"/>
        <v>1.7219271598250221E-2</v>
      </c>
      <c r="H32" s="79">
        <f t="shared" si="5"/>
        <v>2.393710094375813E-2</v>
      </c>
    </row>
    <row r="33" spans="1:8" ht="15" thickBot="1">
      <c r="E33" s="73" t="s">
        <v>131</v>
      </c>
      <c r="F33" s="75">
        <f>AVERAGE(F21:F32)</f>
        <v>9.6764585153975916E-2</v>
      </c>
      <c r="G33" s="80">
        <f>AVERAGE(G21:G32)</f>
        <v>5.8516741642875771E-2</v>
      </c>
      <c r="H33" s="76">
        <f>AVERAGE(H21:H32)</f>
        <v>7.17306196151654E-2</v>
      </c>
    </row>
    <row r="35" spans="1:8">
      <c r="A35" t="s">
        <v>132</v>
      </c>
    </row>
    <row r="36" spans="1:8">
      <c r="A36" t="s">
        <v>39</v>
      </c>
      <c r="B36" s="82">
        <v>250</v>
      </c>
      <c r="C36" t="s">
        <v>133</v>
      </c>
      <c r="G36" s="83" t="s">
        <v>116</v>
      </c>
      <c r="H36" s="84" t="s">
        <v>113</v>
      </c>
    </row>
    <row r="37" spans="1:8">
      <c r="A37" t="s">
        <v>72</v>
      </c>
      <c r="B37" s="82">
        <v>700</v>
      </c>
      <c r="C37" t="s">
        <v>134</v>
      </c>
      <c r="H37" s="55">
        <f>B43</f>
        <v>985104.42081539321</v>
      </c>
    </row>
    <row r="38" spans="1:8">
      <c r="A38" t="s">
        <v>136</v>
      </c>
      <c r="B38" s="81">
        <f>D16*B37^D17</f>
        <v>21.891209351453181</v>
      </c>
      <c r="C38" t="s">
        <v>135</v>
      </c>
      <c r="E38" t="str">
        <f ca="1">_xlfn.FORMULATEXT(B38)</f>
        <v>=D16*B37^D17</v>
      </c>
      <c r="G38" s="7">
        <v>260</v>
      </c>
      <c r="H38" s="56">
        <f t="dataTable" ref="H38:H83" dt2D="0" dtr="0" r1="B37"/>
        <v>144859.72842847556</v>
      </c>
    </row>
    <row r="39" spans="1:8">
      <c r="A39" t="s">
        <v>137</v>
      </c>
      <c r="B39" s="81">
        <f>B38*100</f>
        <v>2189.1209351453181</v>
      </c>
      <c r="E39" t="str">
        <f ca="1">_xlfn.FORMULATEXT(B39)</f>
        <v>=B38*100</v>
      </c>
      <c r="G39" s="7">
        <v>270</v>
      </c>
      <c r="H39" s="56">
        <v>269590.60184817808</v>
      </c>
    </row>
    <row r="40" spans="1:8">
      <c r="G40" s="7">
        <v>280</v>
      </c>
      <c r="H40" s="56">
        <v>377277.18719872413</v>
      </c>
    </row>
    <row r="41" spans="1:8">
      <c r="A41" t="s">
        <v>138</v>
      </c>
      <c r="B41" s="26">
        <f>B39*B36</f>
        <v>547280.23378632951</v>
      </c>
      <c r="E41" t="str">
        <f ca="1">_xlfn.FORMULATEXT(B41)</f>
        <v>=B39*B36</v>
      </c>
      <c r="G41" s="7">
        <v>290</v>
      </c>
      <c r="H41" s="56">
        <v>470458.61526328744</v>
      </c>
    </row>
    <row r="42" spans="1:8">
      <c r="A42" t="s">
        <v>28</v>
      </c>
      <c r="B42" s="26">
        <f>B39*B37</f>
        <v>1532384.6546017227</v>
      </c>
      <c r="E42" t="str">
        <f ca="1">_xlfn.FORMULATEXT(B42)</f>
        <v>=B39*B37</v>
      </c>
      <c r="G42" s="7">
        <v>300</v>
      </c>
      <c r="H42" s="56">
        <v>551238.40185229108</v>
      </c>
    </row>
    <row r="43" spans="1:8">
      <c r="A43" t="s">
        <v>64</v>
      </c>
      <c r="B43" s="26">
        <f>B42-B41</f>
        <v>985104.42081539321</v>
      </c>
      <c r="E43" t="str">
        <f ca="1">_xlfn.FORMULATEXT(B43)</f>
        <v>=B42-B41</v>
      </c>
      <c r="G43" s="7">
        <v>310</v>
      </c>
      <c r="H43" s="56">
        <v>621369.53021456813</v>
      </c>
    </row>
    <row r="44" spans="1:8">
      <c r="G44" s="7">
        <v>320</v>
      </c>
      <c r="H44" s="56">
        <v>682320.93416212313</v>
      </c>
    </row>
    <row r="45" spans="1:8">
      <c r="G45" s="7">
        <v>330</v>
      </c>
      <c r="H45" s="56">
        <v>735329.86392835062</v>
      </c>
    </row>
    <row r="46" spans="1:8">
      <c r="G46" s="7">
        <v>340</v>
      </c>
      <c r="H46" s="56">
        <v>781443.44106265297</v>
      </c>
    </row>
    <row r="47" spans="1:8">
      <c r="G47" s="7">
        <v>350</v>
      </c>
      <c r="H47" s="56">
        <v>821551.86522268457</v>
      </c>
    </row>
    <row r="48" spans="1:8">
      <c r="G48" s="7">
        <v>360</v>
      </c>
      <c r="H48" s="56">
        <v>856415.12424477958</v>
      </c>
    </row>
    <row r="49" spans="7:10">
      <c r="G49" s="7">
        <v>370</v>
      </c>
      <c r="H49" s="56">
        <v>886684.61116254725</v>
      </c>
    </row>
    <row r="50" spans="7:10">
      <c r="G50" s="7">
        <v>380</v>
      </c>
      <c r="H50" s="56">
        <v>912920.72098907013</v>
      </c>
    </row>
    <row r="51" spans="7:10">
      <c r="G51" s="7">
        <v>390</v>
      </c>
      <c r="H51" s="56">
        <v>935607.253438466</v>
      </c>
    </row>
    <row r="52" spans="7:10">
      <c r="G52" s="7">
        <v>400</v>
      </c>
      <c r="H52" s="56">
        <v>955163.26238462282</v>
      </c>
    </row>
    <row r="53" spans="7:10">
      <c r="G53" s="7">
        <v>410</v>
      </c>
      <c r="H53" s="56">
        <v>971952.85243747453</v>
      </c>
    </row>
    <row r="54" spans="7:10">
      <c r="G54" s="7">
        <v>420</v>
      </c>
      <c r="H54" s="56">
        <v>986293.31587235699</v>
      </c>
    </row>
    <row r="55" spans="7:10">
      <c r="G55" s="7">
        <v>430</v>
      </c>
      <c r="H55" s="56">
        <v>998461.92082203622</v>
      </c>
    </row>
    <row r="56" spans="7:10">
      <c r="G56" s="7">
        <v>440</v>
      </c>
      <c r="H56" s="56">
        <v>1008701.5979665397</v>
      </c>
      <c r="J56" t="s">
        <v>139</v>
      </c>
    </row>
    <row r="57" spans="7:10">
      <c r="G57" s="7">
        <v>450</v>
      </c>
      <c r="H57" s="56">
        <v>1017225.7233983984</v>
      </c>
    </row>
    <row r="58" spans="7:10">
      <c r="G58" s="7">
        <v>460</v>
      </c>
      <c r="H58" s="56">
        <v>1024222.1565401531</v>
      </c>
    </row>
    <row r="59" spans="7:10">
      <c r="G59" s="7">
        <v>470</v>
      </c>
      <c r="H59" s="56">
        <v>1029856.6614397548</v>
      </c>
    </row>
    <row r="60" spans="7:10">
      <c r="G60" s="7">
        <v>480</v>
      </c>
      <c r="H60" s="56">
        <v>1034275.8155834542</v>
      </c>
    </row>
    <row r="61" spans="7:10">
      <c r="G61" s="7">
        <v>490</v>
      </c>
      <c r="H61" s="56">
        <v>1037609.4911199291</v>
      </c>
    </row>
    <row r="62" spans="7:10">
      <c r="G62" s="7">
        <v>500</v>
      </c>
      <c r="H62" s="56">
        <v>1039972.9779989794</v>
      </c>
    </row>
    <row r="63" spans="7:10">
      <c r="G63" s="7">
        <v>510</v>
      </c>
      <c r="H63" s="56">
        <v>1041468.8061629091</v>
      </c>
    </row>
    <row r="64" spans="7:10">
      <c r="G64" s="7">
        <v>520</v>
      </c>
      <c r="H64" s="56">
        <v>1042188.3139489595</v>
      </c>
    </row>
    <row r="65" spans="7:8">
      <c r="G65" s="7">
        <v>530</v>
      </c>
      <c r="H65" s="56">
        <v>1042213.0017719698</v>
      </c>
    </row>
    <row r="66" spans="7:8">
      <c r="G66" s="7">
        <v>540</v>
      </c>
      <c r="H66" s="56">
        <v>1041615.7035724644</v>
      </c>
    </row>
    <row r="67" spans="7:8">
      <c r="G67" s="7">
        <v>550</v>
      </c>
      <c r="H67" s="56">
        <v>1040461.6031350964</v>
      </c>
    </row>
    <row r="68" spans="7:8">
      <c r="G68" s="7">
        <v>560</v>
      </c>
      <c r="H68" s="56">
        <v>1038809.1179690239</v>
      </c>
    </row>
    <row r="69" spans="7:8">
      <c r="G69" s="7">
        <v>570</v>
      </c>
      <c r="H69" s="56">
        <v>1036710.669808225</v>
      </c>
    </row>
    <row r="70" spans="7:8">
      <c r="G70" s="7">
        <v>580</v>
      </c>
      <c r="H70" s="56">
        <v>1034213.3577876764</v>
      </c>
    </row>
    <row r="71" spans="7:8">
      <c r="G71" s="7">
        <v>590</v>
      </c>
      <c r="H71" s="56">
        <v>1031359.5478624469</v>
      </c>
    </row>
    <row r="72" spans="7:8">
      <c r="G72" s="7">
        <v>600</v>
      </c>
      <c r="H72" s="56">
        <v>1028187.3899667513</v>
      </c>
    </row>
    <row r="73" spans="7:8">
      <c r="G73" s="7">
        <v>800</v>
      </c>
      <c r="H73" s="56">
        <v>933219.50848926988</v>
      </c>
    </row>
    <row r="74" spans="7:8">
      <c r="G74" s="7">
        <v>900</v>
      </c>
      <c r="H74" s="56">
        <v>880917.95766693447</v>
      </c>
    </row>
    <row r="75" spans="7:8">
      <c r="G75" s="7">
        <v>1000</v>
      </c>
      <c r="H75" s="56">
        <v>831338.85314930137</v>
      </c>
    </row>
    <row r="76" spans="7:8">
      <c r="G76" s="7">
        <v>1100</v>
      </c>
      <c r="H76" s="56">
        <v>785522.26095810602</v>
      </c>
    </row>
    <row r="77" spans="7:8">
      <c r="G77" s="7">
        <v>1200</v>
      </c>
      <c r="H77" s="56">
        <v>743639.76069940359</v>
      </c>
    </row>
    <row r="78" spans="7:8">
      <c r="G78" s="7">
        <v>1300</v>
      </c>
      <c r="H78" s="56">
        <v>705508.4138351829</v>
      </c>
    </row>
    <row r="79" spans="7:8">
      <c r="G79" s="7">
        <v>1400</v>
      </c>
      <c r="H79" s="56">
        <v>670814.37853000883</v>
      </c>
    </row>
    <row r="80" spans="7:8">
      <c r="G80" s="7">
        <v>1500</v>
      </c>
      <c r="H80" s="56">
        <v>639211.68487958203</v>
      </c>
    </row>
    <row r="81" spans="6:14">
      <c r="G81" s="7">
        <v>1600</v>
      </c>
      <c r="H81" s="56">
        <v>610365.04802890634</v>
      </c>
    </row>
    <row r="82" spans="6:14">
      <c r="G82" s="7">
        <v>1700</v>
      </c>
      <c r="H82" s="56">
        <v>583966.95838628535</v>
      </c>
    </row>
    <row r="83" spans="6:14">
      <c r="G83" s="7">
        <v>1800</v>
      </c>
      <c r="H83" s="56">
        <v>559742.87360790663</v>
      </c>
    </row>
    <row r="85" spans="6:14" ht="15" thickBot="1">
      <c r="H85" s="225" t="s">
        <v>68</v>
      </c>
      <c r="I85" s="225"/>
      <c r="J85" s="225"/>
      <c r="K85" s="225"/>
      <c r="L85" s="225"/>
      <c r="M85" s="225"/>
      <c r="N85" s="225"/>
    </row>
    <row r="86" spans="6:14" ht="15" thickBot="1">
      <c r="G86" s="100">
        <f>B43</f>
        <v>985104.42081539321</v>
      </c>
      <c r="H86" s="98">
        <v>250</v>
      </c>
      <c r="I86" s="91">
        <v>300</v>
      </c>
      <c r="J86" s="91">
        <v>350</v>
      </c>
      <c r="K86" s="91">
        <v>400</v>
      </c>
      <c r="L86" s="91">
        <v>450</v>
      </c>
      <c r="M86" s="91">
        <v>500</v>
      </c>
      <c r="N86" s="92">
        <v>550</v>
      </c>
    </row>
    <row r="87" spans="6:14">
      <c r="F87" s="226" t="s">
        <v>116</v>
      </c>
      <c r="G87" s="99">
        <v>260</v>
      </c>
      <c r="H87" s="93">
        <f t="dataTable" ref="H87:N132" dt2D="1" dtr="1" r1="B36" r2="B37" ca="1"/>
        <v>144859.72842847556</v>
      </c>
      <c r="I87" s="94">
        <v>-579438.91371390224</v>
      </c>
      <c r="J87" s="94">
        <v>-1303737.5558562791</v>
      </c>
      <c r="K87" s="94">
        <v>-2028036.1979986569</v>
      </c>
      <c r="L87" s="94">
        <v>-2752334.8401410338</v>
      </c>
      <c r="M87" s="94">
        <v>-3476633.4822834115</v>
      </c>
      <c r="N87" s="95">
        <v>-4200932.1244257884</v>
      </c>
    </row>
    <row r="88" spans="6:14">
      <c r="F88" s="226"/>
      <c r="G88" s="89">
        <v>270</v>
      </c>
      <c r="H88" s="96">
        <v>269590.60184817808</v>
      </c>
      <c r="I88" s="85">
        <v>-404385.90277226688</v>
      </c>
      <c r="J88" s="85">
        <v>-1078362.4073927123</v>
      </c>
      <c r="K88" s="85">
        <v>-1752338.9120131573</v>
      </c>
      <c r="L88" s="85">
        <v>-2426315.4166336022</v>
      </c>
      <c r="M88" s="85">
        <v>-3100291.9212540481</v>
      </c>
      <c r="N88" s="86">
        <v>-3774268.4258744931</v>
      </c>
    </row>
    <row r="89" spans="6:14">
      <c r="F89" s="226"/>
      <c r="G89" s="89">
        <v>280</v>
      </c>
      <c r="H89" s="96">
        <v>377277.18719872413</v>
      </c>
      <c r="I89" s="85">
        <v>-251518.12479914958</v>
      </c>
      <c r="J89" s="85">
        <v>-880313.43679702282</v>
      </c>
      <c r="K89" s="85">
        <v>-1509108.7487948965</v>
      </c>
      <c r="L89" s="85">
        <v>-2137904.0607927702</v>
      </c>
      <c r="M89" s="85">
        <v>-2766699.3727906439</v>
      </c>
      <c r="N89" s="86">
        <v>-3395494.6847885177</v>
      </c>
    </row>
    <row r="90" spans="6:14">
      <c r="F90" s="226"/>
      <c r="G90" s="89">
        <v>290</v>
      </c>
      <c r="H90" s="96">
        <v>470458.61526328744</v>
      </c>
      <c r="I90" s="85">
        <v>-117614.65381582174</v>
      </c>
      <c r="J90" s="85">
        <v>-705687.9228949314</v>
      </c>
      <c r="K90" s="85">
        <v>-1293761.1919740411</v>
      </c>
      <c r="L90" s="85">
        <v>-1881834.4610531498</v>
      </c>
      <c r="M90" s="85">
        <v>-2469907.7301322594</v>
      </c>
      <c r="N90" s="86">
        <v>-3057980.9992113691</v>
      </c>
    </row>
    <row r="91" spans="6:14">
      <c r="F91" s="226"/>
      <c r="G91" s="89">
        <v>300</v>
      </c>
      <c r="H91" s="96">
        <v>551238.40185229108</v>
      </c>
      <c r="I91" s="85">
        <v>0</v>
      </c>
      <c r="J91" s="85">
        <v>-551238.40185229108</v>
      </c>
      <c r="K91" s="85">
        <v>-1102476.8037045817</v>
      </c>
      <c r="L91" s="85">
        <v>-1653715.2055568728</v>
      </c>
      <c r="M91" s="85">
        <v>-2204953.6074091638</v>
      </c>
      <c r="N91" s="86">
        <v>-2756192.0092614549</v>
      </c>
    </row>
    <row r="92" spans="6:14">
      <c r="F92" s="226"/>
      <c r="G92" s="89">
        <v>310</v>
      </c>
      <c r="H92" s="96">
        <v>621369.53021456813</v>
      </c>
      <c r="I92" s="85">
        <v>103561.58836909477</v>
      </c>
      <c r="J92" s="85">
        <v>-414246.3534763786</v>
      </c>
      <c r="K92" s="85">
        <v>-932054.2953218515</v>
      </c>
      <c r="L92" s="85">
        <v>-1449862.2371673249</v>
      </c>
      <c r="M92" s="85">
        <v>-1967670.1790127978</v>
      </c>
      <c r="N92" s="86">
        <v>-2485478.1208582716</v>
      </c>
    </row>
    <row r="93" spans="6:14">
      <c r="F93" s="226"/>
      <c r="G93" s="89">
        <v>320</v>
      </c>
      <c r="H93" s="96">
        <v>682320.93416212313</v>
      </c>
      <c r="I93" s="85">
        <v>194948.83833203511</v>
      </c>
      <c r="J93" s="85">
        <v>-292423.2574980529</v>
      </c>
      <c r="K93" s="85">
        <v>-779795.35332814092</v>
      </c>
      <c r="L93" s="85">
        <v>-1267167.4491582289</v>
      </c>
      <c r="M93" s="85">
        <v>-1754539.5449883174</v>
      </c>
      <c r="N93" s="86">
        <v>-2241911.640818405</v>
      </c>
    </row>
    <row r="94" spans="6:14">
      <c r="F94" s="226"/>
      <c r="G94" s="89">
        <v>330</v>
      </c>
      <c r="H94" s="96">
        <v>735329.86392835062</v>
      </c>
      <c r="I94" s="85">
        <v>275748.69897313137</v>
      </c>
      <c r="J94" s="85">
        <v>-183832.46598208742</v>
      </c>
      <c r="K94" s="85">
        <v>-643413.63093730668</v>
      </c>
      <c r="L94" s="85">
        <v>-1102994.7958925259</v>
      </c>
      <c r="M94" s="85">
        <v>-1562575.9608477447</v>
      </c>
      <c r="N94" s="86">
        <v>-2022157.125802964</v>
      </c>
    </row>
    <row r="95" spans="6:14">
      <c r="F95" s="226"/>
      <c r="G95" s="89">
        <v>340</v>
      </c>
      <c r="H95" s="96">
        <v>781443.44106265297</v>
      </c>
      <c r="I95" s="85">
        <v>347308.19602784561</v>
      </c>
      <c r="J95" s="85">
        <v>-86827.049006961286</v>
      </c>
      <c r="K95" s="85">
        <v>-520962.29404176865</v>
      </c>
      <c r="L95" s="85">
        <v>-955097.53907657554</v>
      </c>
      <c r="M95" s="85">
        <v>-1389232.7841113824</v>
      </c>
      <c r="N95" s="86">
        <v>-1823368.0291461898</v>
      </c>
    </row>
    <row r="96" spans="6:14">
      <c r="F96" s="226"/>
      <c r="G96" s="89">
        <v>350</v>
      </c>
      <c r="H96" s="96">
        <v>821551.86522268457</v>
      </c>
      <c r="I96" s="85">
        <v>410775.93261134205</v>
      </c>
      <c r="J96" s="85">
        <v>0</v>
      </c>
      <c r="K96" s="85">
        <v>-410775.93261134205</v>
      </c>
      <c r="L96" s="85">
        <v>-821551.86522268457</v>
      </c>
      <c r="M96" s="85">
        <v>-1232327.7978340266</v>
      </c>
      <c r="N96" s="86">
        <v>-1643103.7304453691</v>
      </c>
    </row>
    <row r="97" spans="6:14">
      <c r="F97" s="226"/>
      <c r="G97" s="89">
        <v>360</v>
      </c>
      <c r="H97" s="96">
        <v>856415.12424477958</v>
      </c>
      <c r="I97" s="85">
        <v>467135.52231533453</v>
      </c>
      <c r="J97" s="85">
        <v>77855.920385889243</v>
      </c>
      <c r="K97" s="85">
        <v>-311423.68154355604</v>
      </c>
      <c r="L97" s="85">
        <v>-700703.28347300133</v>
      </c>
      <c r="M97" s="85">
        <v>-1089982.8854024466</v>
      </c>
      <c r="N97" s="86">
        <v>-1479262.4873318919</v>
      </c>
    </row>
    <row r="98" spans="6:14">
      <c r="F98" s="226"/>
      <c r="G98" s="89">
        <v>370</v>
      </c>
      <c r="H98" s="96">
        <v>886684.61116254725</v>
      </c>
      <c r="I98" s="85">
        <v>517232.68984481925</v>
      </c>
      <c r="J98" s="85">
        <v>147780.76852709148</v>
      </c>
      <c r="K98" s="85">
        <v>-221671.15279063676</v>
      </c>
      <c r="L98" s="85">
        <v>-591123.07410836453</v>
      </c>
      <c r="M98" s="85">
        <v>-960574.9954260923</v>
      </c>
      <c r="N98" s="86">
        <v>-1330026.9167438205</v>
      </c>
    </row>
    <row r="99" spans="6:14">
      <c r="F99" s="226"/>
      <c r="G99" s="89">
        <v>380</v>
      </c>
      <c r="H99" s="96">
        <v>912920.72098907013</v>
      </c>
      <c r="I99" s="85">
        <v>561797.36676250491</v>
      </c>
      <c r="J99" s="85">
        <v>210674.01253593946</v>
      </c>
      <c r="K99" s="85">
        <v>-140449.341690626</v>
      </c>
      <c r="L99" s="85">
        <v>-491572.69591719145</v>
      </c>
      <c r="M99" s="85">
        <v>-842696.05014375644</v>
      </c>
      <c r="N99" s="86">
        <v>-1193819.4043703219</v>
      </c>
    </row>
    <row r="100" spans="6:14">
      <c r="F100" s="226"/>
      <c r="G100" s="89">
        <v>390</v>
      </c>
      <c r="H100" s="96">
        <v>935607.253438466</v>
      </c>
      <c r="I100" s="85">
        <v>601461.80578187108</v>
      </c>
      <c r="J100" s="85">
        <v>267316.35812527593</v>
      </c>
      <c r="K100" s="85">
        <v>-66829.08953131875</v>
      </c>
      <c r="L100" s="85">
        <v>-400974.5371879139</v>
      </c>
      <c r="M100" s="85">
        <v>-735119.98484450858</v>
      </c>
      <c r="N100" s="86">
        <v>-1069265.4325011037</v>
      </c>
    </row>
    <row r="101" spans="6:14">
      <c r="F101" s="226"/>
      <c r="G101" s="89">
        <v>400</v>
      </c>
      <c r="H101" s="96">
        <v>955163.26238462282</v>
      </c>
      <c r="I101" s="85">
        <v>636775.50825641514</v>
      </c>
      <c r="J101" s="85">
        <v>318387.75412820745</v>
      </c>
      <c r="K101" s="85">
        <v>0</v>
      </c>
      <c r="L101" s="85">
        <v>-318387.75412820745</v>
      </c>
      <c r="M101" s="85">
        <v>-636775.50825641491</v>
      </c>
      <c r="N101" s="86">
        <v>-955163.26238462236</v>
      </c>
    </row>
    <row r="102" spans="6:14">
      <c r="F102" s="226"/>
      <c r="G102" s="89">
        <v>410</v>
      </c>
      <c r="H102" s="96">
        <v>971952.85243747453</v>
      </c>
      <c r="I102" s="85">
        <v>668217.58605076349</v>
      </c>
      <c r="J102" s="85">
        <v>364482.31966405269</v>
      </c>
      <c r="K102" s="85">
        <v>60747.053277342115</v>
      </c>
      <c r="L102" s="85">
        <v>-242988.21310936892</v>
      </c>
      <c r="M102" s="85">
        <v>-546723.4794960795</v>
      </c>
      <c r="N102" s="86">
        <v>-850458.74588279054</v>
      </c>
    </row>
    <row r="103" spans="6:14">
      <c r="F103" s="226"/>
      <c r="G103" s="89">
        <v>420</v>
      </c>
      <c r="H103" s="96">
        <v>986293.31587235699</v>
      </c>
      <c r="I103" s="85">
        <v>696207.04649813427</v>
      </c>
      <c r="J103" s="85">
        <v>406120.77712391177</v>
      </c>
      <c r="K103" s="85">
        <v>116034.50774968928</v>
      </c>
      <c r="L103" s="85">
        <v>-174051.76162453368</v>
      </c>
      <c r="M103" s="85">
        <v>-464138.03099875618</v>
      </c>
      <c r="N103" s="86">
        <v>-754224.30037297867</v>
      </c>
    </row>
    <row r="104" spans="6:14">
      <c r="F104" s="226"/>
      <c r="G104" s="89">
        <v>430</v>
      </c>
      <c r="H104" s="96">
        <v>998461.92082203622</v>
      </c>
      <c r="I104" s="85">
        <v>721111.38726035948</v>
      </c>
      <c r="J104" s="85">
        <v>443760.85369868297</v>
      </c>
      <c r="K104" s="85">
        <v>166410.32013700623</v>
      </c>
      <c r="L104" s="85">
        <v>-110940.21342467051</v>
      </c>
      <c r="M104" s="85">
        <v>-388290.74698634725</v>
      </c>
      <c r="N104" s="86">
        <v>-665641.28054802399</v>
      </c>
    </row>
    <row r="105" spans="6:14">
      <c r="F105" s="226"/>
      <c r="G105" s="89">
        <v>440</v>
      </c>
      <c r="H105" s="96">
        <v>1008701.5979665397</v>
      </c>
      <c r="I105" s="85">
        <v>743253.80902797659</v>
      </c>
      <c r="J105" s="85">
        <v>477806.02008941351</v>
      </c>
      <c r="K105" s="85">
        <v>212358.23115085065</v>
      </c>
      <c r="L105" s="85">
        <v>-53089.557787712663</v>
      </c>
      <c r="M105" s="85">
        <v>-318537.34672627551</v>
      </c>
      <c r="N105" s="86">
        <v>-583985.13566483883</v>
      </c>
    </row>
    <row r="106" spans="6:14">
      <c r="F106" s="226"/>
      <c r="G106" s="89">
        <v>450</v>
      </c>
      <c r="H106" s="96">
        <v>1017225.7233983984</v>
      </c>
      <c r="I106" s="85">
        <v>762919.29254879872</v>
      </c>
      <c r="J106" s="85">
        <v>508612.86169919907</v>
      </c>
      <c r="K106" s="85">
        <v>254306.43084959942</v>
      </c>
      <c r="L106" s="85">
        <v>0</v>
      </c>
      <c r="M106" s="85">
        <v>-254306.43084959965</v>
      </c>
      <c r="N106" s="86">
        <v>-508612.8616991993</v>
      </c>
    </row>
    <row r="107" spans="6:14">
      <c r="F107" s="226"/>
      <c r="G107" s="89">
        <v>460</v>
      </c>
      <c r="H107" s="96">
        <v>1024222.1565401531</v>
      </c>
      <c r="I107" s="85">
        <v>780359.73831630708</v>
      </c>
      <c r="J107" s="85">
        <v>536497.3200924613</v>
      </c>
      <c r="K107" s="85">
        <v>292634.9018686153</v>
      </c>
      <c r="L107" s="85">
        <v>48772.483644769527</v>
      </c>
      <c r="M107" s="85">
        <v>-195089.93457907671</v>
      </c>
      <c r="N107" s="86">
        <v>-438952.35280292248</v>
      </c>
    </row>
    <row r="108" spans="6:14">
      <c r="F108" s="226"/>
      <c r="G108" s="89">
        <v>470</v>
      </c>
      <c r="H108" s="96">
        <v>1029856.6614397548</v>
      </c>
      <c r="I108" s="85">
        <v>795798.32929435605</v>
      </c>
      <c r="J108" s="85">
        <v>561739.9971489571</v>
      </c>
      <c r="K108" s="85">
        <v>327681.66500355839</v>
      </c>
      <c r="L108" s="85">
        <v>93623.332858159672</v>
      </c>
      <c r="M108" s="85">
        <v>-140434.99928723928</v>
      </c>
      <c r="N108" s="86">
        <v>-374493.33143263776</v>
      </c>
    </row>
    <row r="109" spans="6:14">
      <c r="F109" s="226"/>
      <c r="G109" s="89">
        <v>480</v>
      </c>
      <c r="H109" s="96">
        <v>1034275.8155834542</v>
      </c>
      <c r="I109" s="85">
        <v>809433.24697835557</v>
      </c>
      <c r="J109" s="85">
        <v>584590.67837325693</v>
      </c>
      <c r="K109" s="85">
        <v>359748.10976815806</v>
      </c>
      <c r="L109" s="85">
        <v>134905.54116305942</v>
      </c>
      <c r="M109" s="85">
        <v>-89937.027442039456</v>
      </c>
      <c r="N109" s="86">
        <v>-314779.59604713786</v>
      </c>
    </row>
    <row r="110" spans="6:14">
      <c r="F110" s="226"/>
      <c r="G110" s="89">
        <v>490</v>
      </c>
      <c r="H110" s="96">
        <v>1037609.4911199291</v>
      </c>
      <c r="I110" s="85">
        <v>821440.84713661065</v>
      </c>
      <c r="J110" s="85">
        <v>605272.20315329218</v>
      </c>
      <c r="K110" s="85">
        <v>389103.55916997371</v>
      </c>
      <c r="L110" s="85">
        <v>172934.91518665501</v>
      </c>
      <c r="M110" s="85">
        <v>-43233.728796663694</v>
      </c>
      <c r="N110" s="86">
        <v>-259402.37277998216</v>
      </c>
    </row>
    <row r="111" spans="6:14">
      <c r="F111" s="226"/>
      <c r="G111" s="89">
        <v>500</v>
      </c>
      <c r="H111" s="96">
        <v>1039972.9779989794</v>
      </c>
      <c r="I111" s="85">
        <v>831978.3823991837</v>
      </c>
      <c r="J111" s="85">
        <v>623983.78679938777</v>
      </c>
      <c r="K111" s="85">
        <v>415989.19119959185</v>
      </c>
      <c r="L111" s="85">
        <v>207994.59559979592</v>
      </c>
      <c r="M111" s="85">
        <v>0</v>
      </c>
      <c r="N111" s="86">
        <v>-207994.59559979569</v>
      </c>
    </row>
    <row r="112" spans="6:14">
      <c r="F112" s="226"/>
      <c r="G112" s="89">
        <v>510</v>
      </c>
      <c r="H112" s="96">
        <v>1041468.8061629091</v>
      </c>
      <c r="I112" s="85">
        <v>841186.34343927284</v>
      </c>
      <c r="J112" s="85">
        <v>640903.8807156363</v>
      </c>
      <c r="K112" s="85">
        <v>440621.417992</v>
      </c>
      <c r="L112" s="85">
        <v>240338.9552683637</v>
      </c>
      <c r="M112" s="85">
        <v>40056.4925447274</v>
      </c>
      <c r="N112" s="86">
        <v>-160225.97017890913</v>
      </c>
    </row>
    <row r="113" spans="6:14">
      <c r="F113" s="226"/>
      <c r="G113" s="89">
        <v>520</v>
      </c>
      <c r="H113" s="96">
        <v>1042188.3139489595</v>
      </c>
      <c r="I113" s="85">
        <v>849190.47803248558</v>
      </c>
      <c r="J113" s="85">
        <v>656192.64211601159</v>
      </c>
      <c r="K113" s="85">
        <v>463194.80619953759</v>
      </c>
      <c r="L113" s="85">
        <v>270196.97028306359</v>
      </c>
      <c r="M113" s="85">
        <v>77199.134366589598</v>
      </c>
      <c r="N113" s="86">
        <v>-115798.70154988416</v>
      </c>
    </row>
    <row r="114" spans="6:14">
      <c r="F114" s="226"/>
      <c r="G114" s="89">
        <v>530</v>
      </c>
      <c r="H114" s="96">
        <v>1042213.0017719698</v>
      </c>
      <c r="I114" s="85">
        <v>856103.53716983227</v>
      </c>
      <c r="J114" s="85">
        <v>669994.07256769482</v>
      </c>
      <c r="K114" s="85">
        <v>483884.60796555737</v>
      </c>
      <c r="L114" s="85">
        <v>297775.14336341992</v>
      </c>
      <c r="M114" s="85">
        <v>111665.67876128247</v>
      </c>
      <c r="N114" s="86">
        <v>-74443.78584085498</v>
      </c>
    </row>
    <row r="115" spans="6:14">
      <c r="F115" s="226"/>
      <c r="G115" s="89">
        <v>540</v>
      </c>
      <c r="H115" s="96">
        <v>1041615.7035724644</v>
      </c>
      <c r="I115" s="85">
        <v>862026.78916341881</v>
      </c>
      <c r="J115" s="85">
        <v>682437.87475437322</v>
      </c>
      <c r="K115" s="85">
        <v>502848.96034532762</v>
      </c>
      <c r="L115" s="85">
        <v>323260.04593628203</v>
      </c>
      <c r="M115" s="85">
        <v>143671.13152723666</v>
      </c>
      <c r="N115" s="86">
        <v>-35917.782881808933</v>
      </c>
    </row>
    <row r="116" spans="6:14">
      <c r="F116" s="226"/>
      <c r="G116" s="89">
        <v>550</v>
      </c>
      <c r="H116" s="96">
        <v>1040461.6031350964</v>
      </c>
      <c r="I116" s="85">
        <v>867051.33594591368</v>
      </c>
      <c r="J116" s="85">
        <v>693641.06875673099</v>
      </c>
      <c r="K116" s="85">
        <v>520230.80156754819</v>
      </c>
      <c r="L116" s="85">
        <v>346820.53437836538</v>
      </c>
      <c r="M116" s="85">
        <v>173410.26718918281</v>
      </c>
      <c r="N116" s="86">
        <v>0</v>
      </c>
    </row>
    <row r="117" spans="6:14">
      <c r="F117" s="226"/>
      <c r="G117" s="89">
        <v>560</v>
      </c>
      <c r="H117" s="96">
        <v>1038809.1179690239</v>
      </c>
      <c r="I117" s="85">
        <v>871259.26023208455</v>
      </c>
      <c r="J117" s="85">
        <v>703709.4024951451</v>
      </c>
      <c r="K117" s="85">
        <v>536159.544758206</v>
      </c>
      <c r="L117" s="85">
        <v>368609.68702126667</v>
      </c>
      <c r="M117" s="85">
        <v>201059.82928432734</v>
      </c>
      <c r="N117" s="86">
        <v>33509.971547388006</v>
      </c>
    </row>
    <row r="118" spans="6:14">
      <c r="F118" s="226"/>
      <c r="G118" s="89">
        <v>570</v>
      </c>
      <c r="H118" s="96">
        <v>1036710.669808225</v>
      </c>
      <c r="I118" s="85">
        <v>874724.6276506898</v>
      </c>
      <c r="J118" s="85">
        <v>712738.58549315459</v>
      </c>
      <c r="K118" s="85">
        <v>550752.54333561938</v>
      </c>
      <c r="L118" s="85">
        <v>388766.50117808441</v>
      </c>
      <c r="M118" s="85">
        <v>226780.4590205492</v>
      </c>
      <c r="N118" s="86">
        <v>64794.41686301399</v>
      </c>
    </row>
    <row r="119" spans="6:14">
      <c r="F119" s="226"/>
      <c r="G119" s="89">
        <v>580</v>
      </c>
      <c r="H119" s="96">
        <v>1034213.3577876764</v>
      </c>
      <c r="I119" s="85">
        <v>877514.36418348295</v>
      </c>
      <c r="J119" s="85">
        <v>720815.37057928951</v>
      </c>
      <c r="K119" s="85">
        <v>564116.37697509606</v>
      </c>
      <c r="L119" s="85">
        <v>407417.38337090285</v>
      </c>
      <c r="M119" s="85">
        <v>250718.38976670941</v>
      </c>
      <c r="N119" s="86">
        <v>94019.396162515972</v>
      </c>
    </row>
    <row r="120" spans="6:14">
      <c r="F120" s="226"/>
      <c r="G120" s="89">
        <v>590</v>
      </c>
      <c r="H120" s="96">
        <v>1031359.5478624469</v>
      </c>
      <c r="I120" s="85">
        <v>879689.02611796942</v>
      </c>
      <c r="J120" s="85">
        <v>728018.50437349197</v>
      </c>
      <c r="K120" s="85">
        <v>576347.98262901441</v>
      </c>
      <c r="L120" s="85">
        <v>424677.46088453708</v>
      </c>
      <c r="M120" s="85">
        <v>273006.93914005952</v>
      </c>
      <c r="N120" s="86">
        <v>121336.41739558196</v>
      </c>
    </row>
    <row r="121" spans="6:14">
      <c r="F121" s="226"/>
      <c r="G121" s="89">
        <v>600</v>
      </c>
      <c r="H121" s="96">
        <v>1028187.3899667513</v>
      </c>
      <c r="I121" s="85">
        <v>881303.47711435833</v>
      </c>
      <c r="J121" s="85">
        <v>734419.56426196522</v>
      </c>
      <c r="K121" s="85">
        <v>587535.65140957222</v>
      </c>
      <c r="L121" s="85">
        <v>440651.73855717899</v>
      </c>
      <c r="M121" s="85">
        <v>293767.825704786</v>
      </c>
      <c r="N121" s="86">
        <v>146883.912852393</v>
      </c>
    </row>
    <row r="122" spans="6:14">
      <c r="F122" s="226"/>
      <c r="G122" s="89">
        <v>800</v>
      </c>
      <c r="H122" s="96">
        <v>933219.50848926988</v>
      </c>
      <c r="I122" s="85">
        <v>848381.37135388167</v>
      </c>
      <c r="J122" s="85">
        <v>763543.23421849345</v>
      </c>
      <c r="K122" s="85">
        <v>678705.09708310536</v>
      </c>
      <c r="L122" s="85">
        <v>593866.95994771714</v>
      </c>
      <c r="M122" s="85">
        <v>509028.82281232905</v>
      </c>
      <c r="N122" s="86">
        <v>424190.68567694083</v>
      </c>
    </row>
    <row r="123" spans="6:14">
      <c r="F123" s="226"/>
      <c r="G123" s="89">
        <v>900</v>
      </c>
      <c r="H123" s="96">
        <v>880917.95766693447</v>
      </c>
      <c r="I123" s="85">
        <v>813155.03784640098</v>
      </c>
      <c r="J123" s="85">
        <v>745392.11802586762</v>
      </c>
      <c r="K123" s="85">
        <v>677629.19820533413</v>
      </c>
      <c r="L123" s="85">
        <v>609866.27838480077</v>
      </c>
      <c r="M123" s="85">
        <v>542103.35856426728</v>
      </c>
      <c r="N123" s="86">
        <v>474340.43874373392</v>
      </c>
    </row>
    <row r="124" spans="6:14">
      <c r="F124" s="226"/>
      <c r="G124" s="89">
        <v>1000</v>
      </c>
      <c r="H124" s="96">
        <v>831338.85314930137</v>
      </c>
      <c r="I124" s="85">
        <v>775916.262939348</v>
      </c>
      <c r="J124" s="85">
        <v>720493.67272939463</v>
      </c>
      <c r="K124" s="85">
        <v>665071.08251944114</v>
      </c>
      <c r="L124" s="85">
        <v>609648.49230948766</v>
      </c>
      <c r="M124" s="85">
        <v>554225.90209953429</v>
      </c>
      <c r="N124" s="86">
        <v>498803.3118895808</v>
      </c>
    </row>
    <row r="125" spans="6:14">
      <c r="F125" s="226"/>
      <c r="G125" s="89">
        <v>1100</v>
      </c>
      <c r="H125" s="96">
        <v>785522.26095810602</v>
      </c>
      <c r="I125" s="85">
        <v>739315.06913704099</v>
      </c>
      <c r="J125" s="85">
        <v>693107.87731597596</v>
      </c>
      <c r="K125" s="85">
        <v>646900.68549491081</v>
      </c>
      <c r="L125" s="85">
        <v>600693.49367384578</v>
      </c>
      <c r="M125" s="85">
        <v>554486.30185278063</v>
      </c>
      <c r="N125" s="86">
        <v>508279.11003171565</v>
      </c>
    </row>
    <row r="126" spans="6:14">
      <c r="F126" s="226"/>
      <c r="G126" s="89">
        <v>1200</v>
      </c>
      <c r="H126" s="96">
        <v>743639.76069940359</v>
      </c>
      <c r="I126" s="85">
        <v>704500.82592575077</v>
      </c>
      <c r="J126" s="85">
        <v>665361.89115209796</v>
      </c>
      <c r="K126" s="85">
        <v>626222.95637844515</v>
      </c>
      <c r="L126" s="85">
        <v>587084.02160479221</v>
      </c>
      <c r="M126" s="85">
        <v>547945.0868311394</v>
      </c>
      <c r="N126" s="86">
        <v>508806.15205748664</v>
      </c>
    </row>
    <row r="127" spans="6:14">
      <c r="F127" s="226"/>
      <c r="G127" s="89">
        <v>1300</v>
      </c>
      <c r="H127" s="96">
        <v>705508.4138351829</v>
      </c>
      <c r="I127" s="85">
        <v>671912.77508112649</v>
      </c>
      <c r="J127" s="85">
        <v>638317.13632707018</v>
      </c>
      <c r="K127" s="85">
        <v>604721.49757301388</v>
      </c>
      <c r="L127" s="85">
        <v>571125.85881895758</v>
      </c>
      <c r="M127" s="85">
        <v>537530.22006490128</v>
      </c>
      <c r="N127" s="86">
        <v>503934.58131084492</v>
      </c>
    </row>
    <row r="128" spans="6:14">
      <c r="F128" s="226"/>
      <c r="G128" s="89">
        <v>1400</v>
      </c>
      <c r="H128" s="96">
        <v>670814.37853000883</v>
      </c>
      <c r="I128" s="85">
        <v>641648.53598522581</v>
      </c>
      <c r="J128" s="85">
        <v>612482.6934404429</v>
      </c>
      <c r="K128" s="85">
        <v>583316.85089565988</v>
      </c>
      <c r="L128" s="85">
        <v>554151.00835087686</v>
      </c>
      <c r="M128" s="85">
        <v>524985.16580609395</v>
      </c>
      <c r="N128" s="86">
        <v>495819.32326131093</v>
      </c>
    </row>
    <row r="129" spans="6:14">
      <c r="F129" s="226"/>
      <c r="G129" s="89">
        <v>1500</v>
      </c>
      <c r="H129" s="96">
        <v>639211.68487958203</v>
      </c>
      <c r="I129" s="85">
        <v>613643.21748439875</v>
      </c>
      <c r="J129" s="85">
        <v>588074.75008921546</v>
      </c>
      <c r="K129" s="85">
        <v>562506.28269403218</v>
      </c>
      <c r="L129" s="85">
        <v>536937.8152988489</v>
      </c>
      <c r="M129" s="85">
        <v>511369.34790366562</v>
      </c>
      <c r="N129" s="86">
        <v>485800.88050848234</v>
      </c>
    </row>
    <row r="130" spans="6:14">
      <c r="F130" s="226"/>
      <c r="G130" s="89">
        <v>1600</v>
      </c>
      <c r="H130" s="96">
        <v>610365.04802890634</v>
      </c>
      <c r="I130" s="85">
        <v>587758.93513894686</v>
      </c>
      <c r="J130" s="85">
        <v>565152.82224898739</v>
      </c>
      <c r="K130" s="85">
        <v>542546.70935902791</v>
      </c>
      <c r="L130" s="85">
        <v>519940.59646906838</v>
      </c>
      <c r="M130" s="85">
        <v>497334.48357910884</v>
      </c>
      <c r="N130" s="86">
        <v>474728.37068914936</v>
      </c>
    </row>
    <row r="131" spans="6:14">
      <c r="F131" s="226"/>
      <c r="G131" s="89">
        <v>1700</v>
      </c>
      <c r="H131" s="96">
        <v>583966.95838628535</v>
      </c>
      <c r="I131" s="85">
        <v>563830.16671779274</v>
      </c>
      <c r="J131" s="85">
        <v>543693.37504930014</v>
      </c>
      <c r="K131" s="85">
        <v>523556.58338080754</v>
      </c>
      <c r="L131" s="85">
        <v>503419.79171231494</v>
      </c>
      <c r="M131" s="85">
        <v>483283.00004382234</v>
      </c>
      <c r="N131" s="86">
        <v>463146.20837532973</v>
      </c>
    </row>
    <row r="132" spans="6:14" ht="15" thickBot="1">
      <c r="F132" s="226"/>
      <c r="G132" s="90">
        <v>1800</v>
      </c>
      <c r="H132" s="97">
        <v>559742.87360790663</v>
      </c>
      <c r="I132" s="87">
        <v>541686.65187861933</v>
      </c>
      <c r="J132" s="87">
        <v>523630.43014933204</v>
      </c>
      <c r="K132" s="87">
        <v>505574.20842004474</v>
      </c>
      <c r="L132" s="87">
        <v>487517.98669075745</v>
      </c>
      <c r="M132" s="87">
        <v>469461.76496147009</v>
      </c>
      <c r="N132" s="88">
        <v>451405.54323218274</v>
      </c>
    </row>
  </sheetData>
  <mergeCells count="6">
    <mergeCell ref="H85:N85"/>
    <mergeCell ref="F87:F132"/>
    <mergeCell ref="A15:B15"/>
    <mergeCell ref="C15:D15"/>
    <mergeCell ref="E15:F15"/>
    <mergeCell ref="A19:D19"/>
  </mergeCells>
  <conditionalFormatting sqref="H38:H83">
    <cfRule type="cellIs" dxfId="33" priority="9" operator="equal">
      <formula>MAX($H$38:$H$83)</formula>
    </cfRule>
  </conditionalFormatting>
  <conditionalFormatting sqref="H39:H83">
    <cfRule type="cellIs" priority="10" operator="equal">
      <formula>" £593 536 "</formula>
    </cfRule>
    <cfRule type="cellIs" dxfId="32" priority="11" operator="equal">
      <formula>$H$38</formula>
    </cfRule>
  </conditionalFormatting>
  <conditionalFormatting sqref="H87:H132">
    <cfRule type="cellIs" dxfId="31" priority="8" operator="equal">
      <formula>MAX($H$87:$H$132)</formula>
    </cfRule>
  </conditionalFormatting>
  <conditionalFormatting sqref="I87:I132">
    <cfRule type="cellIs" dxfId="30" priority="7" operator="equal">
      <formula>MAX($I$87:$I$132)</formula>
    </cfRule>
  </conditionalFormatting>
  <conditionalFormatting sqref="J87:J132">
    <cfRule type="cellIs" dxfId="29" priority="5" operator="equal">
      <formula>MAX($J$87:$J$132)</formula>
    </cfRule>
  </conditionalFormatting>
  <conditionalFormatting sqref="K87:K132">
    <cfRule type="cellIs" dxfId="28" priority="4" operator="equal">
      <formula>MAX($K$87:$K$132)</formula>
    </cfRule>
  </conditionalFormatting>
  <conditionalFormatting sqref="L87:L132">
    <cfRule type="cellIs" dxfId="27" priority="3" operator="equal">
      <formula>MAX($L$87:$L$132)</formula>
    </cfRule>
  </conditionalFormatting>
  <conditionalFormatting sqref="M87:M132">
    <cfRule type="cellIs" dxfId="26" priority="2" operator="equal">
      <formula>MAX($M$87:$M$132)</formula>
    </cfRule>
  </conditionalFormatting>
  <conditionalFormatting sqref="N87:N132">
    <cfRule type="cellIs" dxfId="25" priority="1" operator="equal">
      <formula>MAX($N$87:$N$132)</formula>
    </cfRule>
  </conditionalFormatting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0A4BC0-85AE-44AF-AF26-FE282C910C64}">
  <dimension ref="A1:I10"/>
  <sheetViews>
    <sheetView workbookViewId="0">
      <selection activeCell="E10" sqref="E10"/>
    </sheetView>
  </sheetViews>
  <sheetFormatPr defaultRowHeight="14.5"/>
  <cols>
    <col min="1" max="1" width="12.54296875" customWidth="1"/>
    <col min="2" max="2" width="17" customWidth="1"/>
    <col min="3" max="3" width="12.7265625" customWidth="1"/>
    <col min="4" max="4" width="11" customWidth="1"/>
    <col min="5" max="5" width="15" customWidth="1"/>
    <col min="6" max="6" width="10.54296875" customWidth="1"/>
    <col min="8" max="8" width="11.1796875" customWidth="1"/>
    <col min="9" max="9" width="10.7265625" customWidth="1"/>
  </cols>
  <sheetData>
    <row r="1" spans="1:9">
      <c r="A1" s="227" t="s">
        <v>142</v>
      </c>
      <c r="B1" s="228"/>
      <c r="C1" s="227" t="s">
        <v>143</v>
      </c>
      <c r="D1" s="228"/>
      <c r="E1" s="227" t="s">
        <v>130</v>
      </c>
      <c r="F1" s="228"/>
      <c r="H1" s="230" t="s">
        <v>145</v>
      </c>
      <c r="I1" s="230"/>
    </row>
    <row r="2" spans="1:9" ht="29">
      <c r="A2" s="101" t="s">
        <v>141</v>
      </c>
      <c r="B2" s="102" t="s">
        <v>140</v>
      </c>
      <c r="C2" s="101" t="s">
        <v>126</v>
      </c>
      <c r="D2" s="101" t="s">
        <v>125</v>
      </c>
      <c r="E2" s="101" t="s">
        <v>126</v>
      </c>
      <c r="F2" s="101" t="s">
        <v>125</v>
      </c>
      <c r="H2" s="104" t="s">
        <v>146</v>
      </c>
    </row>
    <row r="3" spans="1:9">
      <c r="A3" s="12">
        <v>1</v>
      </c>
      <c r="B3" s="105">
        <v>218.6</v>
      </c>
      <c r="C3" s="106">
        <f>$I$3*EXP($I$4*A3)</f>
        <v>249.9055921457622</v>
      </c>
      <c r="D3" s="107">
        <f t="shared" ref="D3:D9" si="0">$I$8*A3^$I$9</f>
        <v>173.94</v>
      </c>
      <c r="E3" s="108">
        <f>ABS(C3-B3)/B3</f>
        <v>0.14320947916634127</v>
      </c>
      <c r="F3" s="109">
        <f>ABS(D3-B3)/B3</f>
        <v>0.20430009149130832</v>
      </c>
      <c r="H3" s="73" t="s">
        <v>147</v>
      </c>
      <c r="I3">
        <v>135.80000000000001</v>
      </c>
    </row>
    <row r="4" spans="1:9">
      <c r="A4" s="12">
        <v>2</v>
      </c>
      <c r="B4" s="105">
        <v>435</v>
      </c>
      <c r="C4" s="106">
        <f t="shared" ref="C4:C9" si="1">$I$3*EXP($I$4*A4)</f>
        <v>459.88810740592078</v>
      </c>
      <c r="D4" s="107">
        <f t="shared" si="0"/>
        <v>573.3792672273787</v>
      </c>
      <c r="E4" s="108">
        <f t="shared" ref="E4:E7" si="2">ABS(C4-B4)/B4</f>
        <v>5.7214040013610981E-2</v>
      </c>
      <c r="F4" s="109">
        <f t="shared" ref="F4:F7" si="3">ABS(D4-B4)/B4</f>
        <v>0.31811325799397405</v>
      </c>
      <c r="H4" s="73" t="s">
        <v>148</v>
      </c>
      <c r="I4">
        <v>0.6099</v>
      </c>
    </row>
    <row r="5" spans="1:9">
      <c r="A5" s="12">
        <v>3</v>
      </c>
      <c r="B5" s="105">
        <v>915</v>
      </c>
      <c r="C5" s="106">
        <f t="shared" si="1"/>
        <v>846.30787777666035</v>
      </c>
      <c r="D5" s="107">
        <f t="shared" si="0"/>
        <v>1152.0661940645791</v>
      </c>
      <c r="E5" s="108">
        <f t="shared" si="2"/>
        <v>7.5073357621136233E-2</v>
      </c>
      <c r="F5" s="109">
        <f t="shared" si="3"/>
        <v>0.25908873668260013</v>
      </c>
    </row>
    <row r="6" spans="1:9">
      <c r="A6" s="12">
        <v>4</v>
      </c>
      <c r="B6" s="105">
        <v>1825.9</v>
      </c>
      <c r="C6" s="106">
        <f t="shared" si="1"/>
        <v>1557.415841924887</v>
      </c>
      <c r="D6" s="107">
        <f t="shared" si="0"/>
        <v>1890.0987931827399</v>
      </c>
      <c r="E6" s="108">
        <f t="shared" si="2"/>
        <v>0.14704209325544285</v>
      </c>
      <c r="F6" s="109">
        <f t="shared" si="3"/>
        <v>3.5160081703674781E-2</v>
      </c>
      <c r="H6" s="230" t="s">
        <v>149</v>
      </c>
      <c r="I6" s="230"/>
    </row>
    <row r="7" spans="1:9">
      <c r="A7" s="12">
        <v>5</v>
      </c>
      <c r="B7" s="105">
        <v>4021.8</v>
      </c>
      <c r="C7" s="106">
        <f t="shared" si="1"/>
        <v>2866.0303990679654</v>
      </c>
      <c r="D7" s="107">
        <f t="shared" si="0"/>
        <v>2774.9613986002573</v>
      </c>
      <c r="E7" s="108">
        <f t="shared" si="2"/>
        <v>0.28737619994331759</v>
      </c>
      <c r="F7" s="109">
        <f t="shared" si="3"/>
        <v>0.31002004112580012</v>
      </c>
      <c r="H7" s="103" t="s">
        <v>150</v>
      </c>
    </row>
    <row r="8" spans="1:9">
      <c r="A8" s="12">
        <v>6</v>
      </c>
      <c r="B8" s="105">
        <v>3582.1</v>
      </c>
      <c r="C8" s="106">
        <f>$I$3*EXP($I$4*A8)</f>
        <v>5274.2048894464997</v>
      </c>
      <c r="D8" s="107">
        <f t="shared" si="0"/>
        <v>3797.6938608151286</v>
      </c>
      <c r="E8" s="108">
        <f>ABS(C8-B8)/B8</f>
        <v>0.47237790386826156</v>
      </c>
      <c r="F8" s="109">
        <f>ABS(D8-B8)/B8</f>
        <v>6.0186443933761949E-2</v>
      </c>
      <c r="H8" s="73" t="s">
        <v>147</v>
      </c>
      <c r="I8">
        <v>173.94</v>
      </c>
    </row>
    <row r="9" spans="1:9">
      <c r="A9" s="12">
        <v>7</v>
      </c>
      <c r="B9" s="105"/>
      <c r="C9" s="106">
        <f t="shared" si="1"/>
        <v>9705.8416494492085</v>
      </c>
      <c r="D9" s="107">
        <f t="shared" si="0"/>
        <v>4951.4076440451672</v>
      </c>
      <c r="E9" s="108"/>
      <c r="F9" s="109"/>
      <c r="H9" s="73" t="s">
        <v>148</v>
      </c>
      <c r="I9">
        <v>1.7209000000000001</v>
      </c>
    </row>
    <row r="10" spans="1:9">
      <c r="D10" s="103" t="s">
        <v>144</v>
      </c>
      <c r="E10" s="15">
        <f>AVERAGE(E3:E9)</f>
        <v>0.19704884564468508</v>
      </c>
      <c r="F10" s="110">
        <f>AVERAGE(F3:F9)</f>
        <v>0.19781144215518656</v>
      </c>
    </row>
  </sheetData>
  <mergeCells count="5">
    <mergeCell ref="A1:B1"/>
    <mergeCell ref="C1:D1"/>
    <mergeCell ref="E1:F1"/>
    <mergeCell ref="H1:I1"/>
    <mergeCell ref="H6:I6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BD5BC2-2907-4E24-893F-47C5BCF80FD8}">
  <dimension ref="A1:G23"/>
  <sheetViews>
    <sheetView workbookViewId="0">
      <selection sqref="A1:C1"/>
    </sheetView>
  </sheetViews>
  <sheetFormatPr defaultRowHeight="14.5"/>
  <cols>
    <col min="1" max="1" width="19.453125" bestFit="1" customWidth="1"/>
    <col min="2" max="2" width="9.81640625" bestFit="1" customWidth="1"/>
    <col min="3" max="3" width="10.54296875" customWidth="1"/>
    <col min="5" max="5" width="11.81640625" style="7" customWidth="1"/>
    <col min="6" max="6" width="17.81640625" style="7" bestFit="1" customWidth="1"/>
    <col min="7" max="7" width="14.81640625" bestFit="1" customWidth="1"/>
  </cols>
  <sheetData>
    <row r="1" spans="1:7" ht="20" thickBot="1">
      <c r="A1" s="221" t="s">
        <v>151</v>
      </c>
      <c r="B1" s="221"/>
      <c r="C1" s="221"/>
    </row>
    <row r="2" spans="1:7" ht="15" thickTop="1">
      <c r="E2" s="231" t="s">
        <v>161</v>
      </c>
      <c r="F2" s="231"/>
    </row>
    <row r="3" spans="1:7">
      <c r="A3" s="38" t="s">
        <v>152</v>
      </c>
      <c r="B3" s="12">
        <v>9.3000000000000007</v>
      </c>
      <c r="C3" s="114" t="s">
        <v>153</v>
      </c>
      <c r="E3" s="111" t="s">
        <v>163</v>
      </c>
      <c r="F3" s="111" t="s">
        <v>162</v>
      </c>
    </row>
    <row r="4" spans="1:7">
      <c r="A4" s="38" t="s">
        <v>154</v>
      </c>
      <c r="B4" s="12">
        <v>20</v>
      </c>
      <c r="C4" s="114" t="s">
        <v>155</v>
      </c>
      <c r="E4" s="12">
        <v>1</v>
      </c>
      <c r="F4" s="112">
        <v>1.2</v>
      </c>
      <c r="G4" s="43"/>
    </row>
    <row r="5" spans="1:7">
      <c r="A5" s="38" t="s">
        <v>156</v>
      </c>
      <c r="B5" s="12">
        <v>1.2</v>
      </c>
      <c r="C5" s="114" t="s">
        <v>153</v>
      </c>
      <c r="E5" s="12">
        <v>2</v>
      </c>
      <c r="F5" s="35">
        <f>IF(E5&lt;$B$6,F4+F4*$B$7,F4-F4*$B$8)</f>
        <v>1.3199999999999998</v>
      </c>
      <c r="G5" s="43" t="str">
        <f ca="1">_xlfn.FORMULATEXT(F5)</f>
        <v>=IF(E5&lt;$B$6;F4+F4*$B$7;F4-F4*$B$8)</v>
      </c>
    </row>
    <row r="6" spans="1:7">
      <c r="A6" s="38" t="s">
        <v>157</v>
      </c>
      <c r="B6" s="12">
        <v>8</v>
      </c>
      <c r="E6" s="12">
        <v>3</v>
      </c>
      <c r="F6" s="35">
        <f t="shared" ref="F6:F23" si="0">IF(E6&lt;$B$6,F5+F5*$B$7,F5-F5*$B$8)</f>
        <v>1.4519999999999997</v>
      </c>
      <c r="G6" s="43" t="str">
        <f t="shared" ref="G6:G23" ca="1" si="1">_xlfn.FORMULATEXT(F6)</f>
        <v>=IF(E6&lt;$B$6;F5+F5*$B$7;F5-F5*$B$8)</v>
      </c>
    </row>
    <row r="7" spans="1:7">
      <c r="A7" s="38" t="s">
        <v>158</v>
      </c>
      <c r="B7" s="113">
        <v>0.1</v>
      </c>
      <c r="E7" s="12">
        <v>4</v>
      </c>
      <c r="F7" s="35">
        <f t="shared" si="0"/>
        <v>1.5971999999999997</v>
      </c>
      <c r="G7" s="43" t="str">
        <f t="shared" ca="1" si="1"/>
        <v>=IF(E7&lt;$B$6;F6+F6*$B$7;F6-F6*$B$8)</v>
      </c>
    </row>
    <row r="8" spans="1:7">
      <c r="A8" s="38" t="s">
        <v>159</v>
      </c>
      <c r="B8" s="113">
        <v>0.05</v>
      </c>
      <c r="E8" s="12">
        <v>5</v>
      </c>
      <c r="F8" s="35">
        <f t="shared" si="0"/>
        <v>1.7569199999999996</v>
      </c>
      <c r="G8" s="43" t="str">
        <f t="shared" ca="1" si="1"/>
        <v>=IF(E8&lt;$B$6;F7+F7*$B$7;F7-F7*$B$8)</v>
      </c>
    </row>
    <row r="9" spans="1:7">
      <c r="A9" s="38" t="s">
        <v>160</v>
      </c>
      <c r="B9" s="113">
        <v>0.12</v>
      </c>
      <c r="E9" s="12">
        <v>6</v>
      </c>
      <c r="F9" s="35">
        <f t="shared" si="0"/>
        <v>1.9326119999999996</v>
      </c>
      <c r="G9" s="43" t="str">
        <f t="shared" ca="1" si="1"/>
        <v>=IF(E9&lt;$B$6;F8+F8*$B$7;F8-F8*$B$8)</v>
      </c>
    </row>
    <row r="10" spans="1:7">
      <c r="E10" s="12">
        <v>7</v>
      </c>
      <c r="F10" s="35">
        <f t="shared" si="0"/>
        <v>2.1258731999999996</v>
      </c>
      <c r="G10" s="43" t="str">
        <f t="shared" ca="1" si="1"/>
        <v>=IF(E10&lt;$B$6;F9+F9*$B$7;F9-F9*$B$8)</v>
      </c>
    </row>
    <row r="11" spans="1:7">
      <c r="A11" s="38" t="s">
        <v>164</v>
      </c>
      <c r="B11" s="115">
        <f>NPV(B9,F4:F23)</f>
        <v>11.851609399230435</v>
      </c>
      <c r="C11" s="43" t="str">
        <f ca="1">_xlfn.FORMULATEXT(B11)</f>
        <v>=NPV(B9;F4:F23)</v>
      </c>
      <c r="E11" s="12">
        <v>8</v>
      </c>
      <c r="F11" s="35">
        <f t="shared" si="0"/>
        <v>2.0195795399999996</v>
      </c>
      <c r="G11" s="43" t="str">
        <f t="shared" ca="1" si="1"/>
        <v>=IF(E11&lt;$B$6;F10+F10*$B$7;F10-F10*$B$8)</v>
      </c>
    </row>
    <row r="12" spans="1:7">
      <c r="A12" s="38" t="s">
        <v>152</v>
      </c>
      <c r="B12" s="115">
        <f>B3</f>
        <v>9.3000000000000007</v>
      </c>
      <c r="E12" s="12">
        <v>9</v>
      </c>
      <c r="F12" s="35">
        <f t="shared" si="0"/>
        <v>1.9186005629999996</v>
      </c>
      <c r="G12" s="43" t="str">
        <f t="shared" ca="1" si="1"/>
        <v>=IF(E12&lt;$B$6;F11+F11*$B$7;F11-F11*$B$8)</v>
      </c>
    </row>
    <row r="13" spans="1:7">
      <c r="A13" s="38" t="s">
        <v>165</v>
      </c>
      <c r="B13" s="116">
        <f>B11-B12</f>
        <v>2.5516093992304345</v>
      </c>
      <c r="C13" s="43" t="str">
        <f ca="1">_xlfn.FORMULATEXT(B13)</f>
        <v>=B11-B12</v>
      </c>
      <c r="E13" s="12">
        <v>10</v>
      </c>
      <c r="F13" s="35">
        <f t="shared" si="0"/>
        <v>1.8226705348499996</v>
      </c>
      <c r="G13" s="43" t="str">
        <f t="shared" ca="1" si="1"/>
        <v>=IF(E13&lt;$B$6;F12+F12*$B$7;F12-F12*$B$8)</v>
      </c>
    </row>
    <row r="14" spans="1:7">
      <c r="E14" s="12">
        <v>11</v>
      </c>
      <c r="F14" s="35">
        <f t="shared" si="0"/>
        <v>1.7315370081074997</v>
      </c>
      <c r="G14" s="43" t="str">
        <f t="shared" ca="1" si="1"/>
        <v>=IF(E14&lt;$B$6;F13+F13*$B$7;F13-F13*$B$8)</v>
      </c>
    </row>
    <row r="15" spans="1:7">
      <c r="E15" s="12">
        <v>12</v>
      </c>
      <c r="F15" s="35">
        <f t="shared" si="0"/>
        <v>1.6449601577021247</v>
      </c>
      <c r="G15" s="43" t="str">
        <f t="shared" ca="1" si="1"/>
        <v>=IF(E15&lt;$B$6;F14+F14*$B$7;F14-F14*$B$8)</v>
      </c>
    </row>
    <row r="16" spans="1:7">
      <c r="E16" s="12">
        <v>13</v>
      </c>
      <c r="F16" s="35">
        <f t="shared" si="0"/>
        <v>1.5627121498170184</v>
      </c>
      <c r="G16" s="43" t="str">
        <f t="shared" ca="1" si="1"/>
        <v>=IF(E16&lt;$B$6;F15+F15*$B$7;F15-F15*$B$8)</v>
      </c>
    </row>
    <row r="17" spans="5:7">
      <c r="E17" s="12">
        <v>14</v>
      </c>
      <c r="F17" s="35">
        <f t="shared" si="0"/>
        <v>1.4845765423261674</v>
      </c>
      <c r="G17" s="43" t="str">
        <f t="shared" ca="1" si="1"/>
        <v>=IF(E17&lt;$B$6;F16+F16*$B$7;F16-F16*$B$8)</v>
      </c>
    </row>
    <row r="18" spans="5:7">
      <c r="E18" s="12">
        <v>15</v>
      </c>
      <c r="F18" s="35">
        <f t="shared" si="0"/>
        <v>1.4103477152098591</v>
      </c>
      <c r="G18" s="43" t="str">
        <f t="shared" ca="1" si="1"/>
        <v>=IF(E18&lt;$B$6;F17+F17*$B$7;F17-F17*$B$8)</v>
      </c>
    </row>
    <row r="19" spans="5:7">
      <c r="E19" s="12">
        <v>16</v>
      </c>
      <c r="F19" s="35">
        <f t="shared" si="0"/>
        <v>1.3398303294493661</v>
      </c>
      <c r="G19" s="43" t="str">
        <f t="shared" ca="1" si="1"/>
        <v>=IF(E19&lt;$B$6;F18+F18*$B$7;F18-F18*$B$8)</v>
      </c>
    </row>
    <row r="20" spans="5:7">
      <c r="E20" s="12">
        <v>17</v>
      </c>
      <c r="F20" s="35">
        <f t="shared" si="0"/>
        <v>1.2728388129768977</v>
      </c>
      <c r="G20" s="43" t="str">
        <f t="shared" ca="1" si="1"/>
        <v>=IF(E20&lt;$B$6;F19+F19*$B$7;F19-F19*$B$8)</v>
      </c>
    </row>
    <row r="21" spans="5:7">
      <c r="E21" s="12">
        <v>18</v>
      </c>
      <c r="F21" s="35">
        <f t="shared" si="0"/>
        <v>1.2091968723280528</v>
      </c>
      <c r="G21" s="43" t="str">
        <f t="shared" ca="1" si="1"/>
        <v>=IF(E21&lt;$B$6;F20+F20*$B$7;F20-F20*$B$8)</v>
      </c>
    </row>
    <row r="22" spans="5:7">
      <c r="E22" s="12">
        <v>19</v>
      </c>
      <c r="F22" s="35">
        <f t="shared" si="0"/>
        <v>1.1487370287116503</v>
      </c>
      <c r="G22" s="43" t="str">
        <f t="shared" ca="1" si="1"/>
        <v>=IF(E22&lt;$B$6;F21+F21*$B$7;F21-F21*$B$8)</v>
      </c>
    </row>
    <row r="23" spans="5:7">
      <c r="E23" s="12">
        <v>20</v>
      </c>
      <c r="F23" s="35">
        <f t="shared" si="0"/>
        <v>1.0913001772760678</v>
      </c>
      <c r="G23" s="43" t="str">
        <f t="shared" ca="1" si="1"/>
        <v>=IF(E23&lt;$B$6;F22+F22*$B$7;F22-F22*$B$8)</v>
      </c>
    </row>
  </sheetData>
  <mergeCells count="2">
    <mergeCell ref="E2:F2"/>
    <mergeCell ref="A1:C1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EC03EE-B58B-4247-91B1-C864582C0CF9}">
  <dimension ref="A1:Q49"/>
  <sheetViews>
    <sheetView zoomScaleNormal="100" workbookViewId="0">
      <selection activeCell="M33" sqref="M33"/>
    </sheetView>
  </sheetViews>
  <sheetFormatPr defaultColWidth="9.1796875" defaultRowHeight="14.5"/>
  <cols>
    <col min="1" max="1" width="12.7265625" style="7" bestFit="1" customWidth="1"/>
    <col min="2" max="2" width="16.54296875" style="7" bestFit="1" customWidth="1"/>
    <col min="3" max="3" width="15.54296875" style="7" customWidth="1"/>
    <col min="4" max="4" width="14.81640625" style="7" bestFit="1" customWidth="1"/>
    <col min="5" max="7" width="13.453125" style="7" bestFit="1" customWidth="1"/>
    <col min="8" max="8" width="6.453125" style="7" bestFit="1" customWidth="1"/>
    <col min="9" max="9" width="22" style="7" bestFit="1" customWidth="1"/>
    <col min="10" max="10" width="4.54296875" style="7" bestFit="1" customWidth="1"/>
    <col min="11" max="11" width="17.7265625" style="7" bestFit="1" customWidth="1"/>
    <col min="12" max="12" width="9.1796875" style="7"/>
    <col min="13" max="13" width="36.26953125" style="7" bestFit="1" customWidth="1"/>
    <col min="14" max="14" width="9.81640625" style="7" bestFit="1" customWidth="1"/>
    <col min="15" max="15" width="11.1796875" style="7" customWidth="1"/>
    <col min="16" max="16" width="11.26953125" style="7" customWidth="1"/>
    <col min="17" max="17" width="9.81640625" style="7" customWidth="1"/>
    <col min="18" max="16384" width="9.1796875" style="7"/>
  </cols>
  <sheetData>
    <row r="1" spans="1:16" ht="17.5" thickBot="1">
      <c r="A1" s="220" t="s">
        <v>171</v>
      </c>
      <c r="B1" s="220"/>
      <c r="C1" s="220"/>
      <c r="D1" s="220"/>
      <c r="E1" s="220"/>
      <c r="F1" s="220"/>
      <c r="G1" s="220"/>
      <c r="H1" s="220"/>
      <c r="I1" s="220"/>
      <c r="J1" s="220"/>
      <c r="K1" s="220"/>
      <c r="L1" s="220"/>
    </row>
    <row r="2" spans="1:16" ht="16" thickTop="1">
      <c r="A2" s="124" t="s">
        <v>172</v>
      </c>
    </row>
    <row r="3" spans="1:16" ht="15.5">
      <c r="B3" s="117" t="s">
        <v>167</v>
      </c>
      <c r="C3" s="118" t="s">
        <v>173</v>
      </c>
      <c r="D3" s="118" t="s">
        <v>174</v>
      </c>
      <c r="E3" s="118" t="s">
        <v>168</v>
      </c>
      <c r="F3" s="118" t="s">
        <v>169</v>
      </c>
      <c r="G3" s="119" t="s">
        <v>170</v>
      </c>
      <c r="H3" s="118" t="s">
        <v>166</v>
      </c>
      <c r="I3" s="124"/>
      <c r="J3" s="124"/>
      <c r="M3" s="235" t="s">
        <v>175</v>
      </c>
      <c r="N3" s="235"/>
    </row>
    <row r="4" spans="1:16" ht="20">
      <c r="B4" s="125">
        <v>1</v>
      </c>
      <c r="C4" s="126" t="s">
        <v>176</v>
      </c>
      <c r="D4" s="127">
        <v>1</v>
      </c>
      <c r="E4" s="128">
        <v>250</v>
      </c>
      <c r="F4" s="128">
        <v>100</v>
      </c>
      <c r="G4" s="129">
        <v>100</v>
      </c>
      <c r="H4" s="126">
        <v>60</v>
      </c>
      <c r="M4" s="130" t="s">
        <v>177</v>
      </c>
      <c r="N4" s="131">
        <v>50000</v>
      </c>
      <c r="P4" s="132"/>
    </row>
    <row r="5" spans="1:16" ht="15.5">
      <c r="B5" s="125">
        <v>2</v>
      </c>
      <c r="C5" s="126" t="s">
        <v>176</v>
      </c>
      <c r="D5" s="127">
        <v>0.33</v>
      </c>
      <c r="E5" s="128">
        <v>500</v>
      </c>
      <c r="F5" s="128">
        <v>300</v>
      </c>
      <c r="G5" s="129">
        <v>300</v>
      </c>
      <c r="H5" s="126">
        <v>180</v>
      </c>
      <c r="M5" s="130" t="s">
        <v>178</v>
      </c>
      <c r="N5" s="131">
        <v>10000</v>
      </c>
    </row>
    <row r="6" spans="1:16" ht="15.5">
      <c r="B6" s="125">
        <v>3</v>
      </c>
      <c r="C6" s="126" t="s">
        <v>176</v>
      </c>
      <c r="D6" s="127">
        <v>0.5</v>
      </c>
      <c r="E6" s="128">
        <v>100</v>
      </c>
      <c r="F6" s="128">
        <v>200</v>
      </c>
      <c r="G6" s="129">
        <v>400</v>
      </c>
      <c r="H6" s="126">
        <v>80</v>
      </c>
      <c r="M6" s="130" t="s">
        <v>179</v>
      </c>
      <c r="N6" s="131">
        <v>4000</v>
      </c>
    </row>
    <row r="7" spans="1:16" ht="15.5">
      <c r="B7" s="125">
        <v>4</v>
      </c>
      <c r="C7" s="126" t="s">
        <v>176</v>
      </c>
      <c r="D7" s="127">
        <v>1</v>
      </c>
      <c r="E7" s="128">
        <v>750</v>
      </c>
      <c r="F7" s="128">
        <v>500</v>
      </c>
      <c r="G7" s="129">
        <v>300</v>
      </c>
      <c r="H7" s="126">
        <v>310</v>
      </c>
      <c r="M7" s="130" t="s">
        <v>180</v>
      </c>
      <c r="N7" s="133">
        <v>0.12</v>
      </c>
    </row>
    <row r="8" spans="1:16">
      <c r="B8" s="125">
        <v>5</v>
      </c>
      <c r="C8" s="126" t="s">
        <v>176</v>
      </c>
      <c r="D8" s="127">
        <v>0.75</v>
      </c>
      <c r="E8" s="128">
        <v>200</v>
      </c>
      <c r="F8" s="128">
        <v>400</v>
      </c>
      <c r="G8" s="129">
        <v>800</v>
      </c>
      <c r="H8" s="126">
        <v>220</v>
      </c>
    </row>
    <row r="9" spans="1:16" ht="15.5">
      <c r="B9" s="134">
        <v>6</v>
      </c>
      <c r="C9" s="135" t="s">
        <v>181</v>
      </c>
      <c r="D9" s="136">
        <v>0.5</v>
      </c>
      <c r="E9" s="137">
        <v>1000</v>
      </c>
      <c r="F9" s="137">
        <v>300</v>
      </c>
      <c r="G9" s="138">
        <v>300</v>
      </c>
      <c r="H9" s="135">
        <v>180</v>
      </c>
      <c r="M9" s="236" t="s">
        <v>182</v>
      </c>
      <c r="N9" s="237"/>
    </row>
    <row r="10" spans="1:16">
      <c r="B10" s="134">
        <v>7</v>
      </c>
      <c r="C10" s="135" t="s">
        <v>181</v>
      </c>
      <c r="D10" s="136">
        <v>1</v>
      </c>
      <c r="E10" s="137">
        <v>750</v>
      </c>
      <c r="F10" s="137">
        <v>750</v>
      </c>
      <c r="G10" s="138">
        <v>300</v>
      </c>
      <c r="H10" s="135">
        <v>410</v>
      </c>
      <c r="M10" s="12" t="s">
        <v>183</v>
      </c>
      <c r="N10" s="12">
        <f>IF(D38&lt;4000,1,0)</f>
        <v>1</v>
      </c>
    </row>
    <row r="11" spans="1:16">
      <c r="B11" s="134">
        <v>8</v>
      </c>
      <c r="C11" s="135" t="s">
        <v>181</v>
      </c>
      <c r="D11" s="136">
        <v>1</v>
      </c>
      <c r="E11" s="137">
        <v>800</v>
      </c>
      <c r="F11" s="137">
        <v>700</v>
      </c>
      <c r="G11" s="138">
        <v>600</v>
      </c>
      <c r="H11" s="135">
        <v>280</v>
      </c>
      <c r="M11" s="12" t="s">
        <v>184</v>
      </c>
      <c r="N11" s="12">
        <f>IF(E38&lt;4000,1,0)</f>
        <v>1</v>
      </c>
    </row>
    <row r="12" spans="1:16">
      <c r="B12" s="134">
        <v>9</v>
      </c>
      <c r="C12" s="135" t="s">
        <v>181</v>
      </c>
      <c r="D12" s="136">
        <v>0.67</v>
      </c>
      <c r="E12" s="137">
        <v>400</v>
      </c>
      <c r="F12" s="137">
        <v>600</v>
      </c>
      <c r="G12" s="138">
        <v>800</v>
      </c>
      <c r="H12" s="135">
        <v>380</v>
      </c>
      <c r="M12" s="12" t="s">
        <v>185</v>
      </c>
      <c r="N12" s="12">
        <f>IF(F38&lt;4000,1,0)</f>
        <v>1</v>
      </c>
    </row>
    <row r="13" spans="1:16">
      <c r="B13" s="139">
        <v>10</v>
      </c>
      <c r="C13" s="140" t="s">
        <v>186</v>
      </c>
      <c r="D13" s="141">
        <v>1</v>
      </c>
      <c r="E13" s="142">
        <v>100</v>
      </c>
      <c r="F13" s="142">
        <v>200</v>
      </c>
      <c r="G13" s="143">
        <v>400</v>
      </c>
      <c r="H13" s="140">
        <v>100</v>
      </c>
      <c r="M13" s="12" t="s">
        <v>187</v>
      </c>
      <c r="N13" s="12">
        <f>IF(G38&lt;10000,1,0)</f>
        <v>1</v>
      </c>
    </row>
    <row r="14" spans="1:16">
      <c r="B14" s="139">
        <v>11</v>
      </c>
      <c r="C14" s="140" t="s">
        <v>186</v>
      </c>
      <c r="D14" s="141">
        <v>0.5</v>
      </c>
      <c r="E14" s="142">
        <v>700</v>
      </c>
      <c r="F14" s="142">
        <v>500</v>
      </c>
      <c r="G14" s="143">
        <v>300</v>
      </c>
      <c r="H14" s="140">
        <v>260</v>
      </c>
      <c r="M14" s="12" t="s">
        <v>188</v>
      </c>
      <c r="N14" s="12">
        <f>IF(AND(N15&gt;=1,N16&gt;=1,N17&gt;=1),1,0)</f>
        <v>1</v>
      </c>
      <c r="O14" s="12"/>
    </row>
    <row r="15" spans="1:16">
      <c r="B15" s="139">
        <v>12</v>
      </c>
      <c r="C15" s="140" t="s">
        <v>186</v>
      </c>
      <c r="D15" s="141">
        <v>1</v>
      </c>
      <c r="E15" s="142">
        <v>1500</v>
      </c>
      <c r="F15" s="142">
        <v>400</v>
      </c>
      <c r="G15" s="143">
        <v>400</v>
      </c>
      <c r="H15" s="140">
        <v>340</v>
      </c>
      <c r="M15" s="12" t="s">
        <v>189</v>
      </c>
      <c r="N15" s="12">
        <f>SUM(K19:K23)</f>
        <v>4</v>
      </c>
    </row>
    <row r="16" spans="1:16">
      <c r="M16" s="12" t="s">
        <v>190</v>
      </c>
      <c r="N16" s="12">
        <f>SUM(K26:K29)</f>
        <v>2</v>
      </c>
    </row>
    <row r="17" spans="1:17" ht="15.5">
      <c r="D17" s="238" t="s">
        <v>191</v>
      </c>
      <c r="E17" s="238"/>
      <c r="F17" s="238"/>
      <c r="G17" s="238"/>
      <c r="M17" s="12" t="s">
        <v>192</v>
      </c>
      <c r="N17" s="12">
        <f>SUM(K32:K34)</f>
        <v>2</v>
      </c>
    </row>
    <row r="18" spans="1:17" ht="15.5">
      <c r="A18" s="117" t="s">
        <v>167</v>
      </c>
      <c r="B18" s="118" t="s">
        <v>173</v>
      </c>
      <c r="C18" s="118" t="s">
        <v>174</v>
      </c>
      <c r="D18" s="118" t="s">
        <v>193</v>
      </c>
      <c r="E18" s="118" t="s">
        <v>194</v>
      </c>
      <c r="F18" s="119" t="s">
        <v>195</v>
      </c>
      <c r="G18" s="118" t="s">
        <v>196</v>
      </c>
      <c r="H18" s="119" t="s">
        <v>166</v>
      </c>
      <c r="I18" s="118" t="s">
        <v>197</v>
      </c>
      <c r="J18" s="118" t="s">
        <v>198</v>
      </c>
      <c r="K18" s="120" t="s">
        <v>199</v>
      </c>
      <c r="M18" s="12" t="s">
        <v>200</v>
      </c>
      <c r="N18" s="12">
        <f>SUM(N15:N17)</f>
        <v>8</v>
      </c>
    </row>
    <row r="19" spans="1:17">
      <c r="A19" s="144">
        <v>1</v>
      </c>
      <c r="B19" s="145" t="s">
        <v>176</v>
      </c>
      <c r="C19" s="113">
        <v>1</v>
      </c>
      <c r="D19" s="146">
        <f>E4*C19</f>
        <v>250</v>
      </c>
      <c r="E19" s="146">
        <f>F4*C19</f>
        <v>100</v>
      </c>
      <c r="F19" s="147">
        <f>G4*C19</f>
        <v>100</v>
      </c>
      <c r="G19" s="147">
        <f>SUM(D19,E19,F19)</f>
        <v>450</v>
      </c>
      <c r="H19" s="147">
        <f>H4</f>
        <v>60</v>
      </c>
      <c r="I19" s="146">
        <f>H19*(1-$N$7)</f>
        <v>52.8</v>
      </c>
      <c r="J19" s="113" t="str">
        <f>IF(K19=0,"",I19/SUM(E4:G4))</f>
        <v/>
      </c>
      <c r="K19" s="121">
        <v>0</v>
      </c>
    </row>
    <row r="20" spans="1:17" ht="15.5">
      <c r="A20" s="144">
        <v>2</v>
      </c>
      <c r="B20" s="145" t="s">
        <v>176</v>
      </c>
      <c r="C20" s="113">
        <v>0.33</v>
      </c>
      <c r="D20" s="146">
        <f>E5*C20</f>
        <v>165</v>
      </c>
      <c r="E20" s="146">
        <f t="shared" ref="E20:E23" si="0">F5*C20</f>
        <v>99</v>
      </c>
      <c r="F20" s="147">
        <f t="shared" ref="F20:F23" si="1">G5*C20</f>
        <v>99</v>
      </c>
      <c r="G20" s="147">
        <f>SUM(D20,E20,F20)</f>
        <v>363</v>
      </c>
      <c r="H20" s="147">
        <f t="shared" ref="H20:H23" si="2">H5</f>
        <v>180</v>
      </c>
      <c r="I20" s="146">
        <f t="shared" ref="I20:I23" si="3">H20*(1-$N$7)</f>
        <v>158.4</v>
      </c>
      <c r="J20" s="113">
        <f t="shared" ref="J20:J23" si="4">IF(K20=0,"",I20/SUM(E5:G5))</f>
        <v>0.14400000000000002</v>
      </c>
      <c r="K20" s="121">
        <v>1</v>
      </c>
      <c r="M20" s="118" t="s">
        <v>201</v>
      </c>
      <c r="N20" s="118">
        <f>IF(SUM(N10:N14)=5,1,0)</f>
        <v>1</v>
      </c>
    </row>
    <row r="21" spans="1:17">
      <c r="A21" s="144">
        <v>3</v>
      </c>
      <c r="B21" s="145" t="s">
        <v>176</v>
      </c>
      <c r="C21" s="113">
        <v>0.5</v>
      </c>
      <c r="D21" s="146">
        <f t="shared" ref="D21:D23" si="5">E6*C21</f>
        <v>50</v>
      </c>
      <c r="E21" s="146">
        <f t="shared" si="0"/>
        <v>100</v>
      </c>
      <c r="F21" s="147">
        <f t="shared" si="1"/>
        <v>200</v>
      </c>
      <c r="G21" s="147">
        <f t="shared" ref="G21:G34" si="6">SUM(D21,E21,F21)</f>
        <v>350</v>
      </c>
      <c r="H21" s="147">
        <f t="shared" si="2"/>
        <v>80</v>
      </c>
      <c r="I21" s="146">
        <f t="shared" si="3"/>
        <v>70.400000000000006</v>
      </c>
      <c r="J21" s="113">
        <f t="shared" si="4"/>
        <v>0.10057142857142858</v>
      </c>
      <c r="K21" s="121">
        <v>1</v>
      </c>
    </row>
    <row r="22" spans="1:17">
      <c r="A22" s="144">
        <v>4</v>
      </c>
      <c r="B22" s="145" t="s">
        <v>176</v>
      </c>
      <c r="C22" s="148">
        <v>1</v>
      </c>
      <c r="D22" s="146">
        <f t="shared" si="5"/>
        <v>750</v>
      </c>
      <c r="E22" s="146">
        <f t="shared" si="0"/>
        <v>500</v>
      </c>
      <c r="F22" s="147">
        <f t="shared" si="1"/>
        <v>300</v>
      </c>
      <c r="G22" s="147">
        <f t="shared" si="6"/>
        <v>1550</v>
      </c>
      <c r="H22" s="147">
        <f t="shared" si="2"/>
        <v>310</v>
      </c>
      <c r="I22" s="146">
        <f t="shared" si="3"/>
        <v>272.8</v>
      </c>
      <c r="J22" s="113">
        <f t="shared" si="4"/>
        <v>0.17600000000000002</v>
      </c>
      <c r="K22" s="121">
        <v>1</v>
      </c>
    </row>
    <row r="23" spans="1:17">
      <c r="A23" s="144">
        <v>5</v>
      </c>
      <c r="B23" s="145" t="s">
        <v>176</v>
      </c>
      <c r="C23" s="149">
        <v>0.75</v>
      </c>
      <c r="D23" s="146">
        <f t="shared" si="5"/>
        <v>150</v>
      </c>
      <c r="E23" s="146">
        <f t="shared" si="0"/>
        <v>300</v>
      </c>
      <c r="F23" s="147">
        <f t="shared" si="1"/>
        <v>600</v>
      </c>
      <c r="G23" s="146">
        <f t="shared" si="6"/>
        <v>1050</v>
      </c>
      <c r="H23" s="147">
        <f t="shared" si="2"/>
        <v>220</v>
      </c>
      <c r="I23" s="146">
        <f t="shared" si="3"/>
        <v>193.6</v>
      </c>
      <c r="J23" s="113">
        <f t="shared" si="4"/>
        <v>0.13828571428571429</v>
      </c>
      <c r="K23" s="121">
        <v>1</v>
      </c>
    </row>
    <row r="24" spans="1:17" ht="15.5">
      <c r="C24" s="122" t="s">
        <v>202</v>
      </c>
      <c r="D24" s="150">
        <f>SUMPRODUCT(D19:D23,K19:K23)</f>
        <v>1115</v>
      </c>
      <c r="E24" s="150">
        <f>SUMPRODUCT(E19:E23,K19:K23)</f>
        <v>999</v>
      </c>
      <c r="F24" s="150">
        <f>SUMPRODUCT(F19:F23,K19:K23)</f>
        <v>1199</v>
      </c>
      <c r="G24" s="150">
        <f t="shared" si="6"/>
        <v>3313</v>
      </c>
      <c r="O24" s="232" t="s">
        <v>203</v>
      </c>
      <c r="P24" s="232"/>
      <c r="Q24" s="232"/>
    </row>
    <row r="25" spans="1:17">
      <c r="N25" s="12"/>
      <c r="O25" s="12" t="s">
        <v>204</v>
      </c>
      <c r="P25" s="12" t="s">
        <v>205</v>
      </c>
      <c r="Q25" s="12" t="s">
        <v>206</v>
      </c>
    </row>
    <row r="26" spans="1:17">
      <c r="A26" s="144">
        <v>6</v>
      </c>
      <c r="B26" s="151" t="s">
        <v>181</v>
      </c>
      <c r="C26" s="113">
        <v>0.5</v>
      </c>
      <c r="D26" s="146">
        <f>E9*C26</f>
        <v>500</v>
      </c>
      <c r="E26" s="146">
        <f>F9*C26</f>
        <v>150</v>
      </c>
      <c r="F26" s="147">
        <f>G9*C26</f>
        <v>150</v>
      </c>
      <c r="G26" s="147">
        <f t="shared" si="6"/>
        <v>800</v>
      </c>
      <c r="H26" s="147">
        <f>H9</f>
        <v>180</v>
      </c>
      <c r="I26" s="146">
        <f>H26*(1-$N$7)</f>
        <v>158.4</v>
      </c>
      <c r="J26" s="113" t="str">
        <f>IF(K26=0,"",I26/SUM(E9:G9))</f>
        <v/>
      </c>
      <c r="K26" s="121">
        <v>0</v>
      </c>
      <c r="M26" s="233" t="s">
        <v>207</v>
      </c>
      <c r="N26" s="12" t="s">
        <v>208</v>
      </c>
      <c r="O26" s="152">
        <f>D24</f>
        <v>1115</v>
      </c>
      <c r="P26" s="152">
        <f>E24</f>
        <v>999</v>
      </c>
      <c r="Q26" s="152">
        <f>F24</f>
        <v>1199</v>
      </c>
    </row>
    <row r="27" spans="1:17">
      <c r="A27" s="144">
        <v>7</v>
      </c>
      <c r="B27" s="151" t="s">
        <v>181</v>
      </c>
      <c r="C27" s="113">
        <v>1</v>
      </c>
      <c r="D27" s="146">
        <f>E10*C27</f>
        <v>750</v>
      </c>
      <c r="E27" s="146">
        <f>F10*C27</f>
        <v>750</v>
      </c>
      <c r="F27" s="147">
        <f>G10*C27</f>
        <v>300</v>
      </c>
      <c r="G27" s="147">
        <f t="shared" si="6"/>
        <v>1800</v>
      </c>
      <c r="H27" s="147">
        <f t="shared" ref="H27:H29" si="7">H10</f>
        <v>410</v>
      </c>
      <c r="I27" s="146">
        <f t="shared" ref="I27:I29" si="8">H27*(1-$N$7)</f>
        <v>360.8</v>
      </c>
      <c r="J27" s="113">
        <f t="shared" ref="J27:J29" si="9">IF(K27=0,"",I27/SUM(E10:G10))</f>
        <v>0.20044444444444445</v>
      </c>
      <c r="K27" s="121">
        <v>1</v>
      </c>
      <c r="M27" s="233"/>
      <c r="N27" s="12" t="s">
        <v>181</v>
      </c>
      <c r="O27" s="152">
        <f>D30</f>
        <v>1018</v>
      </c>
      <c r="P27" s="152">
        <f>E30</f>
        <v>1152</v>
      </c>
      <c r="Q27" s="152">
        <f>F30</f>
        <v>836</v>
      </c>
    </row>
    <row r="28" spans="1:17">
      <c r="A28" s="144">
        <v>8</v>
      </c>
      <c r="B28" s="151" t="s">
        <v>181</v>
      </c>
      <c r="C28" s="113">
        <v>1</v>
      </c>
      <c r="D28" s="146">
        <f>E11*C28</f>
        <v>800</v>
      </c>
      <c r="E28" s="146">
        <f>F11*C28</f>
        <v>700</v>
      </c>
      <c r="F28" s="147">
        <f>G11*C28</f>
        <v>600</v>
      </c>
      <c r="G28" s="147">
        <f t="shared" si="6"/>
        <v>2100</v>
      </c>
      <c r="H28" s="147">
        <f t="shared" si="7"/>
        <v>280</v>
      </c>
      <c r="I28" s="146">
        <f t="shared" si="8"/>
        <v>246.4</v>
      </c>
      <c r="J28" s="113" t="str">
        <f t="shared" si="9"/>
        <v/>
      </c>
      <c r="K28" s="121">
        <v>0</v>
      </c>
      <c r="M28" s="233"/>
      <c r="N28" s="12" t="s">
        <v>186</v>
      </c>
      <c r="O28" s="152">
        <f>D35</f>
        <v>1850</v>
      </c>
      <c r="P28" s="152">
        <f>E35</f>
        <v>650</v>
      </c>
      <c r="Q28" s="152">
        <f>F35</f>
        <v>550</v>
      </c>
    </row>
    <row r="29" spans="1:17">
      <c r="A29" s="144">
        <v>9</v>
      </c>
      <c r="B29" s="151" t="s">
        <v>181</v>
      </c>
      <c r="C29" s="113">
        <v>0.67</v>
      </c>
      <c r="D29" s="146">
        <f>E12*C29</f>
        <v>268</v>
      </c>
      <c r="E29" s="146">
        <f>F12*C29</f>
        <v>402</v>
      </c>
      <c r="F29" s="147">
        <f>G12*C29</f>
        <v>536</v>
      </c>
      <c r="G29" s="147">
        <f t="shared" si="6"/>
        <v>1206</v>
      </c>
      <c r="H29" s="147">
        <f t="shared" si="7"/>
        <v>380</v>
      </c>
      <c r="I29" s="146">
        <f t="shared" si="8"/>
        <v>334.4</v>
      </c>
      <c r="J29" s="113">
        <f t="shared" si="9"/>
        <v>0.18577777777777776</v>
      </c>
      <c r="K29" s="121">
        <v>1</v>
      </c>
    </row>
    <row r="30" spans="1:17" ht="15.5">
      <c r="C30" s="122" t="s">
        <v>209</v>
      </c>
      <c r="D30" s="150">
        <f>SUMPRODUCT(D26:D29,$K$26:$K$29)</f>
        <v>1018</v>
      </c>
      <c r="E30" s="150">
        <f t="shared" ref="E30:F30" si="10">SUMPRODUCT(E26:E29,$K$26:$K$29)</f>
        <v>1152</v>
      </c>
      <c r="F30" s="150">
        <f t="shared" si="10"/>
        <v>836</v>
      </c>
      <c r="G30" s="152">
        <f>SUM(D30:F30)</f>
        <v>3006</v>
      </c>
    </row>
    <row r="32" spans="1:17">
      <c r="A32" s="144">
        <v>10</v>
      </c>
      <c r="B32" s="153" t="s">
        <v>186</v>
      </c>
      <c r="C32" s="113">
        <v>1</v>
      </c>
      <c r="D32" s="146">
        <f>E13*C32</f>
        <v>100</v>
      </c>
      <c r="E32" s="146">
        <f>F13*C32</f>
        <v>200</v>
      </c>
      <c r="F32" s="147">
        <f>G13*C32</f>
        <v>400</v>
      </c>
      <c r="G32" s="147">
        <f t="shared" si="6"/>
        <v>700</v>
      </c>
      <c r="H32" s="154">
        <f>H13</f>
        <v>100</v>
      </c>
      <c r="I32" s="146">
        <f>H32*(1-$N$7)</f>
        <v>88</v>
      </c>
      <c r="J32" s="113" t="str">
        <f>IF(K32=0,"",I32/SUM(E13:G13))</f>
        <v/>
      </c>
      <c r="K32" s="121">
        <v>0</v>
      </c>
    </row>
    <row r="33" spans="1:11">
      <c r="A33" s="144">
        <v>11</v>
      </c>
      <c r="B33" s="153" t="s">
        <v>186</v>
      </c>
      <c r="C33" s="113">
        <v>0.5</v>
      </c>
      <c r="D33" s="146">
        <f>E14*C33</f>
        <v>350</v>
      </c>
      <c r="E33" s="146">
        <f>F14*C33</f>
        <v>250</v>
      </c>
      <c r="F33" s="147">
        <f>G14*C33</f>
        <v>150</v>
      </c>
      <c r="G33" s="147">
        <f t="shared" si="6"/>
        <v>750</v>
      </c>
      <c r="H33" s="154">
        <f t="shared" ref="H33:H34" si="11">H14</f>
        <v>260</v>
      </c>
      <c r="I33" s="146">
        <f t="shared" ref="I33" si="12">H33*(1-$N$7)</f>
        <v>228.8</v>
      </c>
      <c r="J33" s="113">
        <f t="shared" ref="J33:J34" si="13">IF(K33=0,"",I33/SUM(E14:G14))</f>
        <v>0.15253333333333335</v>
      </c>
      <c r="K33" s="121">
        <v>1</v>
      </c>
    </row>
    <row r="34" spans="1:11">
      <c r="A34" s="144">
        <v>12</v>
      </c>
      <c r="B34" s="153" t="s">
        <v>186</v>
      </c>
      <c r="C34" s="113">
        <v>1</v>
      </c>
      <c r="D34" s="146">
        <f>E15*C34</f>
        <v>1500</v>
      </c>
      <c r="E34" s="146">
        <f>F15*C34</f>
        <v>400</v>
      </c>
      <c r="F34" s="147">
        <f>G15*C34</f>
        <v>400</v>
      </c>
      <c r="G34" s="147">
        <f t="shared" si="6"/>
        <v>2300</v>
      </c>
      <c r="H34" s="154">
        <f t="shared" si="11"/>
        <v>340</v>
      </c>
      <c r="I34" s="146">
        <f>H34*(1-$N$7)</f>
        <v>299.2</v>
      </c>
      <c r="J34" s="113">
        <f t="shared" si="13"/>
        <v>0.13008695652173913</v>
      </c>
      <c r="K34" s="121">
        <v>1</v>
      </c>
    </row>
    <row r="35" spans="1:11" ht="15.5">
      <c r="C35" s="122" t="s">
        <v>210</v>
      </c>
      <c r="D35" s="146">
        <f>SUMPRODUCT(D32:D34,$K$32:$K$34)</f>
        <v>1850</v>
      </c>
      <c r="E35" s="146">
        <f t="shared" ref="E35:F35" si="14">SUMPRODUCT(E32:E34,$K$32:$K$34)</f>
        <v>650</v>
      </c>
      <c r="F35" s="146">
        <f t="shared" si="14"/>
        <v>550</v>
      </c>
      <c r="G35" s="146">
        <f>SUM(D35:F35)</f>
        <v>3050</v>
      </c>
    </row>
    <row r="36" spans="1:11">
      <c r="F36" s="155"/>
      <c r="G36" s="155"/>
    </row>
    <row r="37" spans="1:11" ht="15.5">
      <c r="D37" s="118" t="s">
        <v>193</v>
      </c>
      <c r="E37" s="118" t="s">
        <v>194</v>
      </c>
      <c r="F37" s="119" t="s">
        <v>195</v>
      </c>
      <c r="G37" s="118" t="s">
        <v>196</v>
      </c>
      <c r="I37" s="123" t="s">
        <v>211</v>
      </c>
    </row>
    <row r="38" spans="1:11" ht="15.5">
      <c r="C38" s="122" t="s">
        <v>212</v>
      </c>
      <c r="D38" s="156">
        <f>SUMPRODUCT(D19:D23,$K$19:$K$23)+SUMPRODUCT(D26:D29,$K$26:$K$29)+SUMPRODUCT(D32:D34,$K$32:$K$34)</f>
        <v>3983</v>
      </c>
      <c r="E38" s="156">
        <f>SUMPRODUCT(E19:E23,$K$19:$K$23)+SUMPRODUCT(E26:E29,$K$26:$K$29)+SUMPRODUCT(E32:E34,$K$32:$K$34)</f>
        <v>2801</v>
      </c>
      <c r="F38" s="156">
        <f t="shared" ref="F38" si="15">SUMPRODUCT(F19:F23,$K$19:$K$23)+SUMPRODUCT(F26:F29,$K$26:$K$29)+SUMPRODUCT(F32:F34,$K$32:$K$34)</f>
        <v>2585</v>
      </c>
      <c r="G38" s="156">
        <f>SUM(D38:F38)</f>
        <v>9369</v>
      </c>
      <c r="I38" s="157">
        <f>SUMPRODUCT(I19:I34,K19:K34)</f>
        <v>1918.4</v>
      </c>
    </row>
    <row r="40" spans="1:11" ht="15.5">
      <c r="E40" s="234" t="s">
        <v>213</v>
      </c>
      <c r="F40" s="234"/>
      <c r="G40" s="234"/>
    </row>
    <row r="41" spans="1:11" ht="15.5">
      <c r="D41" s="118" t="s">
        <v>214</v>
      </c>
      <c r="E41" s="118" t="s">
        <v>215</v>
      </c>
      <c r="F41" s="118" t="s">
        <v>216</v>
      </c>
      <c r="G41" s="118" t="s">
        <v>217</v>
      </c>
    </row>
    <row r="42" spans="1:11" ht="15.5">
      <c r="D42" s="29"/>
      <c r="E42" s="158">
        <f>AVERAGE(J19:J34)</f>
        <v>0.15346245686680471</v>
      </c>
      <c r="F42" s="158">
        <f>MIN(J19:J34)</f>
        <v>0.10057142857142858</v>
      </c>
      <c r="G42" s="158">
        <f>MAX(J19:J34)</f>
        <v>0.20044444444444445</v>
      </c>
    </row>
    <row r="43" spans="1:11">
      <c r="D43" s="113">
        <v>0</v>
      </c>
      <c r="E43" s="113">
        <v>0.17438915553045989</v>
      </c>
      <c r="F43" s="113">
        <v>0.11428571428571428</v>
      </c>
      <c r="G43" s="113">
        <v>0.22777777777777777</v>
      </c>
    </row>
    <row r="44" spans="1:11">
      <c r="D44" s="113">
        <v>0.05</v>
      </c>
      <c r="E44" s="113">
        <v>0.16566969775393689</v>
      </c>
      <c r="F44" s="113">
        <v>0.10857142857142857</v>
      </c>
      <c r="G44" s="113">
        <v>0.21638888888888888</v>
      </c>
    </row>
    <row r="45" spans="1:11">
      <c r="D45" s="113">
        <v>0.1</v>
      </c>
      <c r="E45" s="113">
        <v>0.15695023997741389</v>
      </c>
      <c r="F45" s="113">
        <v>0.10285714285714286</v>
      </c>
      <c r="G45" s="113">
        <v>0.20499999999999999</v>
      </c>
    </row>
    <row r="46" spans="1:11">
      <c r="D46" s="113">
        <v>0.15</v>
      </c>
      <c r="E46" s="113">
        <v>0.14823078220089089</v>
      </c>
      <c r="F46" s="113">
        <v>9.7142857142857142E-2</v>
      </c>
      <c r="G46" s="113">
        <v>0.19361111111111112</v>
      </c>
    </row>
    <row r="47" spans="1:11">
      <c r="D47" s="113">
        <v>0.2</v>
      </c>
      <c r="E47" s="113">
        <v>0.13951132442436792</v>
      </c>
      <c r="F47" s="113">
        <v>9.1428571428571428E-2</v>
      </c>
      <c r="G47" s="113">
        <v>0.18222222222222223</v>
      </c>
    </row>
    <row r="48" spans="1:11">
      <c r="D48" s="113">
        <v>0.25</v>
      </c>
      <c r="E48" s="113">
        <v>0.1307918666478449</v>
      </c>
      <c r="F48" s="113">
        <v>8.5714285714285715E-2</v>
      </c>
      <c r="G48" s="113">
        <v>0.17083333333333334</v>
      </c>
    </row>
    <row r="49" spans="4:7">
      <c r="D49" s="113">
        <v>0.3</v>
      </c>
      <c r="E49" s="113">
        <v>0.12207240887132191</v>
      </c>
      <c r="F49" s="113">
        <v>0.08</v>
      </c>
      <c r="G49" s="113">
        <v>0.15944444444444444</v>
      </c>
    </row>
  </sheetData>
  <mergeCells count="7">
    <mergeCell ref="O24:Q24"/>
    <mergeCell ref="M26:M28"/>
    <mergeCell ref="E40:G40"/>
    <mergeCell ref="A1:L1"/>
    <mergeCell ref="M3:N3"/>
    <mergeCell ref="M9:N9"/>
    <mergeCell ref="D17:G17"/>
  </mergeCells>
  <conditionalFormatting sqref="D38:F38">
    <cfRule type="cellIs" dxfId="24" priority="7" operator="greaterThan">
      <formula>4000</formula>
    </cfRule>
    <cfRule type="cellIs" dxfId="23" priority="8" operator="lessThan">
      <formula>4000</formula>
    </cfRule>
  </conditionalFormatting>
  <conditionalFormatting sqref="G38">
    <cfRule type="cellIs" dxfId="22" priority="1" operator="greaterThan">
      <formula>10000</formula>
    </cfRule>
    <cfRule type="cellIs" dxfId="21" priority="2" operator="lessThan">
      <formula>10000</formula>
    </cfRule>
  </conditionalFormatting>
  <conditionalFormatting sqref="H26:H29 H32:H34">
    <cfRule type="cellIs" dxfId="20" priority="10" operator="equal">
      <formula>MIN($K$19:$K$29)</formula>
    </cfRule>
    <cfRule type="cellIs" dxfId="19" priority="11" operator="equal">
      <formula>MAX($K$19:$K$29)</formula>
    </cfRule>
  </conditionalFormatting>
  <conditionalFormatting sqref="M20:N20">
    <cfRule type="cellIs" dxfId="18" priority="3" operator="lessThan">
      <formula>1</formula>
    </cfRule>
    <cfRule type="cellIs" dxfId="17" priority="4" operator="equal">
      <formula>1</formula>
    </cfRule>
  </conditionalFormatting>
  <conditionalFormatting sqref="N10:N13">
    <cfRule type="cellIs" dxfId="16" priority="9" operator="equal">
      <formula>1</formula>
    </cfRule>
  </conditionalFormatting>
  <conditionalFormatting sqref="N10:N14">
    <cfRule type="cellIs" dxfId="15" priority="5" operator="lessThan">
      <formula>1</formula>
    </cfRule>
  </conditionalFormatting>
  <conditionalFormatting sqref="N14">
    <cfRule type="cellIs" dxfId="14" priority="6" operator="greaterThan">
      <formula>0</formula>
    </cfRule>
  </conditionalFormatting>
  <pageMargins left="0.7" right="0.7" top="0.75" bottom="0.75" header="0.3" footer="0.3"/>
  <drawing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3E95FF-297B-4180-87B7-413EE0640CE8}">
  <dimension ref="A1:G14"/>
  <sheetViews>
    <sheetView zoomScaleNormal="100" workbookViewId="0">
      <selection activeCell="B12" sqref="B12"/>
    </sheetView>
  </sheetViews>
  <sheetFormatPr defaultRowHeight="14.5"/>
  <cols>
    <col min="1" max="1" width="22.1796875" bestFit="1" customWidth="1"/>
    <col min="2" max="2" width="15.7265625" bestFit="1" customWidth="1"/>
    <col min="3" max="3" width="12.81640625" bestFit="1" customWidth="1"/>
  </cols>
  <sheetData>
    <row r="1" spans="1:7">
      <c r="B1" t="s">
        <v>219</v>
      </c>
      <c r="C1" t="s">
        <v>220</v>
      </c>
    </row>
    <row r="2" spans="1:7">
      <c r="A2" t="s">
        <v>218</v>
      </c>
      <c r="B2" s="36">
        <v>175</v>
      </c>
      <c r="C2" s="36">
        <v>10.000000000000007</v>
      </c>
      <c r="D2" t="s">
        <v>221</v>
      </c>
    </row>
    <row r="3" spans="1:7">
      <c r="B3" s="7">
        <v>3000</v>
      </c>
      <c r="C3" s="7">
        <v>7000</v>
      </c>
      <c r="D3" t="s">
        <v>229</v>
      </c>
    </row>
    <row r="4" spans="1:7">
      <c r="A4" t="s">
        <v>223</v>
      </c>
    </row>
    <row r="5" spans="1:7">
      <c r="A5" t="s">
        <v>230</v>
      </c>
      <c r="B5" s="159">
        <f>SUMPRODUCT(B2:C2,B3:C3)</f>
        <v>595000</v>
      </c>
    </row>
    <row r="10" spans="1:7">
      <c r="A10" s="38" t="s">
        <v>222</v>
      </c>
      <c r="B10" s="12"/>
      <c r="C10" s="12"/>
      <c r="D10" s="12" t="s">
        <v>226</v>
      </c>
      <c r="E10" s="12" t="s">
        <v>225</v>
      </c>
      <c r="F10" s="12" t="s">
        <v>227</v>
      </c>
    </row>
    <row r="11" spans="1:7">
      <c r="A11" s="38" t="s">
        <v>224</v>
      </c>
      <c r="B11" s="12">
        <v>200</v>
      </c>
      <c r="C11" s="12">
        <v>500</v>
      </c>
      <c r="D11" s="12">
        <f>SUMPRODUCT($B$2:$C$2,B11:C11)</f>
        <v>40000</v>
      </c>
      <c r="E11" s="12" t="s">
        <v>228</v>
      </c>
      <c r="F11" s="12">
        <v>40000</v>
      </c>
      <c r="G11" t="str">
        <f ca="1">_xlfn.FORMULATEXT(D11)</f>
        <v>=SUMPRODUCT($B$2:$C$2;B11:C11)</v>
      </c>
    </row>
    <row r="12" spans="1:7">
      <c r="A12" s="38" t="s">
        <v>231</v>
      </c>
      <c r="B12" s="12">
        <v>1</v>
      </c>
      <c r="C12" s="12"/>
      <c r="D12" s="12">
        <f t="shared" ref="D12:D14" si="0">SUMPRODUCT($B$2:$C$2,B12:C12)</f>
        <v>175</v>
      </c>
      <c r="E12" s="12" t="s">
        <v>233</v>
      </c>
      <c r="F12" s="12">
        <v>10</v>
      </c>
      <c r="G12" t="str">
        <f ca="1">_xlfn.FORMULATEXT(D12)</f>
        <v>=SUMPRODUCT($B$2:$C$2;B12:C12)</v>
      </c>
    </row>
    <row r="13" spans="1:7">
      <c r="A13" s="38" t="s">
        <v>232</v>
      </c>
      <c r="B13" s="12"/>
      <c r="C13" s="12">
        <v>1</v>
      </c>
      <c r="D13" s="12">
        <f t="shared" si="0"/>
        <v>10.000000000000007</v>
      </c>
      <c r="E13" s="12" t="s">
        <v>233</v>
      </c>
      <c r="F13" s="12">
        <v>10</v>
      </c>
      <c r="G13" t="str">
        <f ca="1">_xlfn.FORMULATEXT(D13)</f>
        <v>=SUMPRODUCT($B$2:$C$2;B13:C13)</v>
      </c>
    </row>
    <row r="14" spans="1:7">
      <c r="A14" s="38" t="s">
        <v>234</v>
      </c>
      <c r="B14" s="12">
        <v>1</v>
      </c>
      <c r="C14" s="12">
        <v>-1</v>
      </c>
      <c r="D14" s="12">
        <f t="shared" si="0"/>
        <v>165</v>
      </c>
      <c r="E14" s="12" t="s">
        <v>233</v>
      </c>
      <c r="F14" s="12">
        <v>0</v>
      </c>
      <c r="G14" t="str">
        <f ca="1">_xlfn.FORMULATEXT(D14)</f>
        <v>=SUMPRODUCT($B$2:$C$2;B14:C14)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1843FE-E21E-4561-B6D7-245748C61CBA}">
  <dimension ref="A1:F10"/>
  <sheetViews>
    <sheetView workbookViewId="0">
      <selection activeCell="B4" sqref="B4"/>
    </sheetView>
  </sheetViews>
  <sheetFormatPr defaultRowHeight="14.5"/>
  <cols>
    <col min="1" max="1" width="15.26953125" bestFit="1" customWidth="1"/>
    <col min="4" max="4" width="9.81640625" bestFit="1" customWidth="1"/>
  </cols>
  <sheetData>
    <row r="1" spans="1:6">
      <c r="B1" s="7" t="s">
        <v>241</v>
      </c>
      <c r="C1" s="7" t="s">
        <v>242</v>
      </c>
    </row>
    <row r="2" spans="1:6">
      <c r="A2" t="s">
        <v>235</v>
      </c>
      <c r="B2" s="36">
        <v>29.999999999999986</v>
      </c>
      <c r="C2" s="36">
        <v>60.000000000000021</v>
      </c>
      <c r="D2" t="s">
        <v>243</v>
      </c>
    </row>
    <row r="3" spans="1:6">
      <c r="A3" t="s">
        <v>236</v>
      </c>
      <c r="B3" s="7">
        <v>3</v>
      </c>
      <c r="C3" s="7">
        <v>6</v>
      </c>
    </row>
    <row r="5" spans="1:6">
      <c r="A5" t="s">
        <v>237</v>
      </c>
    </row>
    <row r="6" spans="1:6">
      <c r="A6" t="s">
        <v>113</v>
      </c>
      <c r="B6" s="160">
        <f>SUMPRODUCT(B2:C2,B3:C3)</f>
        <v>450.00000000000006</v>
      </c>
      <c r="C6" t="str">
        <f ca="1">_xlfn.FORMULATEXT(B6)</f>
        <v>=SUMPRODUCT(B2:C2;B3:C3)</v>
      </c>
    </row>
    <row r="8" spans="1:6">
      <c r="A8" s="12" t="s">
        <v>238</v>
      </c>
      <c r="B8" s="12"/>
      <c r="C8" s="12"/>
      <c r="D8" s="12" t="s">
        <v>226</v>
      </c>
      <c r="E8" s="12" t="s">
        <v>225</v>
      </c>
      <c r="F8" s="12" t="s">
        <v>227</v>
      </c>
    </row>
    <row r="9" spans="1:6">
      <c r="A9" s="12" t="s">
        <v>239</v>
      </c>
      <c r="B9" s="12">
        <v>2</v>
      </c>
      <c r="C9" s="12">
        <v>1</v>
      </c>
      <c r="D9" s="12">
        <f>SUMPRODUCT(B9:C9,$B$2:$C$2)</f>
        <v>120</v>
      </c>
      <c r="E9" s="12" t="s">
        <v>228</v>
      </c>
      <c r="F9" s="12">
        <v>120</v>
      </c>
    </row>
    <row r="10" spans="1:6">
      <c r="A10" s="12" t="s">
        <v>240</v>
      </c>
      <c r="B10" s="12">
        <v>2</v>
      </c>
      <c r="C10" s="12">
        <v>3</v>
      </c>
      <c r="D10" s="12">
        <f>SUMPRODUCT(B10:C10,$B$2:$C$2)</f>
        <v>240.00000000000003</v>
      </c>
      <c r="E10" s="12" t="s">
        <v>228</v>
      </c>
      <c r="F10" s="12">
        <v>240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4CA330-4B18-4672-A540-3956B446C76D}">
  <dimension ref="A1:I29"/>
  <sheetViews>
    <sheetView zoomScaleNormal="100" workbookViewId="0">
      <selection activeCell="G22" sqref="G22"/>
    </sheetView>
  </sheetViews>
  <sheetFormatPr defaultRowHeight="14.5"/>
  <cols>
    <col min="1" max="1" width="16.7265625" bestFit="1" customWidth="1"/>
    <col min="2" max="3" width="12.26953125" customWidth="1"/>
    <col min="4" max="4" width="13.54296875" customWidth="1"/>
    <col min="5" max="5" width="6" customWidth="1"/>
    <col min="7" max="7" width="33.08984375" customWidth="1"/>
  </cols>
  <sheetData>
    <row r="1" spans="1:9">
      <c r="B1" s="7" t="s">
        <v>245</v>
      </c>
      <c r="C1" s="7" t="s">
        <v>246</v>
      </c>
    </row>
    <row r="2" spans="1:9">
      <c r="A2" t="s">
        <v>218</v>
      </c>
      <c r="B2" s="36">
        <v>560</v>
      </c>
      <c r="C2" s="36">
        <v>1200</v>
      </c>
    </row>
    <row r="4" spans="1:9">
      <c r="A4" t="s">
        <v>249</v>
      </c>
      <c r="B4" s="7"/>
      <c r="D4" t="s">
        <v>250</v>
      </c>
    </row>
    <row r="5" spans="1:9">
      <c r="A5" t="s">
        <v>28</v>
      </c>
      <c r="B5" s="48">
        <v>300</v>
      </c>
      <c r="C5" s="48">
        <v>450</v>
      </c>
      <c r="D5" s="48">
        <f>SUMPRODUCT($B$2:$C$2,B5:C5)</f>
        <v>708000</v>
      </c>
      <c r="G5" t="str">
        <f ca="1">_xlfn.FORMULATEXT(D5)</f>
        <v>=SUMPRODUCT($B$2:$C$2;B5:C5)</v>
      </c>
    </row>
    <row r="6" spans="1:9">
      <c r="A6" t="s">
        <v>22</v>
      </c>
      <c r="B6" s="7"/>
    </row>
    <row r="7" spans="1:9">
      <c r="A7" s="5" t="s">
        <v>251</v>
      </c>
      <c r="B7" s="48">
        <v>150</v>
      </c>
      <c r="C7" s="48">
        <v>225</v>
      </c>
      <c r="D7" s="48">
        <f>SUMPRODUCT($B$2:$C$2,B7:C7)</f>
        <v>354000</v>
      </c>
      <c r="G7" t="str">
        <f ca="1">_xlfn.FORMULATEXT(D7)</f>
        <v>=SUMPRODUCT($B$2:$C$2;B7:C7)</v>
      </c>
    </row>
    <row r="8" spans="1:9">
      <c r="A8" s="5" t="s">
        <v>254</v>
      </c>
      <c r="B8" s="7">
        <v>5</v>
      </c>
      <c r="C8" s="7">
        <v>6</v>
      </c>
      <c r="D8" s="162">
        <f>SUMPRODUCT($B$2:$C$2,B8:C8)*H8</f>
        <v>110000</v>
      </c>
      <c r="G8" t="str">
        <f ca="1">_xlfn.FORMULATEXT(D8)</f>
        <v>=SUMPRODUCT($B$2:$C$2;B8:C8)*H8</v>
      </c>
      <c r="H8" s="48">
        <v>11</v>
      </c>
      <c r="I8" t="s">
        <v>257</v>
      </c>
    </row>
    <row r="9" spans="1:9">
      <c r="A9" s="5" t="s">
        <v>255</v>
      </c>
      <c r="B9" s="7">
        <v>1</v>
      </c>
      <c r="C9" s="7">
        <v>2</v>
      </c>
      <c r="D9" s="25">
        <f>SUMPRODUCT($B$2:$C$2,B9:C9)*H9</f>
        <v>44400</v>
      </c>
      <c r="G9" t="str">
        <f ca="1">_xlfn.FORMULATEXT(D9)</f>
        <v>=SUMPRODUCT($B$2:$C$2;B9:C9)*H9</v>
      </c>
      <c r="H9" s="48">
        <v>15</v>
      </c>
      <c r="I9" t="s">
        <v>256</v>
      </c>
    </row>
    <row r="10" spans="1:9">
      <c r="A10" t="s">
        <v>64</v>
      </c>
      <c r="D10" s="161">
        <f>D5-D7-D8-D9</f>
        <v>199600</v>
      </c>
      <c r="G10" t="str">
        <f ca="1">_xlfn.FORMULATEXT(D10)</f>
        <v>=D5-D7-D8-D9</v>
      </c>
    </row>
    <row r="13" spans="1:9">
      <c r="A13" s="38" t="s">
        <v>244</v>
      </c>
      <c r="B13" s="12"/>
      <c r="C13" s="12"/>
      <c r="D13" s="12" t="s">
        <v>226</v>
      </c>
      <c r="E13" s="12" t="s">
        <v>225</v>
      </c>
      <c r="F13" s="12" t="s">
        <v>227</v>
      </c>
    </row>
    <row r="14" spans="1:9">
      <c r="A14" s="38" t="s">
        <v>247</v>
      </c>
      <c r="B14" s="12">
        <v>1</v>
      </c>
      <c r="C14" s="12"/>
      <c r="D14" s="12">
        <f>SUMPRODUCT(B14:C14,$B$2:$C$2)</f>
        <v>560</v>
      </c>
      <c r="E14" s="12" t="s">
        <v>228</v>
      </c>
      <c r="F14" s="12">
        <v>600</v>
      </c>
      <c r="G14" t="str">
        <f ca="1">_xlfn.FORMULATEXT(D14)</f>
        <v>=SUMPRODUCT(B14:C14;$B$2:$C$2)</v>
      </c>
    </row>
    <row r="15" spans="1:9">
      <c r="A15" s="38" t="s">
        <v>248</v>
      </c>
      <c r="B15" s="12"/>
      <c r="C15" s="12">
        <v>1</v>
      </c>
      <c r="D15" s="12">
        <f>SUMPRODUCT(B15:C15,$B$2:$C$2)</f>
        <v>1200</v>
      </c>
      <c r="E15" s="12" t="s">
        <v>228</v>
      </c>
      <c r="F15" s="12">
        <v>1200</v>
      </c>
      <c r="G15" t="str">
        <f ca="1">_xlfn.FORMULATEXT(D15)</f>
        <v>=SUMPRODUCT(B15:C15;$B$2:$C$2)</v>
      </c>
    </row>
    <row r="16" spans="1:9">
      <c r="A16" s="38" t="s">
        <v>252</v>
      </c>
      <c r="B16" s="12">
        <v>5</v>
      </c>
      <c r="C16" s="12">
        <v>6</v>
      </c>
      <c r="D16" s="12">
        <f t="shared" ref="D16" si="0">SUMPRODUCT(B16:C16,$B$2:$C$2)</f>
        <v>10000</v>
      </c>
      <c r="E16" s="12" t="s">
        <v>228</v>
      </c>
      <c r="F16" s="12">
        <v>10000</v>
      </c>
      <c r="G16" t="str">
        <f t="shared" ref="G16:G17" ca="1" si="1">_xlfn.FORMULATEXT(D16)</f>
        <v>=SUMPRODUCT(B16:C16;$B$2:$C$2)</v>
      </c>
    </row>
    <row r="17" spans="1:7">
      <c r="A17" s="38" t="s">
        <v>253</v>
      </c>
      <c r="B17" s="12">
        <v>1</v>
      </c>
      <c r="C17" s="12">
        <v>2</v>
      </c>
      <c r="D17" s="12">
        <f>SUMPRODUCT(B17:C17,$B$2:$C$2)</f>
        <v>2960</v>
      </c>
      <c r="E17" s="12" t="s">
        <v>228</v>
      </c>
      <c r="F17" s="12">
        <v>3000</v>
      </c>
      <c r="G17" t="str">
        <f t="shared" ca="1" si="1"/>
        <v>=SUMPRODUCT(B17:C17;$B$2:$C$2)</v>
      </c>
    </row>
    <row r="18" spans="1:7">
      <c r="B18" s="7"/>
      <c r="C18" s="7"/>
      <c r="D18" s="7"/>
      <c r="E18" s="7"/>
      <c r="F18" s="7"/>
    </row>
    <row r="19" spans="1:7">
      <c r="B19" s="7"/>
      <c r="C19" s="7"/>
      <c r="D19" s="7"/>
      <c r="E19" s="7"/>
      <c r="F19" s="7"/>
    </row>
    <row r="20" spans="1:7">
      <c r="B20" s="7"/>
      <c r="C20" s="7"/>
      <c r="D20" s="7"/>
      <c r="E20" s="7"/>
      <c r="F20" s="7"/>
    </row>
    <row r="21" spans="1:7">
      <c r="B21" s="7"/>
      <c r="C21" s="7"/>
      <c r="D21" s="7"/>
      <c r="E21" s="7"/>
      <c r="F21" s="7"/>
    </row>
    <row r="22" spans="1:7">
      <c r="B22" s="7"/>
      <c r="C22" s="7"/>
      <c r="D22" s="7"/>
      <c r="E22" s="7"/>
      <c r="F22" s="7"/>
    </row>
    <row r="23" spans="1:7">
      <c r="B23" s="7"/>
      <c r="C23" s="7"/>
      <c r="D23" s="7"/>
      <c r="E23" s="7"/>
      <c r="F23" s="7"/>
    </row>
    <row r="24" spans="1:7">
      <c r="B24" s="7"/>
      <c r="C24" s="7"/>
      <c r="D24" s="7"/>
      <c r="E24" s="7"/>
      <c r="F24" s="7"/>
    </row>
    <row r="25" spans="1:7">
      <c r="B25" s="7"/>
      <c r="C25" s="7"/>
      <c r="D25" s="7"/>
      <c r="E25" s="7"/>
      <c r="F25" s="7"/>
    </row>
    <row r="26" spans="1:7">
      <c r="B26" s="7"/>
      <c r="C26" s="7"/>
      <c r="D26" s="7"/>
      <c r="E26" s="7"/>
      <c r="F26" s="7"/>
    </row>
    <row r="27" spans="1:7">
      <c r="B27" s="7"/>
      <c r="C27" s="7"/>
      <c r="D27" s="7"/>
      <c r="E27" s="7"/>
      <c r="F27" s="7"/>
    </row>
    <row r="28" spans="1:7">
      <c r="B28" s="7"/>
      <c r="C28" s="7"/>
      <c r="D28" s="7"/>
      <c r="E28" s="7"/>
      <c r="F28" s="7"/>
    </row>
    <row r="29" spans="1:7">
      <c r="B29" s="7"/>
      <c r="C29" s="7"/>
      <c r="D29" s="7"/>
      <c r="E29" s="7"/>
      <c r="F29" s="7"/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55EC4-FCFD-4C1D-BE98-5BA6C15AC6DF}">
  <dimension ref="A1:F13"/>
  <sheetViews>
    <sheetView workbookViewId="0">
      <selection activeCell="E12" sqref="E12"/>
    </sheetView>
  </sheetViews>
  <sheetFormatPr defaultRowHeight="14.5"/>
  <cols>
    <col min="1" max="1" width="16.81640625" bestFit="1" customWidth="1"/>
    <col min="2" max="2" width="10.1796875" bestFit="1" customWidth="1"/>
    <col min="4" max="4" width="12.26953125" customWidth="1"/>
  </cols>
  <sheetData>
    <row r="1" spans="1:6" ht="17.5" thickBot="1">
      <c r="A1" s="220" t="s">
        <v>258</v>
      </c>
      <c r="B1" s="220"/>
      <c r="C1" s="220"/>
      <c r="D1" s="220"/>
      <c r="E1" s="220"/>
      <c r="F1" s="220"/>
    </row>
    <row r="2" spans="1:6" ht="15" thickTop="1">
      <c r="B2" t="s">
        <v>259</v>
      </c>
      <c r="C2" t="s">
        <v>260</v>
      </c>
    </row>
    <row r="3" spans="1:6">
      <c r="B3" s="41">
        <v>260</v>
      </c>
      <c r="C3" s="41">
        <v>35</v>
      </c>
    </row>
    <row r="4" spans="1:6">
      <c r="A4" t="s">
        <v>263</v>
      </c>
      <c r="B4" s="7">
        <v>4</v>
      </c>
      <c r="C4" s="7">
        <v>6</v>
      </c>
    </row>
    <row r="5" spans="1:6">
      <c r="A5" t="s">
        <v>264</v>
      </c>
      <c r="B5" s="7">
        <v>9</v>
      </c>
      <c r="C5" s="7">
        <v>36</v>
      </c>
    </row>
    <row r="6" spans="1:6">
      <c r="B6" s="7"/>
      <c r="C6" s="7"/>
    </row>
    <row r="7" spans="1:6">
      <c r="A7" t="s">
        <v>265</v>
      </c>
      <c r="B7" s="48">
        <v>12</v>
      </c>
      <c r="C7" s="48">
        <v>20</v>
      </c>
      <c r="D7" s="164">
        <f>SUMPRODUCT($B$3:$C$3,B7:C7)</f>
        <v>3820</v>
      </c>
    </row>
    <row r="12" spans="1:6">
      <c r="A12" t="s">
        <v>261</v>
      </c>
      <c r="B12" s="7">
        <v>4</v>
      </c>
      <c r="C12" s="7">
        <v>6</v>
      </c>
      <c r="D12" s="163">
        <f>SUMPRODUCT($B$3:$C$3,B12:C12)</f>
        <v>1250</v>
      </c>
      <c r="E12" t="s">
        <v>228</v>
      </c>
      <c r="F12">
        <v>1250</v>
      </c>
    </row>
    <row r="13" spans="1:6">
      <c r="A13" t="s">
        <v>262</v>
      </c>
      <c r="B13" s="7">
        <v>9</v>
      </c>
      <c r="C13" s="7">
        <v>36</v>
      </c>
      <c r="D13" s="163">
        <f>SUMPRODUCT($B$3:$C$3,B13:C13)</f>
        <v>3600</v>
      </c>
      <c r="E13" t="s">
        <v>228</v>
      </c>
      <c r="F13">
        <v>3600</v>
      </c>
    </row>
  </sheetData>
  <mergeCells count="1">
    <mergeCell ref="A1:F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517A7C-BF4E-49E2-828F-AC95E58E65A3}">
  <dimension ref="A1:L24"/>
  <sheetViews>
    <sheetView zoomScaleNormal="100" workbookViewId="0">
      <selection activeCell="G7" sqref="G7"/>
    </sheetView>
  </sheetViews>
  <sheetFormatPr defaultRowHeight="14.5"/>
  <cols>
    <col min="1" max="1" width="22.81640625" bestFit="1" customWidth="1"/>
    <col min="2" max="2" width="12.26953125" bestFit="1" customWidth="1"/>
    <col min="4" max="4" width="10.26953125" customWidth="1"/>
    <col min="5" max="5" width="14" customWidth="1"/>
    <col min="6" max="6" width="12.26953125" bestFit="1" customWidth="1"/>
    <col min="11" max="11" width="26.453125" style="165" bestFit="1" customWidth="1"/>
    <col min="12" max="12" width="18.1796875" style="165" bestFit="1" customWidth="1"/>
  </cols>
  <sheetData>
    <row r="1" spans="1:9">
      <c r="B1" s="7" t="s">
        <v>275</v>
      </c>
      <c r="C1" s="7" t="s">
        <v>276</v>
      </c>
      <c r="D1" s="7" t="s">
        <v>277</v>
      </c>
      <c r="E1" s="7" t="s">
        <v>278</v>
      </c>
      <c r="F1" s="7" t="s">
        <v>279</v>
      </c>
    </row>
    <row r="2" spans="1:9">
      <c r="A2" t="s">
        <v>218</v>
      </c>
      <c r="B2" s="170">
        <v>50000</v>
      </c>
      <c r="C2" s="170">
        <v>0</v>
      </c>
      <c r="D2" s="170">
        <v>0</v>
      </c>
      <c r="E2" s="170">
        <v>175000</v>
      </c>
      <c r="F2" s="170">
        <v>25000</v>
      </c>
    </row>
    <row r="3" spans="1:9">
      <c r="B3" s="169">
        <v>5.2999999999999999E-2</v>
      </c>
      <c r="C3" s="169">
        <v>6.8000000000000005E-2</v>
      </c>
      <c r="D3" s="169">
        <v>4.9000000000000002E-2</v>
      </c>
      <c r="E3" s="169">
        <v>8.4000000000000005E-2</v>
      </c>
      <c r="F3" s="169">
        <v>0.11799999999999999</v>
      </c>
    </row>
    <row r="5" spans="1:9">
      <c r="A5" t="s">
        <v>223</v>
      </c>
    </row>
    <row r="6" spans="1:9">
      <c r="A6" t="s">
        <v>274</v>
      </c>
      <c r="B6" s="164">
        <f>SUMPRODUCT(B2:F2,B3:F3)</f>
        <v>20300</v>
      </c>
      <c r="C6" t="str">
        <f ca="1">_xlfn.FORMULATEXT(B6)</f>
        <v>=SUMPRODUCT(B2:F2;B3:F3)</v>
      </c>
    </row>
    <row r="11" spans="1:9">
      <c r="A11" s="38" t="s">
        <v>273</v>
      </c>
      <c r="B11" s="12"/>
      <c r="C11" s="12"/>
      <c r="D11" s="12"/>
      <c r="E11" s="12"/>
      <c r="F11" s="12"/>
      <c r="G11" s="12" t="s">
        <v>226</v>
      </c>
      <c r="H11" s="12" t="s">
        <v>280</v>
      </c>
      <c r="I11" s="12" t="s">
        <v>227</v>
      </c>
    </row>
    <row r="12" spans="1:9">
      <c r="A12" s="38" t="s">
        <v>224</v>
      </c>
      <c r="B12" s="12">
        <v>1</v>
      </c>
      <c r="C12" s="12">
        <v>1</v>
      </c>
      <c r="D12" s="12">
        <v>1</v>
      </c>
      <c r="E12" s="12">
        <v>1</v>
      </c>
      <c r="F12" s="12">
        <v>1</v>
      </c>
      <c r="G12" s="12">
        <f>SUMPRODUCT(B12:F12,$B$2:$F$2)</f>
        <v>250000</v>
      </c>
      <c r="H12" s="12" t="s">
        <v>228</v>
      </c>
      <c r="I12" s="12">
        <v>250000</v>
      </c>
    </row>
    <row r="13" spans="1:9">
      <c r="A13" s="38" t="s">
        <v>282</v>
      </c>
      <c r="B13" s="12">
        <v>1</v>
      </c>
      <c r="C13" s="12"/>
      <c r="D13" s="12"/>
      <c r="E13" s="12"/>
      <c r="F13" s="12"/>
      <c r="G13" s="12">
        <f>SUMPRODUCT(B13:F13,$B$2:$F$2)</f>
        <v>50000</v>
      </c>
      <c r="H13" s="12" t="s">
        <v>233</v>
      </c>
      <c r="I13" s="12">
        <f>20%*I12</f>
        <v>50000</v>
      </c>
    </row>
    <row r="14" spans="1:9">
      <c r="A14" s="38" t="s">
        <v>283</v>
      </c>
      <c r="B14" s="12"/>
      <c r="C14" s="12">
        <v>1</v>
      </c>
      <c r="D14" s="12">
        <v>1</v>
      </c>
      <c r="E14" s="12">
        <v>1</v>
      </c>
      <c r="F14" s="12"/>
      <c r="G14" s="12">
        <f>SUMPRODUCT(B14:F14,$B$2:$F$2)</f>
        <v>175000</v>
      </c>
      <c r="H14" s="12" t="s">
        <v>233</v>
      </c>
      <c r="I14" s="12">
        <f>40%*I12</f>
        <v>100000</v>
      </c>
    </row>
    <row r="15" spans="1:9">
      <c r="A15" s="38" t="s">
        <v>281</v>
      </c>
      <c r="B15" s="29">
        <v>-0.5</v>
      </c>
      <c r="C15" s="12"/>
      <c r="D15" s="12"/>
      <c r="E15" s="12"/>
      <c r="F15" s="12">
        <v>1</v>
      </c>
      <c r="G15" s="12">
        <f>SUMPRODUCT(B15:F15,$B$2:$F$2)</f>
        <v>0</v>
      </c>
      <c r="H15" s="12" t="s">
        <v>228</v>
      </c>
      <c r="I15" s="12">
        <v>0</v>
      </c>
    </row>
    <row r="18" spans="10:12" ht="15" thickBot="1"/>
    <row r="19" spans="10:12" ht="17" thickBot="1">
      <c r="K19" s="166" t="s">
        <v>266</v>
      </c>
      <c r="L19" s="166" t="s">
        <v>267</v>
      </c>
    </row>
    <row r="20" spans="10:12" ht="17" thickBot="1">
      <c r="J20" s="7" t="s">
        <v>275</v>
      </c>
      <c r="K20" s="167" t="s">
        <v>268</v>
      </c>
      <c r="L20" s="168">
        <v>5.3</v>
      </c>
    </row>
    <row r="21" spans="10:12" ht="17" thickBot="1">
      <c r="J21" s="7" t="s">
        <v>276</v>
      </c>
      <c r="K21" s="167" t="s">
        <v>269</v>
      </c>
      <c r="L21" s="168">
        <v>6.8</v>
      </c>
    </row>
    <row r="22" spans="10:12" ht="17" thickBot="1">
      <c r="J22" s="7" t="s">
        <v>277</v>
      </c>
      <c r="K22" s="167" t="s">
        <v>270</v>
      </c>
      <c r="L22" s="168">
        <v>4.9000000000000004</v>
      </c>
    </row>
    <row r="23" spans="10:12" ht="17" thickBot="1">
      <c r="J23" s="7" t="s">
        <v>278</v>
      </c>
      <c r="K23" s="167" t="s">
        <v>271</v>
      </c>
      <c r="L23" s="168">
        <v>8.4</v>
      </c>
    </row>
    <row r="24" spans="10:12" ht="17" thickBot="1">
      <c r="J24" s="7" t="s">
        <v>279</v>
      </c>
      <c r="K24" s="167" t="s">
        <v>272</v>
      </c>
      <c r="L24" s="168">
        <v>11.8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A50152-53A0-4C2C-9AFF-F7A4D1C71B51}">
  <dimension ref="A2:S20"/>
  <sheetViews>
    <sheetView zoomScaleNormal="100" workbookViewId="0">
      <selection activeCell="D27" sqref="D27"/>
    </sheetView>
  </sheetViews>
  <sheetFormatPr defaultRowHeight="14.5"/>
  <cols>
    <col min="1" max="1" width="18.54296875" bestFit="1" customWidth="1"/>
    <col min="2" max="2" width="10.81640625" customWidth="1"/>
    <col min="3" max="4" width="10.26953125" customWidth="1"/>
  </cols>
  <sheetData>
    <row r="2" spans="1:19">
      <c r="B2" s="239" t="s">
        <v>288</v>
      </c>
    </row>
    <row r="3" spans="1:19" ht="15" customHeight="1">
      <c r="B3" s="240"/>
    </row>
    <row r="4" spans="1:19">
      <c r="B4" s="240"/>
    </row>
    <row r="5" spans="1:19">
      <c r="B5" s="241"/>
    </row>
    <row r="6" spans="1:19">
      <c r="A6" t="s">
        <v>284</v>
      </c>
      <c r="B6" s="7" t="s">
        <v>285</v>
      </c>
      <c r="C6" s="7" t="s">
        <v>286</v>
      </c>
      <c r="D6" s="7" t="s">
        <v>287</v>
      </c>
      <c r="E6" s="7" t="s">
        <v>289</v>
      </c>
      <c r="F6" s="7" t="s">
        <v>290</v>
      </c>
      <c r="G6" s="7" t="s">
        <v>291</v>
      </c>
      <c r="H6" s="7" t="s">
        <v>292</v>
      </c>
      <c r="I6" s="7" t="s">
        <v>293</v>
      </c>
      <c r="J6" s="7" t="s">
        <v>294</v>
      </c>
      <c r="K6" s="7" t="s">
        <v>295</v>
      </c>
      <c r="L6" s="7" t="s">
        <v>296</v>
      </c>
      <c r="M6" s="7" t="s">
        <v>297</v>
      </c>
      <c r="N6" s="7" t="s">
        <v>298</v>
      </c>
      <c r="O6" s="7" t="s">
        <v>299</v>
      </c>
      <c r="P6" s="7" t="s">
        <v>300</v>
      </c>
    </row>
    <row r="7" spans="1:19">
      <c r="B7" s="36">
        <v>400</v>
      </c>
      <c r="C7" s="36">
        <v>0</v>
      </c>
      <c r="D7" s="36">
        <v>300</v>
      </c>
      <c r="E7" s="36">
        <v>500</v>
      </c>
      <c r="F7" s="36">
        <v>0</v>
      </c>
      <c r="G7" s="36">
        <v>0</v>
      </c>
      <c r="H7" s="36">
        <v>0</v>
      </c>
      <c r="I7" s="36">
        <v>100</v>
      </c>
      <c r="J7" s="36">
        <v>0</v>
      </c>
      <c r="K7" s="36">
        <v>0</v>
      </c>
      <c r="L7" s="36">
        <v>800</v>
      </c>
      <c r="M7" s="36">
        <v>0</v>
      </c>
      <c r="N7" s="36">
        <v>0</v>
      </c>
      <c r="O7" s="36">
        <v>0</v>
      </c>
      <c r="P7" s="36">
        <v>400</v>
      </c>
    </row>
    <row r="8" spans="1:19">
      <c r="B8" s="7">
        <v>5</v>
      </c>
      <c r="C8" s="7">
        <v>8</v>
      </c>
      <c r="D8" s="7">
        <v>6</v>
      </c>
      <c r="E8" s="7">
        <v>0</v>
      </c>
      <c r="F8" s="7">
        <v>4</v>
      </c>
      <c r="G8" s="7">
        <v>12</v>
      </c>
      <c r="H8" s="7">
        <v>4</v>
      </c>
      <c r="I8" s="7">
        <v>0</v>
      </c>
      <c r="J8" s="7">
        <v>7</v>
      </c>
      <c r="K8" s="7">
        <v>7</v>
      </c>
      <c r="L8" s="7">
        <v>2</v>
      </c>
      <c r="M8" s="7">
        <v>5</v>
      </c>
      <c r="N8" s="7">
        <v>12</v>
      </c>
      <c r="O8" s="7">
        <v>7</v>
      </c>
      <c r="P8" s="7">
        <v>0</v>
      </c>
    </row>
    <row r="9" spans="1:19">
      <c r="A9" t="s">
        <v>301</v>
      </c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</row>
    <row r="10" spans="1:19">
      <c r="A10" t="s">
        <v>302</v>
      </c>
      <c r="B10" s="171">
        <f>SUMPRODUCT(B7:P7,B8:P8)</f>
        <v>5400</v>
      </c>
      <c r="C10" s="172" t="str">
        <f ca="1">_xlfn.FORMULATEXT(B10)</f>
        <v>=SUMPRODUCT(B7:P7;B8:P8)</v>
      </c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</row>
    <row r="11" spans="1:19"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</row>
    <row r="12" spans="1:19">
      <c r="A12" s="38" t="s">
        <v>244</v>
      </c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 t="s">
        <v>226</v>
      </c>
      <c r="R12" s="12" t="s">
        <v>225</v>
      </c>
      <c r="S12" s="12" t="s">
        <v>227</v>
      </c>
    </row>
    <row r="13" spans="1:19">
      <c r="A13" s="38" t="s">
        <v>303</v>
      </c>
      <c r="B13" s="12">
        <v>1</v>
      </c>
      <c r="C13" s="12"/>
      <c r="D13" s="12"/>
      <c r="E13" s="12">
        <v>1</v>
      </c>
      <c r="F13" s="12"/>
      <c r="G13" s="12"/>
      <c r="H13" s="12">
        <v>1</v>
      </c>
      <c r="I13" s="12"/>
      <c r="J13" s="12"/>
      <c r="K13" s="12">
        <v>1</v>
      </c>
      <c r="L13" s="12"/>
      <c r="M13" s="12"/>
      <c r="N13" s="12">
        <v>1</v>
      </c>
      <c r="O13" s="12"/>
      <c r="P13" s="12"/>
      <c r="Q13" s="12">
        <f>SUMPRODUCT($B$7:$P$7,B13:P13)</f>
        <v>900</v>
      </c>
      <c r="R13" s="12" t="s">
        <v>228</v>
      </c>
      <c r="S13" s="12">
        <v>900</v>
      </c>
    </row>
    <row r="14" spans="1:19">
      <c r="A14" s="38" t="s">
        <v>304</v>
      </c>
      <c r="B14" s="12"/>
      <c r="C14" s="12">
        <v>1</v>
      </c>
      <c r="D14" s="12"/>
      <c r="E14" s="12"/>
      <c r="F14" s="12">
        <v>1</v>
      </c>
      <c r="G14" s="12"/>
      <c r="H14" s="12"/>
      <c r="I14" s="12">
        <v>1</v>
      </c>
      <c r="J14" s="12"/>
      <c r="K14" s="12"/>
      <c r="L14" s="12">
        <v>1</v>
      </c>
      <c r="M14" s="12"/>
      <c r="N14" s="12"/>
      <c r="O14" s="12">
        <v>1</v>
      </c>
      <c r="P14" s="12"/>
      <c r="Q14" s="12">
        <f>SUMPRODUCT($B$7:$P$7,B14:P14)</f>
        <v>900</v>
      </c>
      <c r="R14" s="12" t="s">
        <v>228</v>
      </c>
      <c r="S14" s="12">
        <v>900</v>
      </c>
    </row>
    <row r="15" spans="1:19">
      <c r="A15" s="38" t="s">
        <v>305</v>
      </c>
      <c r="B15" s="12"/>
      <c r="C15" s="12"/>
      <c r="D15" s="12">
        <v>1</v>
      </c>
      <c r="E15" s="12"/>
      <c r="F15" s="12"/>
      <c r="G15" s="12">
        <v>1</v>
      </c>
      <c r="H15" s="12"/>
      <c r="I15" s="12"/>
      <c r="J15" s="12">
        <v>1</v>
      </c>
      <c r="K15" s="12"/>
      <c r="L15" s="12"/>
      <c r="M15" s="12">
        <v>1</v>
      </c>
      <c r="N15" s="12"/>
      <c r="O15" s="12"/>
      <c r="P15" s="12">
        <v>1</v>
      </c>
      <c r="Q15" s="12">
        <f>SUMPRODUCT($B$7:$P$7,B15:P15)</f>
        <v>700</v>
      </c>
      <c r="R15" s="12" t="s">
        <v>228</v>
      </c>
      <c r="S15" s="12">
        <v>900</v>
      </c>
    </row>
    <row r="16" spans="1:19">
      <c r="A16" s="38" t="s">
        <v>306</v>
      </c>
      <c r="B16" s="12">
        <v>1</v>
      </c>
      <c r="C16" s="12">
        <v>1</v>
      </c>
      <c r="D16" s="12">
        <v>1</v>
      </c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>
        <f>SUMPRODUCT($B$7:$P$7,B16:P16)</f>
        <v>700</v>
      </c>
      <c r="R16" s="12" t="s">
        <v>311</v>
      </c>
      <c r="S16" s="12">
        <v>700</v>
      </c>
    </row>
    <row r="17" spans="1:19">
      <c r="A17" s="38" t="s">
        <v>307</v>
      </c>
      <c r="B17" s="12"/>
      <c r="C17" s="12"/>
      <c r="D17" s="12"/>
      <c r="E17" s="12">
        <v>1</v>
      </c>
      <c r="F17" s="12">
        <v>1</v>
      </c>
      <c r="G17" s="12">
        <v>1</v>
      </c>
      <c r="H17" s="12"/>
      <c r="I17" s="12"/>
      <c r="J17" s="12"/>
      <c r="K17" s="12"/>
      <c r="L17" s="12"/>
      <c r="M17" s="12"/>
      <c r="N17" s="12"/>
      <c r="O17" s="12"/>
      <c r="P17" s="12"/>
      <c r="Q17" s="12">
        <f t="shared" ref="Q17:Q20" si="0">SUMPRODUCT($B$7:$P$7,B17:P17)</f>
        <v>500</v>
      </c>
      <c r="R17" s="12" t="s">
        <v>311</v>
      </c>
      <c r="S17" s="12">
        <v>500</v>
      </c>
    </row>
    <row r="18" spans="1:19">
      <c r="A18" s="38" t="s">
        <v>308</v>
      </c>
      <c r="B18" s="38"/>
      <c r="C18" s="38"/>
      <c r="D18" s="38"/>
      <c r="E18" s="38"/>
      <c r="F18" s="38"/>
      <c r="G18" s="38"/>
      <c r="H18" s="12">
        <v>1</v>
      </c>
      <c r="I18" s="12">
        <v>1</v>
      </c>
      <c r="J18" s="12">
        <v>1</v>
      </c>
      <c r="K18" s="38"/>
      <c r="L18" s="38"/>
      <c r="M18" s="38"/>
      <c r="N18" s="38"/>
      <c r="O18" s="38"/>
      <c r="P18" s="38"/>
      <c r="Q18" s="12">
        <f t="shared" si="0"/>
        <v>100</v>
      </c>
      <c r="R18" s="12" t="s">
        <v>311</v>
      </c>
      <c r="S18" s="12">
        <v>100</v>
      </c>
    </row>
    <row r="19" spans="1:19">
      <c r="A19" s="38" t="s">
        <v>309</v>
      </c>
      <c r="B19" s="38"/>
      <c r="C19" s="38"/>
      <c r="D19" s="38"/>
      <c r="E19" s="38"/>
      <c r="F19" s="38"/>
      <c r="G19" s="38"/>
      <c r="H19" s="38"/>
      <c r="I19" s="38"/>
      <c r="J19" s="38"/>
      <c r="K19" s="12">
        <v>1</v>
      </c>
      <c r="L19" s="12">
        <v>1</v>
      </c>
      <c r="M19" s="12">
        <v>1</v>
      </c>
      <c r="N19" s="38"/>
      <c r="O19" s="38"/>
      <c r="P19" s="38"/>
      <c r="Q19" s="12">
        <f t="shared" si="0"/>
        <v>800</v>
      </c>
      <c r="R19" s="12" t="s">
        <v>311</v>
      </c>
      <c r="S19" s="12">
        <v>800</v>
      </c>
    </row>
    <row r="20" spans="1:19">
      <c r="A20" s="38" t="s">
        <v>310</v>
      </c>
      <c r="B20" s="38"/>
      <c r="C20" s="38"/>
      <c r="D20" s="38"/>
      <c r="E20" s="38"/>
      <c r="F20" s="38"/>
      <c r="G20" s="38"/>
      <c r="H20" s="38"/>
      <c r="I20" s="38"/>
      <c r="J20" s="38"/>
      <c r="K20" s="38"/>
      <c r="L20" s="38"/>
      <c r="M20" s="38"/>
      <c r="N20" s="12">
        <v>1</v>
      </c>
      <c r="O20" s="12">
        <v>1</v>
      </c>
      <c r="P20" s="12">
        <v>1</v>
      </c>
      <c r="Q20" s="12">
        <f t="shared" si="0"/>
        <v>400</v>
      </c>
      <c r="R20" s="12" t="s">
        <v>311</v>
      </c>
      <c r="S20" s="12">
        <v>400</v>
      </c>
    </row>
  </sheetData>
  <mergeCells count="1">
    <mergeCell ref="B2:B5"/>
  </mergeCell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A4AC63-3209-4491-9C9C-EF439B7B1C13}">
  <dimension ref="A1:H19"/>
  <sheetViews>
    <sheetView workbookViewId="0">
      <selection activeCell="C16" sqref="C16"/>
    </sheetView>
  </sheetViews>
  <sheetFormatPr defaultRowHeight="14.5"/>
  <cols>
    <col min="1" max="1" width="16.81640625" customWidth="1"/>
    <col min="2" max="2" width="13.1796875" bestFit="1" customWidth="1"/>
    <col min="3" max="3" width="9.1796875" customWidth="1"/>
    <col min="4" max="4" width="9.81640625" customWidth="1"/>
    <col min="5" max="5" width="9.81640625" bestFit="1" customWidth="1"/>
  </cols>
  <sheetData>
    <row r="1" spans="1:8">
      <c r="A1" t="s">
        <v>312</v>
      </c>
      <c r="H1" t="s">
        <v>313</v>
      </c>
    </row>
    <row r="2" spans="1:8">
      <c r="C2" s="242" t="s">
        <v>323</v>
      </c>
      <c r="D2" s="242"/>
      <c r="E2" s="242"/>
      <c r="H2" t="s">
        <v>314</v>
      </c>
    </row>
    <row r="3" spans="1:8">
      <c r="A3" t="s">
        <v>316</v>
      </c>
      <c r="B3" s="38"/>
      <c r="C3" s="13" t="s">
        <v>320</v>
      </c>
      <c r="D3" s="13" t="s">
        <v>321</v>
      </c>
      <c r="E3" s="13" t="s">
        <v>322</v>
      </c>
      <c r="F3" s="13" t="s">
        <v>325</v>
      </c>
    </row>
    <row r="4" spans="1:8" ht="16.5" customHeight="1">
      <c r="A4" s="243" t="s">
        <v>324</v>
      </c>
      <c r="B4" s="173" t="s">
        <v>317</v>
      </c>
      <c r="C4" s="12">
        <v>5</v>
      </c>
      <c r="D4" s="12">
        <v>4</v>
      </c>
      <c r="E4" s="12">
        <v>3</v>
      </c>
      <c r="F4" s="12">
        <v>100</v>
      </c>
      <c r="H4" t="s">
        <v>315</v>
      </c>
    </row>
    <row r="5" spans="1:8" ht="16.5" customHeight="1">
      <c r="A5" s="243"/>
      <c r="B5" s="173" t="s">
        <v>318</v>
      </c>
      <c r="C5" s="12">
        <v>8</v>
      </c>
      <c r="D5" s="12">
        <v>4</v>
      </c>
      <c r="E5" s="12">
        <v>3</v>
      </c>
      <c r="F5" s="12">
        <v>300</v>
      </c>
    </row>
    <row r="6" spans="1:8" ht="16.5" customHeight="1">
      <c r="A6" s="243"/>
      <c r="B6" s="173" t="s">
        <v>319</v>
      </c>
      <c r="C6" s="12">
        <v>9</v>
      </c>
      <c r="D6" s="12">
        <v>7</v>
      </c>
      <c r="E6" s="12">
        <v>5</v>
      </c>
      <c r="F6" s="12">
        <v>300</v>
      </c>
    </row>
    <row r="7" spans="1:8">
      <c r="B7" s="173" t="s">
        <v>35</v>
      </c>
      <c r="C7" s="12">
        <v>300</v>
      </c>
      <c r="D7" s="12">
        <v>200</v>
      </c>
      <c r="E7" s="12">
        <v>200</v>
      </c>
    </row>
    <row r="10" spans="1:8">
      <c r="C10" s="242" t="s">
        <v>323</v>
      </c>
      <c r="D10" s="242"/>
      <c r="E10" s="242"/>
    </row>
    <row r="11" spans="1:8">
      <c r="A11" t="s">
        <v>316</v>
      </c>
      <c r="B11" s="38"/>
      <c r="C11" s="13" t="s">
        <v>320</v>
      </c>
      <c r="D11" s="13" t="s">
        <v>321</v>
      </c>
      <c r="E11" s="13" t="s">
        <v>322</v>
      </c>
      <c r="F11" s="13" t="s">
        <v>325</v>
      </c>
    </row>
    <row r="12" spans="1:8">
      <c r="A12" s="243" t="s">
        <v>324</v>
      </c>
      <c r="B12" s="173" t="s">
        <v>317</v>
      </c>
      <c r="C12" s="174">
        <v>100</v>
      </c>
      <c r="D12" s="174">
        <v>0</v>
      </c>
      <c r="E12" s="174">
        <v>0</v>
      </c>
      <c r="F12" s="12">
        <f>SUM(C12:E12)</f>
        <v>100</v>
      </c>
      <c r="G12" t="str">
        <f ca="1">_xlfn.FORMULATEXT(F12)</f>
        <v>=SUM(C12:E12)</v>
      </c>
    </row>
    <row r="13" spans="1:8">
      <c r="A13" s="243"/>
      <c r="B13" s="173" t="s">
        <v>318</v>
      </c>
      <c r="C13" s="174">
        <v>0</v>
      </c>
      <c r="D13" s="174">
        <v>200</v>
      </c>
      <c r="E13" s="174">
        <v>100</v>
      </c>
      <c r="F13" s="12">
        <f>SUM(C13:E13)</f>
        <v>300</v>
      </c>
    </row>
    <row r="14" spans="1:8">
      <c r="A14" s="243"/>
      <c r="B14" s="173" t="s">
        <v>319</v>
      </c>
      <c r="C14" s="174">
        <v>200</v>
      </c>
      <c r="D14" s="174">
        <v>0</v>
      </c>
      <c r="E14" s="174">
        <v>100</v>
      </c>
      <c r="F14" s="12">
        <f>SUM(C14:E14)</f>
        <v>300</v>
      </c>
    </row>
    <row r="15" spans="1:8">
      <c r="B15" s="173" t="s">
        <v>35</v>
      </c>
      <c r="C15" s="12">
        <f>SUM(C12:C14)</f>
        <v>300</v>
      </c>
      <c r="D15" s="12">
        <f>SUM(D12:D14)</f>
        <v>200</v>
      </c>
      <c r="E15" s="12">
        <f t="shared" ref="E15" si="0">SUM(E12:E14)</f>
        <v>200</v>
      </c>
    </row>
    <row r="16" spans="1:8">
      <c r="C16" t="str">
        <f ca="1">_xlfn.FORMULATEXT(C15)</f>
        <v>=SUM(C12:C14)</v>
      </c>
    </row>
    <row r="18" spans="1:3">
      <c r="A18" t="s">
        <v>301</v>
      </c>
    </row>
    <row r="19" spans="1:3">
      <c r="A19" t="s">
        <v>27</v>
      </c>
      <c r="B19" s="176">
        <f>SUMPRODUCT(C4:E6,C12:E14)</f>
        <v>3900</v>
      </c>
      <c r="C19" t="str">
        <f ca="1">_xlfn.FORMULATEXT(B19)</f>
        <v>=SUMPRODUCT(C4:E6;C12:E14)</v>
      </c>
    </row>
  </sheetData>
  <mergeCells count="4">
    <mergeCell ref="C2:E2"/>
    <mergeCell ref="A4:A6"/>
    <mergeCell ref="C10:E10"/>
    <mergeCell ref="A12:A1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9DA917-8C7E-4A35-A17E-29D44F250694}">
  <dimension ref="A1:F26"/>
  <sheetViews>
    <sheetView workbookViewId="0">
      <selection activeCell="C27" sqref="C27"/>
    </sheetView>
  </sheetViews>
  <sheetFormatPr defaultRowHeight="14.5"/>
  <cols>
    <col min="1" max="1" width="19.7265625" customWidth="1"/>
    <col min="2" max="2" width="18.81640625" bestFit="1" customWidth="1"/>
    <col min="3" max="3" width="10" customWidth="1"/>
    <col min="4" max="4" width="10.81640625" customWidth="1"/>
    <col min="5" max="5" width="9.81640625" bestFit="1" customWidth="1"/>
  </cols>
  <sheetData>
    <row r="1" spans="1:6">
      <c r="A1" t="s">
        <v>326</v>
      </c>
      <c r="F1" t="s">
        <v>313</v>
      </c>
    </row>
    <row r="3" spans="1:6">
      <c r="A3" s="173" t="s">
        <v>327</v>
      </c>
      <c r="B3" s="13" t="s">
        <v>328</v>
      </c>
      <c r="C3" s="13" t="s">
        <v>329</v>
      </c>
      <c r="D3" s="13" t="s">
        <v>330</v>
      </c>
    </row>
    <row r="4" spans="1:6">
      <c r="A4" s="38" t="s">
        <v>317</v>
      </c>
      <c r="B4" s="12" t="s">
        <v>320</v>
      </c>
      <c r="C4" s="12">
        <v>5</v>
      </c>
      <c r="D4" s="174">
        <v>100</v>
      </c>
    </row>
    <row r="5" spans="1:6">
      <c r="A5" s="38" t="s">
        <v>317</v>
      </c>
      <c r="B5" s="12" t="s">
        <v>321</v>
      </c>
      <c r="C5" s="12">
        <v>4</v>
      </c>
      <c r="D5" s="174">
        <v>0</v>
      </c>
    </row>
    <row r="6" spans="1:6">
      <c r="A6" s="38" t="s">
        <v>317</v>
      </c>
      <c r="B6" s="12" t="s">
        <v>322</v>
      </c>
      <c r="C6" s="12">
        <v>3</v>
      </c>
      <c r="D6" s="174">
        <v>0</v>
      </c>
    </row>
    <row r="7" spans="1:6">
      <c r="A7" s="38" t="s">
        <v>318</v>
      </c>
      <c r="B7" s="12" t="s">
        <v>320</v>
      </c>
      <c r="C7" s="12">
        <v>8</v>
      </c>
      <c r="D7" s="174">
        <v>0</v>
      </c>
    </row>
    <row r="8" spans="1:6">
      <c r="A8" s="38" t="s">
        <v>318</v>
      </c>
      <c r="B8" s="12" t="s">
        <v>321</v>
      </c>
      <c r="C8" s="12">
        <v>4</v>
      </c>
      <c r="D8" s="174">
        <v>200</v>
      </c>
    </row>
    <row r="9" spans="1:6">
      <c r="A9" s="38" t="s">
        <v>318</v>
      </c>
      <c r="B9" s="12" t="s">
        <v>322</v>
      </c>
      <c r="C9" s="12">
        <v>3</v>
      </c>
      <c r="D9" s="174">
        <v>100</v>
      </c>
    </row>
    <row r="10" spans="1:6">
      <c r="A10" s="38" t="s">
        <v>319</v>
      </c>
      <c r="B10" s="12" t="s">
        <v>320</v>
      </c>
      <c r="C10" s="12">
        <v>9</v>
      </c>
      <c r="D10" s="174">
        <v>200</v>
      </c>
    </row>
    <row r="11" spans="1:6">
      <c r="A11" s="38" t="s">
        <v>319</v>
      </c>
      <c r="B11" s="12" t="s">
        <v>321</v>
      </c>
      <c r="C11" s="12">
        <v>7</v>
      </c>
      <c r="D11" s="174">
        <v>0</v>
      </c>
    </row>
    <row r="12" spans="1:6">
      <c r="A12" s="38" t="s">
        <v>319</v>
      </c>
      <c r="B12" s="12" t="s">
        <v>322</v>
      </c>
      <c r="C12" s="12">
        <v>5</v>
      </c>
      <c r="D12" s="174">
        <v>100</v>
      </c>
    </row>
    <row r="14" spans="1:6">
      <c r="A14" t="s">
        <v>332</v>
      </c>
    </row>
    <row r="15" spans="1:6">
      <c r="A15" s="38" t="s">
        <v>331</v>
      </c>
      <c r="B15" s="12" t="s">
        <v>333</v>
      </c>
      <c r="C15" s="12" t="s">
        <v>225</v>
      </c>
      <c r="D15" s="12" t="s">
        <v>334</v>
      </c>
    </row>
    <row r="16" spans="1:6">
      <c r="A16" s="38" t="s">
        <v>317</v>
      </c>
      <c r="B16" s="12">
        <f>SUMIF($A$4:$A$12,A16,$D$4:$D$12)</f>
        <v>100</v>
      </c>
      <c r="C16" s="12" t="s">
        <v>228</v>
      </c>
      <c r="D16" s="12">
        <v>100</v>
      </c>
      <c r="F16" t="str">
        <f ca="1">_xlfn.FORMULATEXT(B16)</f>
        <v>=SUMIF($A$4:$A$12;A16;$D$4:$D$12)</v>
      </c>
    </row>
    <row r="17" spans="1:6">
      <c r="A17" s="38" t="s">
        <v>318</v>
      </c>
      <c r="B17" s="12">
        <f t="shared" ref="B17:B18" si="0">SUMIF($A$4:$A$12,A17,$D$4:$D$12)</f>
        <v>300</v>
      </c>
      <c r="C17" s="12" t="s">
        <v>228</v>
      </c>
      <c r="D17" s="12">
        <v>300</v>
      </c>
      <c r="F17" t="str">
        <f ca="1">_xlfn.FORMULATEXT(B17)</f>
        <v>=SUMIF($A$4:$A$12;A17;$D$4:$D$12)</v>
      </c>
    </row>
    <row r="18" spans="1:6">
      <c r="A18" s="38" t="s">
        <v>319</v>
      </c>
      <c r="B18" s="12">
        <f t="shared" si="0"/>
        <v>300</v>
      </c>
      <c r="C18" s="12" t="s">
        <v>228</v>
      </c>
      <c r="D18" s="12">
        <v>300</v>
      </c>
      <c r="F18" t="str">
        <f ca="1">_xlfn.FORMULATEXT(B18)</f>
        <v>=SUMIF($A$4:$A$12;A18;$D$4:$D$12)</v>
      </c>
    </row>
    <row r="20" spans="1:6">
      <c r="A20" t="s">
        <v>335</v>
      </c>
    </row>
    <row r="21" spans="1:6">
      <c r="A21" s="175" t="s">
        <v>337</v>
      </c>
      <c r="B21" s="12" t="s">
        <v>336</v>
      </c>
      <c r="C21" s="12" t="s">
        <v>225</v>
      </c>
      <c r="D21" s="12" t="s">
        <v>75</v>
      </c>
    </row>
    <row r="22" spans="1:6">
      <c r="A22" s="175" t="s">
        <v>320</v>
      </c>
      <c r="B22" s="12">
        <f>SUMIF($B$4:$B$12,A22,$D$4:$D$12)</f>
        <v>300</v>
      </c>
      <c r="C22" s="12" t="s">
        <v>233</v>
      </c>
      <c r="D22" s="12">
        <v>300</v>
      </c>
      <c r="F22" t="str">
        <f ca="1">_xlfn.FORMULATEXT(B22)</f>
        <v>=SUMIF($B$4:$B$12;A22;$D$4:$D$12)</v>
      </c>
    </row>
    <row r="23" spans="1:6">
      <c r="A23" s="175" t="s">
        <v>321</v>
      </c>
      <c r="B23" s="12">
        <f t="shared" ref="B23:B24" si="1">SUMIF($B$4:$B$12,A23,$D$4:$D$12)</f>
        <v>200</v>
      </c>
      <c r="C23" s="12" t="s">
        <v>233</v>
      </c>
      <c r="D23" s="12">
        <v>200</v>
      </c>
      <c r="F23" t="str">
        <f t="shared" ref="F23:F24" ca="1" si="2">_xlfn.FORMULATEXT(B23)</f>
        <v>=SUMIF($B$4:$B$12;A23;$D$4:$D$12)</v>
      </c>
    </row>
    <row r="24" spans="1:6">
      <c r="A24" s="175" t="s">
        <v>322</v>
      </c>
      <c r="B24" s="12">
        <f t="shared" si="1"/>
        <v>200</v>
      </c>
      <c r="C24" s="12" t="s">
        <v>233</v>
      </c>
      <c r="D24" s="12">
        <v>200</v>
      </c>
      <c r="F24" t="str">
        <f t="shared" ca="1" si="2"/>
        <v>=SUMIF($B$4:$B$12;A24;$D$4:$D$12)</v>
      </c>
    </row>
    <row r="26" spans="1:6">
      <c r="A26" s="172" t="s">
        <v>338</v>
      </c>
      <c r="B26" s="171">
        <f>SUMPRODUCT(C4:C12,D4:D12)</f>
        <v>3900</v>
      </c>
      <c r="C26" t="str">
        <f ca="1">_xlfn.FORMULATEXT(B26)</f>
        <v>=SUMPRODUCT(C4:C12;D4:D12)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57804D-D906-4B1C-9375-FF5E0A6E7343}">
  <dimension ref="A1:D24"/>
  <sheetViews>
    <sheetView workbookViewId="0">
      <selection activeCell="C25" sqref="C25"/>
    </sheetView>
  </sheetViews>
  <sheetFormatPr defaultRowHeight="14.5"/>
  <cols>
    <col min="1" max="1" width="20" bestFit="1" customWidth="1"/>
    <col min="2" max="2" width="18.81640625" bestFit="1" customWidth="1"/>
    <col min="3" max="3" width="10" bestFit="1" customWidth="1"/>
    <col min="4" max="4" width="10.453125" bestFit="1" customWidth="1"/>
  </cols>
  <sheetData>
    <row r="1" spans="1:4">
      <c r="A1" s="173" t="s">
        <v>327</v>
      </c>
      <c r="B1" s="13" t="s">
        <v>328</v>
      </c>
      <c r="C1" s="13" t="s">
        <v>329</v>
      </c>
      <c r="D1" s="13" t="s">
        <v>330</v>
      </c>
    </row>
    <row r="2" spans="1:4">
      <c r="A2" s="38" t="s">
        <v>342</v>
      </c>
      <c r="B2" s="12" t="s">
        <v>339</v>
      </c>
      <c r="C2" s="12">
        <v>10</v>
      </c>
      <c r="D2" s="174">
        <v>40</v>
      </c>
    </row>
    <row r="3" spans="1:4">
      <c r="A3" s="38" t="s">
        <v>342</v>
      </c>
      <c r="B3" s="12" t="s">
        <v>340</v>
      </c>
      <c r="C3" s="12">
        <v>4</v>
      </c>
      <c r="D3" s="174">
        <v>40</v>
      </c>
    </row>
    <row r="4" spans="1:4">
      <c r="A4" s="38" t="s">
        <v>342</v>
      </c>
      <c r="B4" s="12" t="s">
        <v>341</v>
      </c>
      <c r="C4" s="12">
        <v>9</v>
      </c>
      <c r="D4" s="174">
        <v>0</v>
      </c>
    </row>
    <row r="5" spans="1:4">
      <c r="A5" s="38" t="s">
        <v>343</v>
      </c>
      <c r="B5" s="12" t="s">
        <v>339</v>
      </c>
      <c r="C5" s="12">
        <v>12</v>
      </c>
      <c r="D5" s="174">
        <v>0</v>
      </c>
    </row>
    <row r="6" spans="1:4">
      <c r="A6" s="38" t="s">
        <v>343</v>
      </c>
      <c r="B6" s="12" t="s">
        <v>340</v>
      </c>
      <c r="C6" s="12">
        <v>6</v>
      </c>
      <c r="D6" s="174">
        <v>0</v>
      </c>
    </row>
    <row r="7" spans="1:4">
      <c r="A7" s="38" t="s">
        <v>343</v>
      </c>
      <c r="B7" s="12" t="s">
        <v>341</v>
      </c>
      <c r="C7" s="12">
        <v>8</v>
      </c>
      <c r="D7" s="174">
        <v>40</v>
      </c>
    </row>
    <row r="8" spans="1:4">
      <c r="A8" s="38" t="s">
        <v>344</v>
      </c>
      <c r="B8" s="12" t="s">
        <v>339</v>
      </c>
      <c r="C8" s="12">
        <v>8</v>
      </c>
      <c r="D8" s="174">
        <v>10</v>
      </c>
    </row>
    <row r="9" spans="1:4">
      <c r="A9" s="38" t="s">
        <v>344</v>
      </c>
      <c r="B9" s="12" t="s">
        <v>340</v>
      </c>
      <c r="C9" s="12">
        <v>9</v>
      </c>
      <c r="D9" s="174">
        <v>0</v>
      </c>
    </row>
    <row r="10" spans="1:4">
      <c r="A10" s="38" t="s">
        <v>344</v>
      </c>
      <c r="B10" s="12" t="s">
        <v>341</v>
      </c>
      <c r="C10" s="12">
        <v>5</v>
      </c>
      <c r="D10" s="174">
        <v>20</v>
      </c>
    </row>
    <row r="12" spans="1:4">
      <c r="A12" t="s">
        <v>332</v>
      </c>
    </row>
    <row r="13" spans="1:4">
      <c r="A13" s="38" t="s">
        <v>331</v>
      </c>
      <c r="B13" s="12" t="s">
        <v>333</v>
      </c>
      <c r="C13" s="12" t="s">
        <v>225</v>
      </c>
      <c r="D13" s="12" t="s">
        <v>334</v>
      </c>
    </row>
    <row r="14" spans="1:4">
      <c r="A14" s="38" t="s">
        <v>342</v>
      </c>
      <c r="B14" s="12">
        <f>SUMIF($A$2:$A$10,A14,$D$2:$D$10)</f>
        <v>80</v>
      </c>
      <c r="C14" s="12" t="s">
        <v>228</v>
      </c>
      <c r="D14" s="12">
        <v>80</v>
      </c>
    </row>
    <row r="15" spans="1:4">
      <c r="A15" s="38" t="s">
        <v>343</v>
      </c>
      <c r="B15" s="12">
        <f>SUMIF($A$2:$A$10,A15,$D$2:$D$10)</f>
        <v>40</v>
      </c>
      <c r="C15" s="12" t="s">
        <v>228</v>
      </c>
      <c r="D15" s="12">
        <v>40</v>
      </c>
    </row>
    <row r="16" spans="1:4">
      <c r="A16" s="38" t="s">
        <v>344</v>
      </c>
      <c r="B16" s="12">
        <f>SUMIF($A$2:$A$10,A16,$D$2:$D$10)</f>
        <v>30</v>
      </c>
      <c r="C16" s="12" t="s">
        <v>228</v>
      </c>
      <c r="D16" s="12">
        <v>30</v>
      </c>
    </row>
    <row r="18" spans="1:4">
      <c r="A18" t="s">
        <v>335</v>
      </c>
    </row>
    <row r="19" spans="1:4">
      <c r="A19" s="175" t="s">
        <v>337</v>
      </c>
      <c r="B19" s="12" t="s">
        <v>336</v>
      </c>
      <c r="C19" s="12" t="s">
        <v>225</v>
      </c>
      <c r="D19" s="12" t="s">
        <v>75</v>
      </c>
    </row>
    <row r="20" spans="1:4">
      <c r="A20" s="175" t="s">
        <v>339</v>
      </c>
      <c r="B20" s="12">
        <f>SUMIF($B$2:$B$10,A20,$D$2:$D$10)</f>
        <v>50</v>
      </c>
      <c r="C20" s="12" t="s">
        <v>233</v>
      </c>
      <c r="D20" s="12">
        <v>50</v>
      </c>
    </row>
    <row r="21" spans="1:4">
      <c r="A21" s="175" t="s">
        <v>340</v>
      </c>
      <c r="B21" s="12">
        <f>SUMIF($B$2:$B$10,A21,$D$2:$D$10)</f>
        <v>40</v>
      </c>
      <c r="C21" s="12" t="s">
        <v>233</v>
      </c>
      <c r="D21" s="12">
        <v>40</v>
      </c>
    </row>
    <row r="22" spans="1:4">
      <c r="A22" s="175" t="s">
        <v>341</v>
      </c>
      <c r="B22" s="12">
        <f>SUMIF($B$2:$B$10,A22,$D$2:$D$10)</f>
        <v>60</v>
      </c>
      <c r="C22" s="12" t="s">
        <v>233</v>
      </c>
      <c r="D22" s="12">
        <v>60</v>
      </c>
    </row>
    <row r="24" spans="1:4">
      <c r="A24" s="172" t="s">
        <v>338</v>
      </c>
      <c r="B24" s="171">
        <f>SUMPRODUCT(C2:C10,D2:D10)</f>
        <v>1060</v>
      </c>
      <c r="C24" t="str">
        <f ca="1">_xlfn.FORMULATEXT(B24)</f>
        <v>=SUMPRODUCT(C2:C10;D2:D10)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D72C1F-CE18-4545-BFD8-33DC4A0C1C79}">
  <dimension ref="A1:H19"/>
  <sheetViews>
    <sheetView workbookViewId="0">
      <selection sqref="A1:H1"/>
    </sheetView>
  </sheetViews>
  <sheetFormatPr defaultRowHeight="14.5"/>
  <cols>
    <col min="1" max="1" width="15.81640625" customWidth="1"/>
    <col min="2" max="5" width="11.1796875" customWidth="1"/>
  </cols>
  <sheetData>
    <row r="1" spans="1:8" ht="20" thickBot="1">
      <c r="A1" s="221" t="s">
        <v>345</v>
      </c>
      <c r="B1" s="221"/>
      <c r="C1" s="221"/>
      <c r="D1" s="221"/>
      <c r="E1" s="221"/>
      <c r="F1" s="221"/>
      <c r="G1" s="221"/>
      <c r="H1" s="221"/>
    </row>
    <row r="2" spans="1:8" ht="15" thickTop="1"/>
    <row r="4" spans="1:8">
      <c r="A4" s="12"/>
      <c r="B4" s="13" t="s">
        <v>347</v>
      </c>
      <c r="C4" s="13" t="s">
        <v>348</v>
      </c>
      <c r="D4" s="13" t="s">
        <v>349</v>
      </c>
      <c r="E4" s="13" t="s">
        <v>350</v>
      </c>
    </row>
    <row r="5" spans="1:8">
      <c r="A5" s="13" t="s">
        <v>351</v>
      </c>
      <c r="B5" s="181">
        <v>800</v>
      </c>
      <c r="C5" s="181">
        <v>1100</v>
      </c>
      <c r="D5" s="181">
        <v>1200</v>
      </c>
      <c r="E5" s="181">
        <v>1000</v>
      </c>
      <c r="F5" s="7"/>
    </row>
    <row r="6" spans="1:8">
      <c r="A6" s="13" t="s">
        <v>352</v>
      </c>
      <c r="B6" s="181">
        <v>500</v>
      </c>
      <c r="C6" s="181">
        <v>1600</v>
      </c>
      <c r="D6" s="181">
        <v>1300</v>
      </c>
      <c r="E6" s="181">
        <v>800</v>
      </c>
      <c r="F6" s="7"/>
    </row>
    <row r="7" spans="1:8">
      <c r="A7" s="13" t="s">
        <v>353</v>
      </c>
      <c r="B7" s="181">
        <v>500</v>
      </c>
      <c r="C7" s="181">
        <v>1000</v>
      </c>
      <c r="D7" s="181">
        <v>2300</v>
      </c>
      <c r="E7" s="181">
        <v>1500</v>
      </c>
      <c r="F7" s="7"/>
    </row>
    <row r="8" spans="1:8">
      <c r="B8" s="7"/>
      <c r="C8" s="7"/>
      <c r="D8" s="7"/>
      <c r="E8" s="7"/>
    </row>
    <row r="9" spans="1:8">
      <c r="A9" t="s">
        <v>346</v>
      </c>
    </row>
    <row r="10" spans="1:8">
      <c r="A10" s="12"/>
      <c r="B10" s="13" t="s">
        <v>347</v>
      </c>
      <c r="C10" s="13" t="s">
        <v>348</v>
      </c>
      <c r="D10" s="13" t="s">
        <v>349</v>
      </c>
      <c r="E10" s="13" t="s">
        <v>350</v>
      </c>
      <c r="F10" s="13" t="s">
        <v>354</v>
      </c>
      <c r="G10" s="13" t="s">
        <v>225</v>
      </c>
      <c r="H10" s="12"/>
    </row>
    <row r="11" spans="1:8">
      <c r="A11" s="13" t="s">
        <v>351</v>
      </c>
      <c r="B11" s="177">
        <v>0</v>
      </c>
      <c r="C11" s="177">
        <v>1</v>
      </c>
      <c r="D11" s="177">
        <v>0</v>
      </c>
      <c r="E11" s="177">
        <v>0</v>
      </c>
      <c r="F11" s="107">
        <f>SUM(B11:E11)</f>
        <v>1</v>
      </c>
      <c r="G11" s="179" t="s">
        <v>311</v>
      </c>
      <c r="H11" s="12">
        <v>1</v>
      </c>
    </row>
    <row r="12" spans="1:8">
      <c r="A12" s="13" t="s">
        <v>352</v>
      </c>
      <c r="B12" s="177">
        <v>0</v>
      </c>
      <c r="C12" s="177">
        <v>0</v>
      </c>
      <c r="D12" s="177">
        <v>0</v>
      </c>
      <c r="E12" s="177">
        <v>1</v>
      </c>
      <c r="F12" s="107">
        <f t="shared" ref="F12:F13" si="0">SUM(B12:E12)</f>
        <v>1</v>
      </c>
      <c r="G12" s="179" t="s">
        <v>311</v>
      </c>
      <c r="H12" s="12">
        <v>1</v>
      </c>
    </row>
    <row r="13" spans="1:8">
      <c r="A13" s="13" t="s">
        <v>353</v>
      </c>
      <c r="B13" s="177">
        <v>1</v>
      </c>
      <c r="C13" s="177">
        <v>0</v>
      </c>
      <c r="D13" s="177">
        <v>0</v>
      </c>
      <c r="E13" s="177">
        <v>0</v>
      </c>
      <c r="F13" s="107">
        <f t="shared" si="0"/>
        <v>1</v>
      </c>
      <c r="G13" s="179" t="s">
        <v>311</v>
      </c>
      <c r="H13" s="12">
        <v>1</v>
      </c>
    </row>
    <row r="14" spans="1:8">
      <c r="A14" s="73" t="s">
        <v>355</v>
      </c>
      <c r="B14" s="107">
        <f>SUM(B11:B13)</f>
        <v>1</v>
      </c>
      <c r="C14" s="107">
        <f t="shared" ref="C14:E14" si="1">SUM(C11:C13)</f>
        <v>1</v>
      </c>
      <c r="D14" s="107">
        <f t="shared" si="1"/>
        <v>0</v>
      </c>
      <c r="E14" s="107">
        <f t="shared" si="1"/>
        <v>1</v>
      </c>
    </row>
    <row r="15" spans="1:8">
      <c r="B15" s="12" t="s">
        <v>228</v>
      </c>
      <c r="C15" s="12" t="s">
        <v>228</v>
      </c>
      <c r="D15" s="12" t="s">
        <v>228</v>
      </c>
      <c r="E15" s="12" t="s">
        <v>228</v>
      </c>
    </row>
    <row r="16" spans="1:8">
      <c r="B16" s="12">
        <v>1</v>
      </c>
      <c r="C16" s="12">
        <v>1</v>
      </c>
      <c r="D16" s="12">
        <v>1</v>
      </c>
      <c r="E16" s="12">
        <v>1</v>
      </c>
    </row>
    <row r="18" spans="1:3">
      <c r="A18" t="s">
        <v>301</v>
      </c>
    </row>
    <row r="19" spans="1:3">
      <c r="A19" t="s">
        <v>356</v>
      </c>
      <c r="B19" s="182">
        <f>SUMPRODUCT(B5:E7,B11:E13)</f>
        <v>2400</v>
      </c>
      <c r="C19" t="str">
        <f ca="1">_xlfn.FORMULATEXT(B19)</f>
        <v>=SUMPRODUCT(B5:E7;B11:E13)</v>
      </c>
    </row>
  </sheetData>
  <mergeCells count="1">
    <mergeCell ref="A1:H1"/>
  </mergeCells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8CE949-781E-4DBB-86DC-446546AF2E08}">
  <dimension ref="A2:H22"/>
  <sheetViews>
    <sheetView zoomScaleNormal="100" workbookViewId="0">
      <selection activeCell="S25" sqref="S25"/>
    </sheetView>
  </sheetViews>
  <sheetFormatPr defaultRowHeight="14.5"/>
  <cols>
    <col min="1" max="1" width="16" style="172" customWidth="1"/>
    <col min="2" max="5" width="12.453125" customWidth="1"/>
  </cols>
  <sheetData>
    <row r="2" spans="1:8">
      <c r="A2" s="172" t="s">
        <v>365</v>
      </c>
    </row>
    <row r="4" spans="1:8">
      <c r="A4" s="183" t="s">
        <v>366</v>
      </c>
      <c r="B4" s="13" t="s">
        <v>357</v>
      </c>
      <c r="C4" s="13" t="s">
        <v>358</v>
      </c>
      <c r="D4" s="13" t="s">
        <v>359</v>
      </c>
      <c r="E4" s="13" t="s">
        <v>360</v>
      </c>
    </row>
    <row r="5" spans="1:8">
      <c r="A5" s="175" t="s">
        <v>361</v>
      </c>
      <c r="B5" s="184">
        <v>1500</v>
      </c>
      <c r="C5" s="184">
        <v>1730</v>
      </c>
      <c r="D5" s="184">
        <v>1940</v>
      </c>
      <c r="E5" s="184">
        <v>2070</v>
      </c>
    </row>
    <row r="6" spans="1:8">
      <c r="A6" s="175" t="s">
        <v>362</v>
      </c>
      <c r="B6" s="184">
        <v>460</v>
      </c>
      <c r="C6" s="184">
        <v>810</v>
      </c>
      <c r="D6" s="184">
        <v>1020</v>
      </c>
      <c r="E6" s="184">
        <v>1270</v>
      </c>
    </row>
    <row r="7" spans="1:8">
      <c r="A7" s="175" t="s">
        <v>363</v>
      </c>
      <c r="B7" s="184">
        <v>1500</v>
      </c>
      <c r="C7" s="184">
        <v>1850</v>
      </c>
      <c r="D7" s="184">
        <v>2080</v>
      </c>
      <c r="E7" s="184" t="s">
        <v>241</v>
      </c>
    </row>
    <row r="8" spans="1:8">
      <c r="A8" s="175" t="s">
        <v>364</v>
      </c>
      <c r="B8" s="184">
        <v>960</v>
      </c>
      <c r="C8" s="184">
        <v>610</v>
      </c>
      <c r="D8" s="184">
        <v>400</v>
      </c>
      <c r="E8" s="184">
        <v>330</v>
      </c>
    </row>
    <row r="10" spans="1:8">
      <c r="A10" s="172" t="s">
        <v>367</v>
      </c>
    </row>
    <row r="11" spans="1:8">
      <c r="A11" s="183" t="s">
        <v>366</v>
      </c>
      <c r="B11" s="13" t="s">
        <v>357</v>
      </c>
      <c r="C11" s="13" t="s">
        <v>358</v>
      </c>
      <c r="D11" s="13" t="s">
        <v>359</v>
      </c>
      <c r="E11" s="13" t="s">
        <v>360</v>
      </c>
      <c r="F11" s="189" t="s">
        <v>250</v>
      </c>
      <c r="G11" s="180" t="s">
        <v>225</v>
      </c>
      <c r="H11" s="7"/>
    </row>
    <row r="12" spans="1:8">
      <c r="A12" s="175" t="s">
        <v>361</v>
      </c>
      <c r="B12" s="174">
        <v>0</v>
      </c>
      <c r="C12" s="174">
        <v>0</v>
      </c>
      <c r="D12" s="174">
        <v>1</v>
      </c>
      <c r="E12" s="174">
        <v>0</v>
      </c>
      <c r="F12" s="188">
        <f>SUM(B12:E12)</f>
        <v>1</v>
      </c>
      <c r="G12" s="186" t="s">
        <v>311</v>
      </c>
      <c r="H12" s="7">
        <v>1</v>
      </c>
    </row>
    <row r="13" spans="1:8">
      <c r="A13" s="175" t="s">
        <v>362</v>
      </c>
      <c r="B13" s="174">
        <v>0</v>
      </c>
      <c r="C13" s="174">
        <v>1</v>
      </c>
      <c r="D13" s="174">
        <v>0</v>
      </c>
      <c r="E13" s="174">
        <v>0</v>
      </c>
      <c r="F13" s="188">
        <f t="shared" ref="F13:F14" si="0">SUM(B13:E13)</f>
        <v>1</v>
      </c>
      <c r="G13" s="186" t="s">
        <v>311</v>
      </c>
      <c r="H13" s="7">
        <v>1</v>
      </c>
    </row>
    <row r="14" spans="1:8">
      <c r="A14" s="175" t="s">
        <v>363</v>
      </c>
      <c r="B14" s="174">
        <v>1</v>
      </c>
      <c r="C14" s="174">
        <v>0</v>
      </c>
      <c r="D14" s="174">
        <v>0</v>
      </c>
      <c r="E14" s="174">
        <v>0</v>
      </c>
      <c r="F14" s="188">
        <f t="shared" si="0"/>
        <v>1</v>
      </c>
      <c r="G14" s="186" t="s">
        <v>311</v>
      </c>
      <c r="H14" s="7">
        <v>1</v>
      </c>
    </row>
    <row r="15" spans="1:8">
      <c r="A15" s="175" t="s">
        <v>364</v>
      </c>
      <c r="B15" s="174">
        <v>0</v>
      </c>
      <c r="C15" s="174">
        <v>0</v>
      </c>
      <c r="D15" s="174">
        <v>0</v>
      </c>
      <c r="E15" s="174">
        <v>1</v>
      </c>
      <c r="F15" s="188">
        <f t="shared" ref="F15" si="1">SUM(B15:E15)</f>
        <v>1</v>
      </c>
      <c r="G15" s="186" t="s">
        <v>311</v>
      </c>
      <c r="H15" s="7">
        <v>1</v>
      </c>
    </row>
    <row r="16" spans="1:8">
      <c r="A16" s="8" t="s">
        <v>250</v>
      </c>
      <c r="B16" s="187">
        <f>SUM(B12:B15)</f>
        <v>1</v>
      </c>
      <c r="C16" s="187">
        <f>SUM(C12:C15)</f>
        <v>1</v>
      </c>
      <c r="D16" s="187">
        <f>SUM(D12:D15)</f>
        <v>1</v>
      </c>
      <c r="E16" s="187">
        <f>SUM(E12:E15)</f>
        <v>1</v>
      </c>
      <c r="F16" s="53"/>
    </row>
    <row r="17" spans="1:5">
      <c r="A17" s="8" t="s">
        <v>225</v>
      </c>
      <c r="B17" s="186" t="s">
        <v>311</v>
      </c>
      <c r="C17" s="186" t="s">
        <v>311</v>
      </c>
      <c r="D17" s="186" t="s">
        <v>311</v>
      </c>
      <c r="E17" s="186" t="s">
        <v>311</v>
      </c>
    </row>
    <row r="18" spans="1:5">
      <c r="B18" s="7">
        <v>1</v>
      </c>
      <c r="C18" s="7">
        <v>1</v>
      </c>
      <c r="D18" s="7">
        <v>1</v>
      </c>
      <c r="E18" s="7">
        <v>1</v>
      </c>
    </row>
    <row r="21" spans="1:5">
      <c r="A21" s="73" t="s">
        <v>301</v>
      </c>
    </row>
    <row r="22" spans="1:5">
      <c r="A22" s="73" t="s">
        <v>365</v>
      </c>
      <c r="B22" s="185">
        <f>SUMPRODUCT(B5:E8,B12:E15)</f>
        <v>4580</v>
      </c>
      <c r="C22" t="str">
        <f ca="1">_xlfn.FORMULATEXT(B22)</f>
        <v>=SUMPRODUCT(B5:E8;B12:E15)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FA9BDE-E980-40DE-93CD-570D0E2D9F6B}">
  <dimension ref="A4:H20"/>
  <sheetViews>
    <sheetView workbookViewId="0">
      <selection activeCell="D14" sqref="D14"/>
    </sheetView>
  </sheetViews>
  <sheetFormatPr defaultRowHeight="14.5"/>
  <cols>
    <col min="1" max="1" width="19.81640625" bestFit="1" customWidth="1"/>
    <col min="2" max="2" width="13.1796875" customWidth="1"/>
    <col min="3" max="3" width="13.453125" customWidth="1"/>
    <col min="4" max="5" width="13.1796875" customWidth="1"/>
  </cols>
  <sheetData>
    <row r="4" spans="1:8">
      <c r="A4" s="13" t="s">
        <v>370</v>
      </c>
      <c r="B4" s="13" t="s">
        <v>374</v>
      </c>
      <c r="C4" s="13" t="s">
        <v>375</v>
      </c>
      <c r="D4" s="13" t="s">
        <v>376</v>
      </c>
      <c r="E4" s="13" t="s">
        <v>377</v>
      </c>
    </row>
    <row r="5" spans="1:8">
      <c r="A5" s="12" t="s">
        <v>368</v>
      </c>
      <c r="B5" s="12">
        <v>80</v>
      </c>
      <c r="C5" s="12">
        <v>85</v>
      </c>
      <c r="D5" s="12">
        <v>95</v>
      </c>
      <c r="E5" s="12">
        <v>40</v>
      </c>
    </row>
    <row r="6" spans="1:8">
      <c r="A6" s="12" t="s">
        <v>369</v>
      </c>
      <c r="B6" s="12">
        <v>85</v>
      </c>
      <c r="C6" s="12">
        <v>30</v>
      </c>
      <c r="D6" s="12">
        <v>75</v>
      </c>
      <c r="E6" s="12">
        <v>65</v>
      </c>
    </row>
    <row r="7" spans="1:8">
      <c r="A7" s="12" t="s">
        <v>372</v>
      </c>
      <c r="B7" s="12">
        <v>90</v>
      </c>
      <c r="C7" s="12">
        <v>55</v>
      </c>
      <c r="D7" s="12">
        <v>80</v>
      </c>
      <c r="E7" s="12">
        <v>70</v>
      </c>
    </row>
    <row r="8" spans="1:8">
      <c r="A8" s="12" t="s">
        <v>373</v>
      </c>
      <c r="B8" s="12">
        <v>55</v>
      </c>
      <c r="C8" s="12">
        <v>80</v>
      </c>
      <c r="D8" s="12">
        <v>65</v>
      </c>
      <c r="E8" s="12">
        <v>50</v>
      </c>
    </row>
    <row r="11" spans="1:8">
      <c r="A11" s="13" t="s">
        <v>370</v>
      </c>
      <c r="B11" s="13" t="s">
        <v>374</v>
      </c>
      <c r="C11" s="13" t="s">
        <v>375</v>
      </c>
      <c r="D11" s="13" t="s">
        <v>376</v>
      </c>
      <c r="E11" s="13" t="s">
        <v>377</v>
      </c>
    </row>
    <row r="12" spans="1:8">
      <c r="A12" s="12" t="s">
        <v>368</v>
      </c>
      <c r="B12" s="174">
        <v>0</v>
      </c>
      <c r="C12" s="174">
        <v>0</v>
      </c>
      <c r="D12" s="174">
        <v>1</v>
      </c>
      <c r="E12" s="174">
        <v>0</v>
      </c>
      <c r="F12" s="7">
        <f>SUM(B12:E12)</f>
        <v>1</v>
      </c>
      <c r="G12" s="186" t="s">
        <v>311</v>
      </c>
      <c r="H12" s="7">
        <v>1</v>
      </c>
    </row>
    <row r="13" spans="1:8">
      <c r="A13" s="12" t="s">
        <v>369</v>
      </c>
      <c r="B13" s="174">
        <v>1</v>
      </c>
      <c r="C13" s="174">
        <v>0</v>
      </c>
      <c r="D13" s="174">
        <v>0</v>
      </c>
      <c r="E13" s="174">
        <v>0</v>
      </c>
      <c r="F13" s="7">
        <f t="shared" ref="F13:F15" si="0">SUM(B13:E13)</f>
        <v>1</v>
      </c>
      <c r="G13" s="186" t="s">
        <v>311</v>
      </c>
      <c r="H13" s="7">
        <v>1</v>
      </c>
    </row>
    <row r="14" spans="1:8">
      <c r="A14" s="12" t="s">
        <v>372</v>
      </c>
      <c r="B14" s="174">
        <v>0</v>
      </c>
      <c r="C14" s="174">
        <v>0</v>
      </c>
      <c r="D14" s="174">
        <v>0</v>
      </c>
      <c r="E14" s="174">
        <v>1</v>
      </c>
      <c r="F14" s="7">
        <f t="shared" si="0"/>
        <v>1</v>
      </c>
      <c r="G14" s="186" t="s">
        <v>311</v>
      </c>
      <c r="H14" s="7">
        <v>1</v>
      </c>
    </row>
    <row r="15" spans="1:8">
      <c r="A15" s="12" t="s">
        <v>373</v>
      </c>
      <c r="B15" s="174">
        <v>0</v>
      </c>
      <c r="C15" s="174">
        <v>1</v>
      </c>
      <c r="D15" s="174">
        <v>0</v>
      </c>
      <c r="E15" s="174">
        <v>0</v>
      </c>
      <c r="F15" s="7">
        <f t="shared" si="0"/>
        <v>1</v>
      </c>
      <c r="G15" s="186" t="s">
        <v>311</v>
      </c>
      <c r="H15" s="7">
        <v>1</v>
      </c>
    </row>
    <row r="16" spans="1:8">
      <c r="B16" s="7">
        <f>SUM(B12:B15)</f>
        <v>1</v>
      </c>
      <c r="C16" s="7">
        <f t="shared" ref="C16:E16" si="1">SUM(C12:C15)</f>
        <v>1</v>
      </c>
      <c r="D16" s="7">
        <f t="shared" si="1"/>
        <v>1</v>
      </c>
      <c r="E16" s="7">
        <f t="shared" si="1"/>
        <v>1</v>
      </c>
    </row>
    <row r="17" spans="1:5">
      <c r="B17" s="186" t="s">
        <v>311</v>
      </c>
      <c r="C17" s="186" t="s">
        <v>311</v>
      </c>
      <c r="D17" s="186" t="s">
        <v>311</v>
      </c>
      <c r="E17" s="186" t="s">
        <v>311</v>
      </c>
    </row>
    <row r="18" spans="1:5">
      <c r="B18" s="7">
        <v>1</v>
      </c>
      <c r="C18" s="7">
        <v>1</v>
      </c>
      <c r="D18" s="7">
        <v>1</v>
      </c>
      <c r="E18" s="7">
        <v>1</v>
      </c>
    </row>
    <row r="20" spans="1:5">
      <c r="A20" t="s">
        <v>371</v>
      </c>
      <c r="B20" s="176">
        <f>SUMPRODUCT(B5:E8,B12:E15)</f>
        <v>330</v>
      </c>
      <c r="C20" t="str">
        <f ca="1">_xlfn.FORMULATEXT(B20)</f>
        <v>=SUMPRODUCT(B5:E8;B12:E15)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F28C2C-FFF5-46EC-A186-231BC2C0F81D}">
  <dimension ref="A2:J21"/>
  <sheetViews>
    <sheetView workbookViewId="0">
      <selection activeCell="J17" sqref="J17"/>
    </sheetView>
  </sheetViews>
  <sheetFormatPr defaultRowHeight="14.5"/>
  <cols>
    <col min="2" max="2" width="11.54296875" bestFit="1" customWidth="1"/>
    <col min="5" max="6" width="10.54296875" bestFit="1" customWidth="1"/>
  </cols>
  <sheetData>
    <row r="2" spans="1:10">
      <c r="A2" s="12"/>
      <c r="B2" s="13" t="s">
        <v>378</v>
      </c>
      <c r="C2" s="13" t="s">
        <v>379</v>
      </c>
      <c r="D2" s="13" t="s">
        <v>380</v>
      </c>
      <c r="E2" s="189" t="s">
        <v>325</v>
      </c>
      <c r="I2" t="s">
        <v>381</v>
      </c>
    </row>
    <row r="3" spans="1:10">
      <c r="A3" s="13" t="s">
        <v>342</v>
      </c>
      <c r="B3" s="12">
        <v>22</v>
      </c>
      <c r="C3" s="12">
        <v>14</v>
      </c>
      <c r="D3" s="12">
        <v>30</v>
      </c>
      <c r="E3" s="7">
        <v>100</v>
      </c>
      <c r="I3" s="13" t="s">
        <v>342</v>
      </c>
      <c r="J3" s="39">
        <v>6</v>
      </c>
    </row>
    <row r="4" spans="1:10">
      <c r="A4" s="13" t="s">
        <v>343</v>
      </c>
      <c r="B4" s="12">
        <v>16</v>
      </c>
      <c r="C4" s="12">
        <v>20</v>
      </c>
      <c r="D4" s="12">
        <v>24</v>
      </c>
      <c r="E4" s="192">
        <v>120</v>
      </c>
      <c r="I4" s="13" t="s">
        <v>343</v>
      </c>
      <c r="J4" s="39">
        <v>6.25</v>
      </c>
    </row>
    <row r="5" spans="1:10">
      <c r="A5" s="190" t="s">
        <v>35</v>
      </c>
      <c r="B5" s="7">
        <v>80</v>
      </c>
      <c r="C5" s="7">
        <v>60</v>
      </c>
      <c r="D5" s="191">
        <v>70</v>
      </c>
    </row>
    <row r="8" spans="1:10">
      <c r="A8" s="12"/>
      <c r="B8" s="13" t="s">
        <v>378</v>
      </c>
      <c r="C8" s="13" t="s">
        <v>379</v>
      </c>
      <c r="D8" s="13" t="s">
        <v>380</v>
      </c>
      <c r="E8" s="178" t="s">
        <v>250</v>
      </c>
      <c r="F8" s="178" t="s">
        <v>225</v>
      </c>
    </row>
    <row r="9" spans="1:10">
      <c r="A9" s="13" t="s">
        <v>342</v>
      </c>
      <c r="B9" s="174">
        <v>0</v>
      </c>
      <c r="C9" s="174">
        <v>60</v>
      </c>
      <c r="D9" s="174">
        <v>30</v>
      </c>
      <c r="E9" s="12">
        <f>SUM(B9:D9)</f>
        <v>90</v>
      </c>
      <c r="F9" s="12" t="s">
        <v>228</v>
      </c>
      <c r="G9" s="12">
        <v>100</v>
      </c>
    </row>
    <row r="10" spans="1:10">
      <c r="A10" s="13" t="s">
        <v>343</v>
      </c>
      <c r="B10" s="174">
        <v>80</v>
      </c>
      <c r="C10" s="174">
        <v>0</v>
      </c>
      <c r="D10" s="174">
        <v>40</v>
      </c>
      <c r="E10" s="12">
        <f>SUM(B10:D10)</f>
        <v>120</v>
      </c>
      <c r="F10" s="12" t="s">
        <v>228</v>
      </c>
      <c r="G10" s="12">
        <v>120</v>
      </c>
    </row>
    <row r="11" spans="1:10">
      <c r="A11" s="178" t="s">
        <v>250</v>
      </c>
      <c r="B11" s="12">
        <f>SUM(B9:B10)</f>
        <v>80</v>
      </c>
      <c r="C11" s="12">
        <f t="shared" ref="C11:D11" si="0">SUM(C9:C10)</f>
        <v>60</v>
      </c>
      <c r="D11" s="12">
        <f t="shared" si="0"/>
        <v>70</v>
      </c>
      <c r="E11" s="7"/>
    </row>
    <row r="12" spans="1:10">
      <c r="A12" s="178" t="s">
        <v>225</v>
      </c>
      <c r="B12" s="12" t="s">
        <v>233</v>
      </c>
      <c r="C12" s="12" t="s">
        <v>233</v>
      </c>
      <c r="D12" s="12" t="s">
        <v>233</v>
      </c>
    </row>
    <row r="13" spans="1:10">
      <c r="B13" s="12">
        <v>80</v>
      </c>
      <c r="C13" s="12">
        <v>60</v>
      </c>
      <c r="D13" s="12">
        <v>70</v>
      </c>
    </row>
    <row r="16" spans="1:10">
      <c r="B16" s="25"/>
      <c r="H16" s="7"/>
      <c r="I16" s="7"/>
      <c r="J16" s="7"/>
    </row>
    <row r="17" spans="2:10">
      <c r="B17" s="25"/>
      <c r="H17" s="7"/>
      <c r="I17" s="7"/>
      <c r="J17" s="7"/>
    </row>
    <row r="19" spans="2:10">
      <c r="B19" s="25">
        <f>SUMPRODUCT(B3:D4,B9:D10)</f>
        <v>3980</v>
      </c>
    </row>
    <row r="20" spans="2:10">
      <c r="B20" s="25">
        <f>E9*J3+E10*J4</f>
        <v>1290</v>
      </c>
    </row>
    <row r="21" spans="2:10">
      <c r="B21" s="25">
        <f>B19+B20</f>
        <v>5270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CA8A37-4878-4554-8E06-BB7EA942C040}">
  <dimension ref="A1:G13"/>
  <sheetViews>
    <sheetView workbookViewId="0">
      <selection activeCell="F23" sqref="F23"/>
    </sheetView>
  </sheetViews>
  <sheetFormatPr defaultRowHeight="14.5"/>
  <cols>
    <col min="1" max="1" width="17.7265625" customWidth="1"/>
  </cols>
  <sheetData>
    <row r="1" spans="1:7" ht="17.5" thickBot="1">
      <c r="A1" s="220" t="s">
        <v>384</v>
      </c>
      <c r="B1" s="220"/>
      <c r="C1" s="220"/>
      <c r="D1" s="220"/>
      <c r="E1" s="220"/>
      <c r="F1" s="220"/>
    </row>
    <row r="2" spans="1:7" ht="15" thickTop="1"/>
    <row r="3" spans="1:7">
      <c r="A3" s="8" t="s">
        <v>284</v>
      </c>
      <c r="B3" s="180" t="s">
        <v>382</v>
      </c>
      <c r="C3" s="180" t="s">
        <v>383</v>
      </c>
    </row>
    <row r="4" spans="1:7">
      <c r="B4" s="36">
        <v>4</v>
      </c>
      <c r="C4" s="36">
        <v>1</v>
      </c>
    </row>
    <row r="5" spans="1:7">
      <c r="B5" s="7">
        <v>8200</v>
      </c>
      <c r="C5" s="7">
        <v>5100</v>
      </c>
    </row>
    <row r="7" spans="1:7">
      <c r="A7" s="8" t="s">
        <v>223</v>
      </c>
    </row>
    <row r="8" spans="1:7">
      <c r="A8" s="73" t="s">
        <v>387</v>
      </c>
      <c r="B8" s="176">
        <f>SUMPRODUCT(B4:C4,B5:C5)</f>
        <v>37900</v>
      </c>
      <c r="C8" t="str">
        <f ca="1">_xlfn.FORMULATEXT(B8)</f>
        <v>=SUMPRODUCT(B4:C4;B5:C5)</v>
      </c>
    </row>
    <row r="10" spans="1:7">
      <c r="A10" s="8" t="s">
        <v>386</v>
      </c>
      <c r="D10" s="180" t="s">
        <v>226</v>
      </c>
      <c r="E10" s="180" t="s">
        <v>225</v>
      </c>
      <c r="F10" s="180" t="s">
        <v>227</v>
      </c>
    </row>
    <row r="11" spans="1:7">
      <c r="A11" s="193" t="s">
        <v>385</v>
      </c>
      <c r="B11" s="35">
        <v>390</v>
      </c>
      <c r="C11" s="35">
        <v>240</v>
      </c>
      <c r="D11" s="12">
        <f>SUMPRODUCT(B11:C11,$B$4:$C$4)</f>
        <v>1800</v>
      </c>
      <c r="E11" s="12" t="s">
        <v>228</v>
      </c>
      <c r="F11" s="12">
        <v>1800</v>
      </c>
      <c r="G11" t="str">
        <f ca="1">_xlfn.FORMULATEXT(D11)</f>
        <v>=SUMPRODUCT(B11:C11;$B$4:$C$4)</v>
      </c>
    </row>
    <row r="12" spans="1:7">
      <c r="A12" s="193" t="s">
        <v>388</v>
      </c>
      <c r="B12" s="12"/>
      <c r="C12" s="12">
        <v>1</v>
      </c>
      <c r="D12" s="12">
        <f t="shared" ref="D12:D13" si="0">SUMPRODUCT(B12:C12,$B$4:$C$4)</f>
        <v>1</v>
      </c>
      <c r="E12" s="12" t="s">
        <v>228</v>
      </c>
      <c r="F12" s="12">
        <v>6</v>
      </c>
      <c r="G12" t="str">
        <f t="shared" ref="G12:G13" ca="1" si="1">_xlfn.FORMULATEXT(D12)</f>
        <v>=SUMPRODUCT(B12:C12;$B$4:$C$4)</v>
      </c>
    </row>
    <row r="13" spans="1:7">
      <c r="A13" s="193" t="s">
        <v>389</v>
      </c>
      <c r="B13" s="12">
        <v>1</v>
      </c>
      <c r="C13" s="12"/>
      <c r="D13" s="12">
        <f t="shared" si="0"/>
        <v>4</v>
      </c>
      <c r="E13" s="12" t="s">
        <v>233</v>
      </c>
      <c r="F13" s="12">
        <v>2</v>
      </c>
      <c r="G13" t="str">
        <f t="shared" ca="1" si="1"/>
        <v>=SUMPRODUCT(B13:C13;$B$4:$C$4)</v>
      </c>
    </row>
  </sheetData>
  <mergeCells count="1">
    <mergeCell ref="A1:F1"/>
  </mergeCells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00222D-8CDF-4DBA-A10F-3B85C8E83709}">
  <dimension ref="A1:G11"/>
  <sheetViews>
    <sheetView workbookViewId="0">
      <selection activeCell="Q23" sqref="Q23"/>
    </sheetView>
  </sheetViews>
  <sheetFormatPr defaultRowHeight="14.5"/>
  <cols>
    <col min="1" max="1" width="15.81640625" bestFit="1" customWidth="1"/>
    <col min="2" max="3" width="19.453125" customWidth="1"/>
  </cols>
  <sheetData>
    <row r="1" spans="1:7">
      <c r="A1" s="195" t="s">
        <v>218</v>
      </c>
      <c r="B1" s="180" t="s">
        <v>390</v>
      </c>
      <c r="C1" s="180" t="s">
        <v>391</v>
      </c>
    </row>
    <row r="2" spans="1:7">
      <c r="A2" s="172"/>
      <c r="B2" s="36">
        <v>44</v>
      </c>
      <c r="C2" s="196">
        <v>20</v>
      </c>
    </row>
    <row r="3" spans="1:7">
      <c r="A3" s="172"/>
      <c r="B3" s="194">
        <v>85</v>
      </c>
      <c r="C3" s="194">
        <v>1.5</v>
      </c>
    </row>
    <row r="4" spans="1:7">
      <c r="A4" s="172"/>
    </row>
    <row r="5" spans="1:7">
      <c r="A5" s="195" t="s">
        <v>223</v>
      </c>
    </row>
    <row r="6" spans="1:7">
      <c r="A6" s="5" t="s">
        <v>113</v>
      </c>
      <c r="B6" s="197">
        <f>SUMPRODUCT(B2:C2,B3:C3)</f>
        <v>3770</v>
      </c>
      <c r="C6" t="str">
        <f ca="1">_xlfn.FORMULATEXT(B6)</f>
        <v>=SUMPRODUCT(B2:C2;B3:C3)</v>
      </c>
    </row>
    <row r="8" spans="1:7">
      <c r="A8" s="195" t="s">
        <v>244</v>
      </c>
      <c r="D8" s="21" t="s">
        <v>226</v>
      </c>
      <c r="E8" s="198" t="s">
        <v>225</v>
      </c>
      <c r="F8" s="180" t="s">
        <v>227</v>
      </c>
    </row>
    <row r="9" spans="1:7">
      <c r="A9" s="12" t="s">
        <v>392</v>
      </c>
      <c r="B9" s="12">
        <v>30</v>
      </c>
      <c r="C9" s="12">
        <v>0.5</v>
      </c>
      <c r="D9" s="12">
        <f>SUMPRODUCT($B$2:$C$2,B9:C9)</f>
        <v>1330</v>
      </c>
      <c r="E9" s="12" t="s">
        <v>228</v>
      </c>
      <c r="F9" s="12">
        <v>2000</v>
      </c>
      <c r="G9" t="str">
        <f ca="1">_xlfn.FORMULATEXT(D9)</f>
        <v>=SUMPRODUCT($B$2:$C$2;B9:C9)</v>
      </c>
    </row>
    <row r="10" spans="1:7">
      <c r="A10" s="12" t="s">
        <v>393</v>
      </c>
      <c r="B10" s="12">
        <v>18</v>
      </c>
      <c r="C10" s="12">
        <v>0.4</v>
      </c>
      <c r="D10" s="12">
        <f t="shared" ref="D10:D11" si="0">SUMPRODUCT($B$2:$C$2,B10:C10)</f>
        <v>800</v>
      </c>
      <c r="E10" s="12" t="s">
        <v>228</v>
      </c>
      <c r="F10" s="12">
        <v>800</v>
      </c>
      <c r="G10" t="str">
        <f t="shared" ref="G10:G11" ca="1" si="1">_xlfn.FORMULATEXT(D10)</f>
        <v>=SUMPRODUCT($B$2:$C$2;B10:C10)</v>
      </c>
    </row>
    <row r="11" spans="1:7">
      <c r="A11" s="12" t="s">
        <v>394</v>
      </c>
      <c r="B11" s="12">
        <v>2</v>
      </c>
      <c r="C11" s="12">
        <v>0.1</v>
      </c>
      <c r="D11" s="12">
        <f t="shared" si="0"/>
        <v>90</v>
      </c>
      <c r="E11" s="12" t="s">
        <v>228</v>
      </c>
      <c r="F11" s="12">
        <v>200</v>
      </c>
      <c r="G11" t="str">
        <f t="shared" ca="1" si="1"/>
        <v>=SUMPRODUCT($B$2:$C$2;B11:C11)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09A2B-9921-48E5-A8DC-E3DE2ABA176D}">
  <dimension ref="B1:G14"/>
  <sheetViews>
    <sheetView workbookViewId="0">
      <selection activeCell="J14" sqref="J14"/>
    </sheetView>
  </sheetViews>
  <sheetFormatPr defaultRowHeight="14.5"/>
  <sheetData>
    <row r="1" spans="2:7">
      <c r="B1" t="s">
        <v>399</v>
      </c>
      <c r="C1" s="7" t="s">
        <v>396</v>
      </c>
      <c r="D1" s="7" t="s">
        <v>395</v>
      </c>
    </row>
    <row r="2" spans="2:7">
      <c r="C2" s="36">
        <v>2</v>
      </c>
      <c r="D2" s="36">
        <v>6</v>
      </c>
      <c r="E2" s="7"/>
    </row>
    <row r="3" spans="2:7">
      <c r="B3" t="s">
        <v>398</v>
      </c>
      <c r="C3" s="194">
        <v>5</v>
      </c>
      <c r="D3" s="194">
        <v>7</v>
      </c>
      <c r="E3" s="7"/>
    </row>
    <row r="5" spans="2:7">
      <c r="B5" t="s">
        <v>397</v>
      </c>
      <c r="C5" s="7">
        <v>3</v>
      </c>
      <c r="D5" s="7">
        <v>1.5</v>
      </c>
    </row>
    <row r="8" spans="2:7">
      <c r="B8" t="s">
        <v>400</v>
      </c>
      <c r="C8" s="199">
        <f>SUMPRODUCT(C2:D2,C3:D3)</f>
        <v>52</v>
      </c>
    </row>
    <row r="10" spans="2:7">
      <c r="E10" s="7" t="s">
        <v>226</v>
      </c>
      <c r="F10" s="7" t="s">
        <v>225</v>
      </c>
      <c r="G10" s="7" t="s">
        <v>227</v>
      </c>
    </row>
    <row r="11" spans="2:7">
      <c r="B11" s="38" t="s">
        <v>396</v>
      </c>
      <c r="C11" s="12">
        <v>1</v>
      </c>
      <c r="D11" s="12"/>
      <c r="E11" s="12">
        <f>SUMPRODUCT($C$2:$D$2,C11:D11)</f>
        <v>2</v>
      </c>
      <c r="F11" s="12" t="s">
        <v>228</v>
      </c>
      <c r="G11" s="12">
        <v>4</v>
      </c>
    </row>
    <row r="12" spans="2:7">
      <c r="B12" s="38" t="s">
        <v>395</v>
      </c>
      <c r="C12" s="12"/>
      <c r="D12" s="12">
        <v>1</v>
      </c>
      <c r="E12" s="12">
        <f>SUMPRODUCT($C$2:$D$2,C12:D12)</f>
        <v>6</v>
      </c>
      <c r="F12" s="12" t="s">
        <v>228</v>
      </c>
      <c r="G12" s="12">
        <v>6</v>
      </c>
    </row>
    <row r="13" spans="2:7">
      <c r="B13" s="38" t="s">
        <v>401</v>
      </c>
      <c r="C13" s="12">
        <v>3</v>
      </c>
      <c r="D13" s="12">
        <v>1.5</v>
      </c>
      <c r="E13" s="12">
        <f>SUMPRODUCT($C$2:$D$2,C13:D13)</f>
        <v>15</v>
      </c>
      <c r="F13" s="12" t="s">
        <v>228</v>
      </c>
      <c r="G13" s="12">
        <v>15</v>
      </c>
    </row>
    <row r="14" spans="2:7">
      <c r="B14" s="38"/>
      <c r="C14" s="12"/>
      <c r="D14" s="12"/>
      <c r="E14" s="12"/>
      <c r="F14" s="12"/>
      <c r="G14" s="12"/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1A1FFD-FA6B-4FFD-977A-052D637F4081}">
  <dimension ref="A4:K16"/>
  <sheetViews>
    <sheetView workbookViewId="0">
      <selection activeCell="U27" sqref="U27"/>
    </sheetView>
  </sheetViews>
  <sheetFormatPr defaultRowHeight="14.5"/>
  <cols>
    <col min="1" max="1" width="16.453125" customWidth="1"/>
    <col min="2" max="8" width="8" customWidth="1"/>
    <col min="9" max="9" width="7.36328125" customWidth="1"/>
    <col min="10" max="10" width="6.54296875" customWidth="1"/>
    <col min="11" max="11" width="7.36328125" customWidth="1"/>
  </cols>
  <sheetData>
    <row r="4" spans="1:11">
      <c r="A4" s="13" t="s">
        <v>218</v>
      </c>
      <c r="B4" s="13" t="s">
        <v>402</v>
      </c>
      <c r="C4" s="13" t="s">
        <v>403</v>
      </c>
      <c r="D4" s="13" t="s">
        <v>404</v>
      </c>
      <c r="E4" s="13" t="s">
        <v>405</v>
      </c>
      <c r="F4" s="13" t="s">
        <v>406</v>
      </c>
      <c r="G4" s="13" t="s">
        <v>407</v>
      </c>
      <c r="H4" s="13" t="s">
        <v>408</v>
      </c>
    </row>
    <row r="5" spans="1:11">
      <c r="A5" s="13" t="s">
        <v>409</v>
      </c>
      <c r="B5" s="200">
        <v>0</v>
      </c>
      <c r="C5" s="200">
        <v>0</v>
      </c>
      <c r="D5" s="200">
        <v>1</v>
      </c>
      <c r="E5" s="200">
        <v>1</v>
      </c>
      <c r="F5" s="200">
        <v>1</v>
      </c>
      <c r="G5" s="200">
        <v>1</v>
      </c>
      <c r="H5" s="200">
        <v>0</v>
      </c>
    </row>
    <row r="6" spans="1:11">
      <c r="B6" s="7">
        <v>50</v>
      </c>
      <c r="C6" s="7">
        <v>80</v>
      </c>
      <c r="D6" s="7">
        <v>90</v>
      </c>
      <c r="E6" s="7">
        <v>120</v>
      </c>
      <c r="F6" s="7">
        <v>110</v>
      </c>
      <c r="G6" s="7">
        <v>40</v>
      </c>
      <c r="H6" s="7">
        <v>75</v>
      </c>
      <c r="I6" t="s">
        <v>411</v>
      </c>
    </row>
    <row r="8" spans="1:11">
      <c r="A8" s="4" t="s">
        <v>223</v>
      </c>
    </row>
    <row r="9" spans="1:11">
      <c r="A9" s="5" t="s">
        <v>410</v>
      </c>
      <c r="B9" s="244">
        <f>SUMPRODUCT(B5:H5,B6:H6)</f>
        <v>360</v>
      </c>
      <c r="C9" s="244"/>
      <c r="D9" t="s">
        <v>411</v>
      </c>
      <c r="E9" t="str">
        <f ca="1">_xlfn.FORMULATEXT(B9)</f>
        <v>=SUMPRODUCT(B5:H5;B6:H6)</v>
      </c>
    </row>
    <row r="12" spans="1:11">
      <c r="A12" s="8" t="s">
        <v>244</v>
      </c>
      <c r="I12" s="21" t="s">
        <v>226</v>
      </c>
      <c r="J12" s="198" t="s">
        <v>225</v>
      </c>
      <c r="K12" s="180" t="s">
        <v>227</v>
      </c>
    </row>
    <row r="13" spans="1:11">
      <c r="A13" s="12" t="s">
        <v>412</v>
      </c>
      <c r="B13" s="12">
        <v>1</v>
      </c>
      <c r="C13" s="12"/>
      <c r="D13" s="12"/>
      <c r="E13" s="12">
        <v>1</v>
      </c>
      <c r="F13" s="12">
        <v>1</v>
      </c>
      <c r="G13" s="12"/>
      <c r="H13" s="12"/>
      <c r="I13" s="12">
        <f>SUMPRODUCT($B$5:$H$5,B13:H13)</f>
        <v>2</v>
      </c>
      <c r="J13" s="12" t="s">
        <v>413</v>
      </c>
      <c r="K13" s="12">
        <v>2</v>
      </c>
    </row>
    <row r="14" spans="1:11">
      <c r="A14" s="12" t="s">
        <v>414</v>
      </c>
      <c r="B14" s="12"/>
      <c r="C14" s="12">
        <v>1</v>
      </c>
      <c r="D14" s="12">
        <v>1</v>
      </c>
      <c r="E14" s="12"/>
      <c r="F14" s="12"/>
      <c r="G14" s="12"/>
      <c r="H14" s="12"/>
      <c r="I14" s="12">
        <f>SUMPRODUCT($B$5:$H$5,B14:H14)</f>
        <v>1</v>
      </c>
      <c r="J14" s="12" t="s">
        <v>228</v>
      </c>
      <c r="K14" s="12">
        <v>1</v>
      </c>
    </row>
    <row r="15" spans="1:11">
      <c r="A15" s="12" t="s">
        <v>415</v>
      </c>
      <c r="B15" s="12"/>
      <c r="C15" s="12"/>
      <c r="D15" s="12"/>
      <c r="E15" s="12"/>
      <c r="F15" s="12"/>
      <c r="G15" s="12">
        <v>1</v>
      </c>
      <c r="H15" s="12">
        <v>1</v>
      </c>
      <c r="I15" s="12">
        <f>SUMPRODUCT($B$5:$H$5,B15:H15)</f>
        <v>1</v>
      </c>
      <c r="J15" s="179" t="s">
        <v>311</v>
      </c>
      <c r="K15" s="12">
        <v>1</v>
      </c>
    </row>
    <row r="16" spans="1:11">
      <c r="A16" s="12" t="s">
        <v>416</v>
      </c>
      <c r="B16" s="12">
        <v>480</v>
      </c>
      <c r="C16" s="12">
        <v>540</v>
      </c>
      <c r="D16" s="12">
        <v>680</v>
      </c>
      <c r="E16" s="12">
        <v>1000</v>
      </c>
      <c r="F16" s="12">
        <v>700</v>
      </c>
      <c r="G16" s="12">
        <v>510</v>
      </c>
      <c r="H16" s="12">
        <v>900</v>
      </c>
      <c r="I16" s="12">
        <f>SUMPRODUCT($B$5:$H$5,B16:H16)</f>
        <v>2890</v>
      </c>
      <c r="J16" s="12" t="s">
        <v>228</v>
      </c>
      <c r="K16" s="12">
        <v>3000</v>
      </c>
    </row>
  </sheetData>
  <mergeCells count="1">
    <mergeCell ref="B9:C9"/>
  </mergeCells>
  <phoneticPr fontId="10" type="noConversion"/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901CF1-0848-45AE-B582-CB6F344AB8B6}">
  <dimension ref="A1:F16"/>
  <sheetViews>
    <sheetView workbookViewId="0">
      <selection activeCell="A13" sqref="A13"/>
    </sheetView>
  </sheetViews>
  <sheetFormatPr defaultRowHeight="14.5"/>
  <cols>
    <col min="1" max="1" width="17.26953125" bestFit="1" customWidth="1"/>
    <col min="2" max="6" width="10.7265625" customWidth="1"/>
  </cols>
  <sheetData>
    <row r="1" spans="1:6">
      <c r="B1" s="12" t="s">
        <v>241</v>
      </c>
      <c r="C1" s="12" t="s">
        <v>242</v>
      </c>
    </row>
    <row r="2" spans="1:6">
      <c r="B2" s="202">
        <v>0.93023256126453513</v>
      </c>
      <c r="C2" s="202">
        <v>6.9767438735465051E-2</v>
      </c>
    </row>
    <row r="4" spans="1:6">
      <c r="A4" s="73" t="s">
        <v>417</v>
      </c>
    </row>
    <row r="5" spans="1:6">
      <c r="A5" s="73"/>
      <c r="B5" s="13" t="s">
        <v>418</v>
      </c>
      <c r="C5" s="13" t="s">
        <v>419</v>
      </c>
      <c r="D5" s="13" t="s">
        <v>420</v>
      </c>
    </row>
    <row r="6" spans="1:6">
      <c r="A6" s="73" t="s">
        <v>423</v>
      </c>
      <c r="B6" s="12">
        <f>B2^2</f>
        <v>0.86533261803677708</v>
      </c>
      <c r="C6" s="12">
        <f>B2*C2</f>
        <v>6.4899943227758189E-2</v>
      </c>
      <c r="D6" s="12">
        <f>C2^2</f>
        <v>4.8674955077068691E-3</v>
      </c>
    </row>
    <row r="7" spans="1:6">
      <c r="A7" s="73"/>
      <c r="B7" s="201" t="str">
        <f ca="1">_xlfn.FORMULATEXT(B6)</f>
        <v>=B2^2</v>
      </c>
      <c r="C7" s="201" t="str">
        <f t="shared" ref="C7:D7" ca="1" si="0">_xlfn.FORMULATEXT(C6)</f>
        <v>=B2*C2</v>
      </c>
      <c r="D7" s="201" t="str">
        <f t="shared" ca="1" si="0"/>
        <v>=C2^2</v>
      </c>
    </row>
    <row r="8" spans="1:6">
      <c r="A8" s="73"/>
      <c r="B8" s="12">
        <v>0.16</v>
      </c>
      <c r="C8" s="12">
        <v>0.2</v>
      </c>
      <c r="D8" s="12">
        <v>0.9</v>
      </c>
    </row>
    <row r="9" spans="1:6">
      <c r="A9" s="73"/>
    </row>
    <row r="10" spans="1:6">
      <c r="A10" s="73" t="s">
        <v>301</v>
      </c>
    </row>
    <row r="11" spans="1:6">
      <c r="A11" s="73" t="s">
        <v>421</v>
      </c>
      <c r="B11" s="176">
        <f>SUMPRODUCT(B6:D6,B8:D8)</f>
        <v>0.15581395348837215</v>
      </c>
      <c r="C11" t="str">
        <f ca="1">_xlfn.FORMULATEXT(B11)</f>
        <v>=SUMPRODUCT(B6:D6;B8:D8)</v>
      </c>
    </row>
    <row r="12" spans="1:6">
      <c r="A12" s="73"/>
    </row>
    <row r="13" spans="1:6">
      <c r="A13" s="73" t="s">
        <v>422</v>
      </c>
      <c r="B13" s="7"/>
      <c r="C13" s="7"/>
      <c r="D13" s="21" t="s">
        <v>226</v>
      </c>
      <c r="E13" s="198" t="s">
        <v>225</v>
      </c>
      <c r="F13" s="180" t="s">
        <v>227</v>
      </c>
    </row>
    <row r="14" spans="1:6">
      <c r="A14" s="193" t="s">
        <v>424</v>
      </c>
      <c r="B14" s="12">
        <v>1</v>
      </c>
      <c r="C14" s="12">
        <v>1</v>
      </c>
      <c r="D14" s="113">
        <f>SUMPRODUCT($B$2:$C$2,B14:C14)</f>
        <v>1.0000000000000002</v>
      </c>
      <c r="E14" s="12" t="s">
        <v>228</v>
      </c>
      <c r="F14" s="113">
        <v>1</v>
      </c>
    </row>
    <row r="15" spans="1:6">
      <c r="A15" s="193" t="s">
        <v>425</v>
      </c>
      <c r="B15" s="113">
        <v>0.11</v>
      </c>
      <c r="C15" s="113">
        <v>0.08</v>
      </c>
      <c r="D15" s="113">
        <f>SUMPRODUCT($B$2:$C$2,B15:C15)</f>
        <v>0.10790697683793607</v>
      </c>
      <c r="E15" s="12" t="s">
        <v>233</v>
      </c>
      <c r="F15" s="113">
        <v>0.09</v>
      </c>
    </row>
    <row r="16" spans="1:6">
      <c r="A16" s="38"/>
      <c r="B16" s="12"/>
      <c r="C16" s="12"/>
      <c r="D16" s="12"/>
      <c r="E16" s="12"/>
      <c r="F16" s="12"/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EADA42-87C7-4D2B-B85B-70846A50ACAC}">
  <dimension ref="A1:F10"/>
  <sheetViews>
    <sheetView workbookViewId="0">
      <selection activeCell="A9" sqref="A9"/>
    </sheetView>
  </sheetViews>
  <sheetFormatPr defaultRowHeight="14.5"/>
  <cols>
    <col min="1" max="1" width="15.81640625" bestFit="1" customWidth="1"/>
  </cols>
  <sheetData>
    <row r="1" spans="1:6">
      <c r="B1" s="180" t="s">
        <v>427</v>
      </c>
      <c r="C1" s="180" t="s">
        <v>426</v>
      </c>
      <c r="D1" s="180" t="s">
        <v>429</v>
      </c>
      <c r="E1" s="180" t="s">
        <v>430</v>
      </c>
    </row>
    <row r="2" spans="1:6">
      <c r="B2" s="36">
        <v>10</v>
      </c>
      <c r="C2" s="36">
        <v>15</v>
      </c>
      <c r="D2" s="204">
        <f>4-0.1*B2</f>
        <v>3</v>
      </c>
      <c r="E2" s="204">
        <f>5-0.02*C2</f>
        <v>4.7</v>
      </c>
    </row>
    <row r="3" spans="1:6">
      <c r="B3" s="7"/>
      <c r="C3" s="7"/>
      <c r="D3" s="7"/>
      <c r="E3" s="7"/>
    </row>
    <row r="4" spans="1:6">
      <c r="A4" s="73" t="s">
        <v>223</v>
      </c>
      <c r="B4" s="7"/>
      <c r="C4" s="7"/>
    </row>
    <row r="5" spans="1:6">
      <c r="A5" s="73" t="s">
        <v>93</v>
      </c>
      <c r="B5" s="176">
        <f>B2*D2+C2*E2</f>
        <v>100.5</v>
      </c>
      <c r="C5" t="s">
        <v>411</v>
      </c>
      <c r="D5" t="str">
        <f ca="1" xml:space="preserve"> _xlfn.FORMULATEXT(B5)</f>
        <v>=B2*D2+C2*E2</v>
      </c>
    </row>
    <row r="6" spans="1:6">
      <c r="A6" s="73"/>
    </row>
    <row r="7" spans="1:6">
      <c r="A7" s="73"/>
    </row>
    <row r="8" spans="1:6">
      <c r="A8" s="73"/>
    </row>
    <row r="9" spans="1:6">
      <c r="A9" s="73" t="s">
        <v>244</v>
      </c>
      <c r="D9" s="203" t="s">
        <v>226</v>
      </c>
      <c r="E9" s="178" t="s">
        <v>225</v>
      </c>
      <c r="F9" s="180" t="s">
        <v>227</v>
      </c>
    </row>
    <row r="10" spans="1:6">
      <c r="A10" s="205" t="s">
        <v>428</v>
      </c>
      <c r="B10" s="12">
        <v>1</v>
      </c>
      <c r="C10" s="12">
        <v>2</v>
      </c>
      <c r="D10" s="12">
        <f>SUMPRODUCT($B$2:$C$2,B10:C10)</f>
        <v>40</v>
      </c>
      <c r="E10" s="12" t="s">
        <v>228</v>
      </c>
      <c r="F10" s="12">
        <v>40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06F135-548F-46BA-BA69-253118F1C1D3}">
  <dimension ref="A1:G12"/>
  <sheetViews>
    <sheetView zoomScaleNormal="100" workbookViewId="0">
      <selection activeCell="G16" sqref="G16"/>
    </sheetView>
  </sheetViews>
  <sheetFormatPr defaultRowHeight="14.5"/>
  <cols>
    <col min="2" max="2" width="20.26953125" customWidth="1"/>
    <col min="3" max="3" width="14.81640625" bestFit="1" customWidth="1"/>
    <col min="4" max="4" width="10.81640625" bestFit="1" customWidth="1"/>
    <col min="7" max="7" width="12.54296875" customWidth="1"/>
  </cols>
  <sheetData>
    <row r="1" spans="1:7">
      <c r="C1" s="180" t="s">
        <v>431</v>
      </c>
      <c r="D1" s="180" t="s">
        <v>432</v>
      </c>
    </row>
    <row r="2" spans="1:7">
      <c r="C2" s="36">
        <v>35</v>
      </c>
      <c r="D2" s="36">
        <v>50</v>
      </c>
    </row>
    <row r="3" spans="1:7">
      <c r="B3" s="73" t="s">
        <v>433</v>
      </c>
      <c r="C3" s="194">
        <v>80</v>
      </c>
      <c r="D3" s="194">
        <v>45</v>
      </c>
    </row>
    <row r="4" spans="1:7">
      <c r="B4" s="73" t="s">
        <v>434</v>
      </c>
      <c r="C4" s="7">
        <v>3</v>
      </c>
      <c r="D4" s="7">
        <v>5</v>
      </c>
    </row>
    <row r="5" spans="1:7">
      <c r="B5" s="73" t="s">
        <v>435</v>
      </c>
      <c r="C5" s="7">
        <v>4</v>
      </c>
      <c r="D5" s="7">
        <v>2</v>
      </c>
    </row>
    <row r="7" spans="1:7">
      <c r="B7" s="73" t="s">
        <v>64</v>
      </c>
      <c r="C7" s="197">
        <f>SUMPRODUCT(C2:D2,C3:D3)</f>
        <v>5050</v>
      </c>
    </row>
    <row r="10" spans="1:7">
      <c r="B10" s="73" t="s">
        <v>244</v>
      </c>
      <c r="E10" s="7" t="s">
        <v>226</v>
      </c>
      <c r="F10" s="7" t="s">
        <v>225</v>
      </c>
      <c r="G10" s="7" t="s">
        <v>227</v>
      </c>
    </row>
    <row r="11" spans="1:7">
      <c r="A11" s="7"/>
      <c r="B11" s="193" t="s">
        <v>436</v>
      </c>
      <c r="C11" s="12">
        <v>1</v>
      </c>
      <c r="D11" s="12">
        <v>1</v>
      </c>
      <c r="E11" s="12">
        <f>SUMPRODUCT($C$2:$D$2,C4:D4)</f>
        <v>355</v>
      </c>
      <c r="F11" s="12" t="s">
        <v>228</v>
      </c>
      <c r="G11" s="12">
        <v>360</v>
      </c>
    </row>
    <row r="12" spans="1:7">
      <c r="A12" s="7"/>
      <c r="B12" s="193" t="s">
        <v>437</v>
      </c>
      <c r="C12" s="12">
        <v>1</v>
      </c>
      <c r="D12" s="12">
        <v>1</v>
      </c>
      <c r="E12" s="12">
        <f>SUMPRODUCT($C$2:$D$2,C5:D5)</f>
        <v>240</v>
      </c>
      <c r="F12" s="12" t="s">
        <v>228</v>
      </c>
      <c r="G12" s="12">
        <v>240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5E030A-0469-46DD-8CF0-94E3EBFF5797}">
  <dimension ref="C4:D12"/>
  <sheetViews>
    <sheetView workbookViewId="0">
      <selection activeCell="K25" sqref="K25"/>
    </sheetView>
  </sheetViews>
  <sheetFormatPr defaultRowHeight="14.5"/>
  <cols>
    <col min="4" max="4" width="14.81640625" bestFit="1" customWidth="1"/>
    <col min="5" max="5" width="10.81640625" bestFit="1" customWidth="1"/>
  </cols>
  <sheetData>
    <row r="4" spans="3:4">
      <c r="C4" s="8" t="s">
        <v>438</v>
      </c>
      <c r="D4" s="206">
        <v>3.7999999843750007</v>
      </c>
    </row>
    <row r="5" spans="3:4">
      <c r="C5" s="207" t="s">
        <v>439</v>
      </c>
      <c r="D5" s="204">
        <f>-10000*D4</f>
        <v>-37999.999843750011</v>
      </c>
    </row>
    <row r="6" spans="3:4">
      <c r="C6" s="4" t="s">
        <v>35</v>
      </c>
      <c r="D6" s="204">
        <f>D5+70000</f>
        <v>32000.000156249989</v>
      </c>
    </row>
    <row r="7" spans="3:4">
      <c r="C7" s="4"/>
    </row>
    <row r="8" spans="3:4">
      <c r="C8" s="8" t="s">
        <v>28</v>
      </c>
      <c r="D8" s="194">
        <f>D6*D4</f>
        <v>121600.00009374999</v>
      </c>
    </row>
    <row r="9" spans="3:4">
      <c r="C9" s="8" t="s">
        <v>441</v>
      </c>
      <c r="D9" s="194">
        <v>0.6</v>
      </c>
    </row>
    <row r="10" spans="3:4">
      <c r="C10" s="8" t="s">
        <v>440</v>
      </c>
      <c r="D10" s="194">
        <v>2500</v>
      </c>
    </row>
    <row r="11" spans="3:4">
      <c r="C11" s="8"/>
    </row>
    <row r="12" spans="3:4">
      <c r="C12" s="8" t="s">
        <v>64</v>
      </c>
      <c r="D12" s="199">
        <f>D8-D10-(D9*D6)</f>
        <v>99900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F30091-D774-4AE4-B9DD-991205256FFC}">
  <dimension ref="A1:V78"/>
  <sheetViews>
    <sheetView tabSelected="1" zoomScale="70" zoomScaleNormal="70" workbookViewId="0">
      <selection sqref="A1:L1"/>
    </sheetView>
  </sheetViews>
  <sheetFormatPr defaultColWidth="9.1796875" defaultRowHeight="14.5"/>
  <cols>
    <col min="1" max="1" width="12.7265625" style="7" bestFit="1" customWidth="1"/>
    <col min="2" max="2" width="17" style="7" customWidth="1"/>
    <col min="3" max="4" width="17.54296875" style="7" customWidth="1"/>
    <col min="5" max="7" width="14.1796875" style="7" customWidth="1"/>
    <col min="8" max="8" width="12.7265625" style="7" customWidth="1"/>
    <col min="9" max="9" width="15" style="7" customWidth="1"/>
    <col min="10" max="10" width="7.7265625" style="7" customWidth="1"/>
    <col min="11" max="11" width="17.7265625" style="7" bestFit="1" customWidth="1"/>
    <col min="12" max="13" width="16.1796875" style="7" customWidth="1"/>
    <col min="14" max="14" width="38" style="7" customWidth="1"/>
    <col min="15" max="22" width="13.81640625" style="7" customWidth="1"/>
    <col min="23" max="16384" width="9.1796875" style="7"/>
  </cols>
  <sheetData>
    <row r="1" spans="1:17" ht="21.5" thickBot="1">
      <c r="A1" s="245" t="s">
        <v>171</v>
      </c>
      <c r="B1" s="245"/>
      <c r="C1" s="245"/>
      <c r="D1" s="245"/>
      <c r="E1" s="245"/>
      <c r="F1" s="245"/>
      <c r="G1" s="245"/>
      <c r="H1" s="245"/>
      <c r="I1" s="245"/>
      <c r="J1" s="245"/>
      <c r="K1" s="245"/>
      <c r="L1" s="245"/>
      <c r="M1"/>
    </row>
    <row r="2" spans="1:17" ht="16" thickTop="1">
      <c r="A2" s="124" t="s">
        <v>172</v>
      </c>
    </row>
    <row r="3" spans="1:17">
      <c r="B3" s="117" t="s">
        <v>167</v>
      </c>
      <c r="C3" s="13" t="s">
        <v>173</v>
      </c>
      <c r="D3" s="13" t="s">
        <v>174</v>
      </c>
      <c r="E3" s="13" t="s">
        <v>168</v>
      </c>
      <c r="F3" s="13" t="s">
        <v>169</v>
      </c>
      <c r="G3" s="215" t="s">
        <v>170</v>
      </c>
      <c r="H3" s="13" t="s">
        <v>166</v>
      </c>
      <c r="I3" s="180"/>
      <c r="J3" s="180"/>
      <c r="N3" s="246" t="s">
        <v>175</v>
      </c>
      <c r="O3" s="246"/>
    </row>
    <row r="4" spans="1:17">
      <c r="B4" s="125">
        <v>1</v>
      </c>
      <c r="C4" s="126" t="s">
        <v>176</v>
      </c>
      <c r="D4" s="127">
        <v>1</v>
      </c>
      <c r="E4" s="128">
        <v>250</v>
      </c>
      <c r="F4" s="128">
        <v>100</v>
      </c>
      <c r="G4" s="129">
        <v>100</v>
      </c>
      <c r="H4" s="126">
        <v>60</v>
      </c>
      <c r="N4" s="217" t="s">
        <v>177</v>
      </c>
      <c r="O4" s="212">
        <v>50000</v>
      </c>
      <c r="Q4" s="213"/>
    </row>
    <row r="5" spans="1:17">
      <c r="B5" s="125">
        <v>2</v>
      </c>
      <c r="C5" s="126" t="s">
        <v>176</v>
      </c>
      <c r="D5" s="127">
        <v>0.33</v>
      </c>
      <c r="E5" s="128">
        <v>500</v>
      </c>
      <c r="F5" s="128">
        <v>300</v>
      </c>
      <c r="G5" s="129">
        <v>300</v>
      </c>
      <c r="H5" s="126">
        <v>180</v>
      </c>
      <c r="N5" s="217" t="s">
        <v>178</v>
      </c>
      <c r="O5" s="212">
        <v>10000</v>
      </c>
    </row>
    <row r="6" spans="1:17">
      <c r="B6" s="125">
        <v>3</v>
      </c>
      <c r="C6" s="126" t="s">
        <v>176</v>
      </c>
      <c r="D6" s="127">
        <v>0.5</v>
      </c>
      <c r="E6" s="128">
        <v>100</v>
      </c>
      <c r="F6" s="128">
        <v>200</v>
      </c>
      <c r="G6" s="129">
        <v>400</v>
      </c>
      <c r="H6" s="126">
        <v>80</v>
      </c>
      <c r="N6" s="217" t="s">
        <v>179</v>
      </c>
      <c r="O6" s="212">
        <v>4000</v>
      </c>
    </row>
    <row r="7" spans="1:17">
      <c r="B7" s="125">
        <v>4</v>
      </c>
      <c r="C7" s="126" t="s">
        <v>176</v>
      </c>
      <c r="D7" s="127">
        <v>1</v>
      </c>
      <c r="E7" s="128">
        <v>750</v>
      </c>
      <c r="F7" s="128">
        <v>500</v>
      </c>
      <c r="G7" s="129">
        <v>300</v>
      </c>
      <c r="H7" s="126">
        <v>310</v>
      </c>
      <c r="N7" s="217" t="s">
        <v>180</v>
      </c>
      <c r="O7" s="214">
        <v>0.12</v>
      </c>
    </row>
    <row r="8" spans="1:17">
      <c r="B8" s="125">
        <v>5</v>
      </c>
      <c r="C8" s="126" t="s">
        <v>176</v>
      </c>
      <c r="D8" s="127">
        <v>0.75</v>
      </c>
      <c r="E8" s="128">
        <v>200</v>
      </c>
      <c r="F8" s="128">
        <v>400</v>
      </c>
      <c r="G8" s="129">
        <v>800</v>
      </c>
      <c r="H8" s="126">
        <v>220</v>
      </c>
    </row>
    <row r="9" spans="1:17">
      <c r="B9" s="134">
        <v>6</v>
      </c>
      <c r="C9" s="135" t="s">
        <v>181</v>
      </c>
      <c r="D9" s="136">
        <v>0.5</v>
      </c>
      <c r="E9" s="137">
        <v>1000</v>
      </c>
      <c r="F9" s="137">
        <v>300</v>
      </c>
      <c r="G9" s="138">
        <v>300</v>
      </c>
      <c r="H9" s="135">
        <v>180</v>
      </c>
      <c r="N9" s="247" t="s">
        <v>182</v>
      </c>
      <c r="O9" s="248"/>
    </row>
    <row r="10" spans="1:17">
      <c r="B10" s="134">
        <v>7</v>
      </c>
      <c r="C10" s="135" t="s">
        <v>181</v>
      </c>
      <c r="D10" s="136">
        <v>1</v>
      </c>
      <c r="E10" s="137">
        <v>750</v>
      </c>
      <c r="F10" s="137">
        <v>750</v>
      </c>
      <c r="G10" s="138">
        <v>300</v>
      </c>
      <c r="H10" s="135">
        <v>410</v>
      </c>
      <c r="N10" s="175" t="s">
        <v>183</v>
      </c>
      <c r="O10" s="12">
        <f>IF(D38&lt;4000,1,0)</f>
        <v>1</v>
      </c>
    </row>
    <row r="11" spans="1:17">
      <c r="B11" s="134">
        <v>8</v>
      </c>
      <c r="C11" s="135" t="s">
        <v>181</v>
      </c>
      <c r="D11" s="136">
        <v>1</v>
      </c>
      <c r="E11" s="137">
        <v>800</v>
      </c>
      <c r="F11" s="137">
        <v>700</v>
      </c>
      <c r="G11" s="138">
        <v>600</v>
      </c>
      <c r="H11" s="135">
        <v>280</v>
      </c>
      <c r="N11" s="175" t="s">
        <v>184</v>
      </c>
      <c r="O11" s="12">
        <f>IF(E38&lt;4000,1,0)</f>
        <v>1</v>
      </c>
    </row>
    <row r="12" spans="1:17">
      <c r="B12" s="134">
        <v>9</v>
      </c>
      <c r="C12" s="135" t="s">
        <v>181</v>
      </c>
      <c r="D12" s="136">
        <v>0.67</v>
      </c>
      <c r="E12" s="137">
        <v>400</v>
      </c>
      <c r="F12" s="137">
        <v>600</v>
      </c>
      <c r="G12" s="138">
        <v>800</v>
      </c>
      <c r="H12" s="135">
        <v>380</v>
      </c>
      <c r="N12" s="175" t="s">
        <v>185</v>
      </c>
      <c r="O12" s="12">
        <f>IF(F38&lt;4000,1,0)</f>
        <v>1</v>
      </c>
    </row>
    <row r="13" spans="1:17">
      <c r="B13" s="139">
        <v>10</v>
      </c>
      <c r="C13" s="140" t="s">
        <v>186</v>
      </c>
      <c r="D13" s="141">
        <v>1</v>
      </c>
      <c r="E13" s="142">
        <v>100</v>
      </c>
      <c r="F13" s="142">
        <v>200</v>
      </c>
      <c r="G13" s="143">
        <v>400</v>
      </c>
      <c r="H13" s="140">
        <v>100</v>
      </c>
      <c r="N13" s="175" t="s">
        <v>187</v>
      </c>
      <c r="O13" s="12">
        <f>IF(G38&lt;10000,1,0)</f>
        <v>1</v>
      </c>
    </row>
    <row r="14" spans="1:17">
      <c r="B14" s="139">
        <v>11</v>
      </c>
      <c r="C14" s="140" t="s">
        <v>186</v>
      </c>
      <c r="D14" s="141">
        <v>0.5</v>
      </c>
      <c r="E14" s="142">
        <v>700</v>
      </c>
      <c r="F14" s="142">
        <v>500</v>
      </c>
      <c r="G14" s="143">
        <v>300</v>
      </c>
      <c r="H14" s="140">
        <v>260</v>
      </c>
      <c r="N14" s="175" t="s">
        <v>188</v>
      </c>
      <c r="O14" s="12">
        <f>IF(AND(O15&gt;=1,O16&gt;=1,O17&gt;=1),1,0)</f>
        <v>1</v>
      </c>
    </row>
    <row r="15" spans="1:17">
      <c r="B15" s="139">
        <v>12</v>
      </c>
      <c r="C15" s="140" t="s">
        <v>186</v>
      </c>
      <c r="D15" s="141">
        <v>1</v>
      </c>
      <c r="E15" s="142">
        <v>1500</v>
      </c>
      <c r="F15" s="142">
        <v>400</v>
      </c>
      <c r="G15" s="143">
        <v>400</v>
      </c>
      <c r="H15" s="140">
        <v>340</v>
      </c>
      <c r="N15" s="175" t="s">
        <v>189</v>
      </c>
      <c r="O15" s="12">
        <f>SUM(K19:K23)</f>
        <v>3</v>
      </c>
      <c r="P15" s="12" t="s">
        <v>233</v>
      </c>
      <c r="Q15" s="38">
        <v>1</v>
      </c>
    </row>
    <row r="16" spans="1:17">
      <c r="N16" s="175" t="s">
        <v>190</v>
      </c>
      <c r="O16" s="12">
        <f>SUM(K26:K29)</f>
        <v>4</v>
      </c>
      <c r="P16" s="12" t="s">
        <v>233</v>
      </c>
      <c r="Q16" s="38">
        <v>1</v>
      </c>
    </row>
    <row r="17" spans="1:18">
      <c r="D17" s="242" t="s">
        <v>191</v>
      </c>
      <c r="E17" s="242"/>
      <c r="F17" s="242"/>
      <c r="G17" s="242"/>
      <c r="N17" s="175" t="s">
        <v>192</v>
      </c>
      <c r="O17" s="12">
        <f>SUM(K32:K34)</f>
        <v>1</v>
      </c>
      <c r="P17" s="12" t="s">
        <v>233</v>
      </c>
      <c r="Q17" s="38">
        <v>1</v>
      </c>
    </row>
    <row r="18" spans="1:18">
      <c r="A18" s="117" t="s">
        <v>167</v>
      </c>
      <c r="B18" s="13" t="s">
        <v>173</v>
      </c>
      <c r="C18" s="13" t="s">
        <v>174</v>
      </c>
      <c r="D18" s="13" t="s">
        <v>193</v>
      </c>
      <c r="E18" s="13" t="s">
        <v>194</v>
      </c>
      <c r="F18" s="215" t="s">
        <v>195</v>
      </c>
      <c r="G18" s="13" t="s">
        <v>196</v>
      </c>
      <c r="H18" s="215" t="s">
        <v>166</v>
      </c>
      <c r="I18" s="13" t="s">
        <v>197</v>
      </c>
      <c r="J18" s="13" t="s">
        <v>198</v>
      </c>
      <c r="K18" s="218" t="s">
        <v>199</v>
      </c>
      <c r="L18" s="13" t="s">
        <v>467</v>
      </c>
      <c r="N18" s="175" t="s">
        <v>200</v>
      </c>
      <c r="O18" s="12">
        <f>SUM(O15:O17)</f>
        <v>8</v>
      </c>
      <c r="P18" s="12" t="s">
        <v>233</v>
      </c>
      <c r="Q18" s="38">
        <v>1</v>
      </c>
    </row>
    <row r="19" spans="1:18">
      <c r="A19" s="144">
        <v>1</v>
      </c>
      <c r="B19" s="145" t="s">
        <v>176</v>
      </c>
      <c r="C19" s="113">
        <v>1</v>
      </c>
      <c r="D19" s="146">
        <f>E4*C19</f>
        <v>250</v>
      </c>
      <c r="E19" s="146">
        <f>F4*C19</f>
        <v>100</v>
      </c>
      <c r="F19" s="147">
        <f>G4*C19</f>
        <v>100</v>
      </c>
      <c r="G19" s="147">
        <f>SUM(D19,E19,F19)</f>
        <v>450</v>
      </c>
      <c r="H19" s="147">
        <f>H4</f>
        <v>60</v>
      </c>
      <c r="I19" s="146">
        <f>H19*(1-$O$7)</f>
        <v>52.8</v>
      </c>
      <c r="J19" s="113" t="str">
        <f>IF(K19=0,"",I19/SUM(E4:G4))</f>
        <v/>
      </c>
      <c r="K19" s="219">
        <v>0</v>
      </c>
      <c r="L19" s="12" t="e">
        <f>MATCH(1,B63:I63,0)</f>
        <v>#N/A</v>
      </c>
    </row>
    <row r="20" spans="1:18" ht="15.5">
      <c r="A20" s="144">
        <v>2</v>
      </c>
      <c r="B20" s="145" t="s">
        <v>176</v>
      </c>
      <c r="C20" s="113">
        <v>0.33</v>
      </c>
      <c r="D20" s="146">
        <f>E5*C20</f>
        <v>165</v>
      </c>
      <c r="E20" s="146">
        <f t="shared" ref="E20:E23" si="0">F5*C20</f>
        <v>99</v>
      </c>
      <c r="F20" s="147">
        <f t="shared" ref="F20:F23" si="1">G5*C20</f>
        <v>99</v>
      </c>
      <c r="G20" s="147">
        <f>SUM(D20,E20,F20)</f>
        <v>363</v>
      </c>
      <c r="H20" s="147">
        <f t="shared" ref="H20:H23" si="2">H5</f>
        <v>180</v>
      </c>
      <c r="I20" s="146">
        <f t="shared" ref="I20:I23" si="3">H20*(1-$O$7)</f>
        <v>158.4</v>
      </c>
      <c r="J20" s="113">
        <f t="shared" ref="J20:J23" si="4">IF(K20=0,"",I20/SUM(E5:G5))</f>
        <v>0.14400000000000002</v>
      </c>
      <c r="K20" s="219">
        <v>1</v>
      </c>
      <c r="L20" s="12">
        <f t="shared" ref="L20:L23" si="5">MATCH(1,B64:I64,0)</f>
        <v>5</v>
      </c>
      <c r="N20" s="13" t="s">
        <v>201</v>
      </c>
      <c r="O20" s="118">
        <f>IF(SUM(O10:O14)=5,1,0)</f>
        <v>1</v>
      </c>
    </row>
    <row r="21" spans="1:18">
      <c r="A21" s="144">
        <v>3</v>
      </c>
      <c r="B21" s="145" t="s">
        <v>176</v>
      </c>
      <c r="C21" s="113">
        <v>0.5</v>
      </c>
      <c r="D21" s="146">
        <f t="shared" ref="D21:D23" si="6">E6*C21</f>
        <v>50</v>
      </c>
      <c r="E21" s="146">
        <f t="shared" si="0"/>
        <v>100</v>
      </c>
      <c r="F21" s="147">
        <f t="shared" si="1"/>
        <v>200</v>
      </c>
      <c r="G21" s="147">
        <f t="shared" ref="G21:G34" si="7">SUM(D21,E21,F21)</f>
        <v>350</v>
      </c>
      <c r="H21" s="147">
        <f t="shared" si="2"/>
        <v>80</v>
      </c>
      <c r="I21" s="146">
        <f t="shared" si="3"/>
        <v>70.400000000000006</v>
      </c>
      <c r="J21" s="113" t="str">
        <f t="shared" si="4"/>
        <v/>
      </c>
      <c r="K21" s="219">
        <v>0</v>
      </c>
      <c r="L21" s="12" t="e">
        <f t="shared" si="5"/>
        <v>#N/A</v>
      </c>
    </row>
    <row r="22" spans="1:18">
      <c r="A22" s="144">
        <v>4</v>
      </c>
      <c r="B22" s="145" t="s">
        <v>176</v>
      </c>
      <c r="C22" s="148">
        <v>1</v>
      </c>
      <c r="D22" s="146">
        <f t="shared" si="6"/>
        <v>750</v>
      </c>
      <c r="E22" s="146">
        <f t="shared" si="0"/>
        <v>500</v>
      </c>
      <c r="F22" s="147">
        <f t="shared" si="1"/>
        <v>300</v>
      </c>
      <c r="G22" s="147">
        <f t="shared" si="7"/>
        <v>1550</v>
      </c>
      <c r="H22" s="147">
        <f t="shared" si="2"/>
        <v>310</v>
      </c>
      <c r="I22" s="146">
        <f t="shared" si="3"/>
        <v>272.8</v>
      </c>
      <c r="J22" s="113">
        <f t="shared" si="4"/>
        <v>0.17600000000000002</v>
      </c>
      <c r="K22" s="219">
        <v>1</v>
      </c>
      <c r="L22" s="12">
        <f t="shared" si="5"/>
        <v>7</v>
      </c>
    </row>
    <row r="23" spans="1:18">
      <c r="A23" s="144">
        <v>5</v>
      </c>
      <c r="B23" s="145" t="s">
        <v>176</v>
      </c>
      <c r="C23" s="149">
        <v>0.75</v>
      </c>
      <c r="D23" s="146">
        <f t="shared" si="6"/>
        <v>150</v>
      </c>
      <c r="E23" s="146">
        <f t="shared" si="0"/>
        <v>300</v>
      </c>
      <c r="F23" s="147">
        <f t="shared" si="1"/>
        <v>600</v>
      </c>
      <c r="G23" s="146">
        <f t="shared" si="7"/>
        <v>1050</v>
      </c>
      <c r="H23" s="147">
        <f t="shared" si="2"/>
        <v>220</v>
      </c>
      <c r="I23" s="146">
        <f t="shared" si="3"/>
        <v>193.6</v>
      </c>
      <c r="J23" s="113">
        <f t="shared" si="4"/>
        <v>0.13828571428571429</v>
      </c>
      <c r="K23" s="219">
        <v>1</v>
      </c>
      <c r="L23" s="12">
        <f t="shared" si="5"/>
        <v>6</v>
      </c>
    </row>
    <row r="24" spans="1:18">
      <c r="C24" s="8" t="s">
        <v>202</v>
      </c>
      <c r="D24" s="150">
        <f>SUMPRODUCT(D19:D23,K19:K23)</f>
        <v>1065</v>
      </c>
      <c r="E24" s="150">
        <f>SUMPRODUCT(E19:E23,K19:K23)</f>
        <v>899</v>
      </c>
      <c r="F24" s="150">
        <f>SUMPRODUCT(F19:F23,K19:K23)</f>
        <v>999</v>
      </c>
      <c r="G24" s="150">
        <f t="shared" si="7"/>
        <v>2963</v>
      </c>
      <c r="O24" s="180"/>
      <c r="P24" s="222" t="s">
        <v>203</v>
      </c>
      <c r="Q24" s="222"/>
      <c r="R24" s="222"/>
    </row>
    <row r="25" spans="1:18">
      <c r="O25" s="13"/>
      <c r="P25" s="13" t="s">
        <v>204</v>
      </c>
      <c r="Q25" s="13" t="s">
        <v>205</v>
      </c>
      <c r="R25" s="13" t="s">
        <v>206</v>
      </c>
    </row>
    <row r="26" spans="1:18">
      <c r="A26" s="144">
        <v>6</v>
      </c>
      <c r="B26" s="151" t="s">
        <v>181</v>
      </c>
      <c r="C26" s="113">
        <v>0.5</v>
      </c>
      <c r="D26" s="146">
        <f>E9*C26</f>
        <v>500</v>
      </c>
      <c r="E26" s="146">
        <f>F9*C26</f>
        <v>150</v>
      </c>
      <c r="F26" s="147">
        <f>G9*C26</f>
        <v>150</v>
      </c>
      <c r="G26" s="147">
        <f t="shared" si="7"/>
        <v>800</v>
      </c>
      <c r="H26" s="147">
        <f>H9</f>
        <v>180</v>
      </c>
      <c r="I26" s="146">
        <f>H26*(1-$O$7)</f>
        <v>158.4</v>
      </c>
      <c r="J26" s="113">
        <f>IF(K26=0,"",I26/SUM(E9:G9))</f>
        <v>9.9000000000000005E-2</v>
      </c>
      <c r="K26" s="219">
        <v>1</v>
      </c>
      <c r="L26" s="12">
        <f>MATCH(1,B68:I68,0)</f>
        <v>1</v>
      </c>
      <c r="N26" s="249" t="s">
        <v>207</v>
      </c>
      <c r="O26" s="12" t="s">
        <v>176</v>
      </c>
      <c r="P26" s="152">
        <f>D24</f>
        <v>1065</v>
      </c>
      <c r="Q26" s="152">
        <f>E24</f>
        <v>899</v>
      </c>
      <c r="R26" s="152">
        <f>F24</f>
        <v>999</v>
      </c>
    </row>
    <row r="27" spans="1:18">
      <c r="A27" s="144">
        <v>7</v>
      </c>
      <c r="B27" s="151" t="s">
        <v>181</v>
      </c>
      <c r="C27" s="113">
        <v>1</v>
      </c>
      <c r="D27" s="146">
        <f>E10*C27</f>
        <v>750</v>
      </c>
      <c r="E27" s="146">
        <f>F10*C27</f>
        <v>750</v>
      </c>
      <c r="F27" s="147">
        <f>G10*C27</f>
        <v>300</v>
      </c>
      <c r="G27" s="147">
        <f t="shared" si="7"/>
        <v>1800</v>
      </c>
      <c r="H27" s="147">
        <f t="shared" ref="H27:H29" si="8">H10</f>
        <v>410</v>
      </c>
      <c r="I27" s="146">
        <f t="shared" ref="I27:I29" si="9">H27*(1-$O$7)</f>
        <v>360.8</v>
      </c>
      <c r="J27" s="113">
        <f t="shared" ref="J27:J29" si="10">IF(K27=0,"",I27/SUM(E10:G10))</f>
        <v>0.20044444444444445</v>
      </c>
      <c r="K27" s="219">
        <v>1</v>
      </c>
      <c r="L27" s="12">
        <f t="shared" ref="L27:L29" si="11">MATCH(1,B69:I69,0)</f>
        <v>4</v>
      </c>
      <c r="N27" s="249"/>
      <c r="O27" s="12" t="s">
        <v>181</v>
      </c>
      <c r="P27" s="152">
        <f>D30</f>
        <v>2318</v>
      </c>
      <c r="Q27" s="152">
        <f>E30</f>
        <v>2002</v>
      </c>
      <c r="R27" s="152">
        <f>F30</f>
        <v>1586</v>
      </c>
    </row>
    <row r="28" spans="1:18">
      <c r="A28" s="144">
        <v>8</v>
      </c>
      <c r="B28" s="151" t="s">
        <v>181</v>
      </c>
      <c r="C28" s="113">
        <v>1</v>
      </c>
      <c r="D28" s="146">
        <f>E11*C28</f>
        <v>800</v>
      </c>
      <c r="E28" s="146">
        <f>F11*C28</f>
        <v>700</v>
      </c>
      <c r="F28" s="147">
        <f>G11*C28</f>
        <v>600</v>
      </c>
      <c r="G28" s="147">
        <f t="shared" si="7"/>
        <v>2100</v>
      </c>
      <c r="H28" s="147">
        <f t="shared" si="8"/>
        <v>280</v>
      </c>
      <c r="I28" s="146">
        <f t="shared" si="9"/>
        <v>246.4</v>
      </c>
      <c r="J28" s="113">
        <f t="shared" si="10"/>
        <v>0.11733333333333333</v>
      </c>
      <c r="K28" s="219">
        <v>1</v>
      </c>
      <c r="L28" s="12">
        <f t="shared" si="11"/>
        <v>2</v>
      </c>
      <c r="N28" s="249"/>
      <c r="O28" s="12" t="s">
        <v>186</v>
      </c>
      <c r="P28" s="152">
        <f>D35</f>
        <v>350</v>
      </c>
      <c r="Q28" s="152">
        <f>E35</f>
        <v>250</v>
      </c>
      <c r="R28" s="152">
        <f>F35</f>
        <v>150</v>
      </c>
    </row>
    <row r="29" spans="1:18">
      <c r="A29" s="144">
        <v>9</v>
      </c>
      <c r="B29" s="151" t="s">
        <v>181</v>
      </c>
      <c r="C29" s="113">
        <v>0.67</v>
      </c>
      <c r="D29" s="146">
        <f>E12*C29</f>
        <v>268</v>
      </c>
      <c r="E29" s="146">
        <f>F12*C29</f>
        <v>402</v>
      </c>
      <c r="F29" s="147">
        <f>G12*C29</f>
        <v>536</v>
      </c>
      <c r="G29" s="147">
        <f t="shared" si="7"/>
        <v>1206</v>
      </c>
      <c r="H29" s="147">
        <f t="shared" si="8"/>
        <v>380</v>
      </c>
      <c r="I29" s="146">
        <f t="shared" si="9"/>
        <v>334.4</v>
      </c>
      <c r="J29" s="113">
        <f t="shared" si="10"/>
        <v>0.18577777777777776</v>
      </c>
      <c r="K29" s="219">
        <v>1</v>
      </c>
      <c r="L29" s="12">
        <f t="shared" si="11"/>
        <v>3</v>
      </c>
    </row>
    <row r="30" spans="1:18">
      <c r="C30" s="8" t="s">
        <v>209</v>
      </c>
      <c r="D30" s="150">
        <f>SUMPRODUCT(D26:D29,$K$26:$K$29)</f>
        <v>2318</v>
      </c>
      <c r="E30" s="150">
        <f t="shared" ref="E30:F30" si="12">SUMPRODUCT(E26:E29,$K$26:$K$29)</f>
        <v>2002</v>
      </c>
      <c r="F30" s="150">
        <f t="shared" si="12"/>
        <v>1586</v>
      </c>
      <c r="G30" s="152">
        <f>SUM(D30:F30)</f>
        <v>5906</v>
      </c>
    </row>
    <row r="32" spans="1:18">
      <c r="A32" s="144">
        <v>10</v>
      </c>
      <c r="B32" s="153" t="s">
        <v>186</v>
      </c>
      <c r="C32" s="113">
        <v>1</v>
      </c>
      <c r="D32" s="146">
        <f>E13*C32</f>
        <v>100</v>
      </c>
      <c r="E32" s="146">
        <f>F13*C32</f>
        <v>200</v>
      </c>
      <c r="F32" s="147">
        <f>G13*C32</f>
        <v>400</v>
      </c>
      <c r="G32" s="147">
        <f t="shared" si="7"/>
        <v>700</v>
      </c>
      <c r="H32" s="154">
        <f>H13</f>
        <v>100</v>
      </c>
      <c r="I32" s="146">
        <f>H32*(1-$O$7)</f>
        <v>88</v>
      </c>
      <c r="J32" s="113" t="str">
        <f>IF(K32=0,"",I32/SUM(E13:G13))</f>
        <v/>
      </c>
      <c r="K32" s="219">
        <v>0</v>
      </c>
      <c r="L32" s="12" t="e">
        <f>MATCH(1,B72:I72,0)</f>
        <v>#N/A</v>
      </c>
    </row>
    <row r="33" spans="1:19">
      <c r="A33" s="144">
        <v>11</v>
      </c>
      <c r="B33" s="153" t="s">
        <v>186</v>
      </c>
      <c r="C33" s="113">
        <v>0.5</v>
      </c>
      <c r="D33" s="146">
        <f>E14*C33</f>
        <v>350</v>
      </c>
      <c r="E33" s="146">
        <f>F14*C33</f>
        <v>250</v>
      </c>
      <c r="F33" s="147">
        <f>G14*C33</f>
        <v>150</v>
      </c>
      <c r="G33" s="147">
        <f t="shared" si="7"/>
        <v>750</v>
      </c>
      <c r="H33" s="154">
        <f t="shared" ref="H33:H34" si="13">H14</f>
        <v>260</v>
      </c>
      <c r="I33" s="146">
        <f t="shared" ref="I33" si="14">H33*(1-$O$7)</f>
        <v>228.8</v>
      </c>
      <c r="J33" s="113">
        <f t="shared" ref="J33:J34" si="15">IF(K33=0,"",I33/SUM(E14:G14))</f>
        <v>0.15253333333333335</v>
      </c>
      <c r="K33" s="219">
        <v>1</v>
      </c>
      <c r="L33" s="12">
        <f t="shared" ref="L33:L34" si="16">MATCH(1,B73:I73,0)</f>
        <v>8</v>
      </c>
    </row>
    <row r="34" spans="1:19">
      <c r="A34" s="144">
        <v>12</v>
      </c>
      <c r="B34" s="153" t="s">
        <v>186</v>
      </c>
      <c r="C34" s="113">
        <v>1</v>
      </c>
      <c r="D34" s="146">
        <f>E15*C34</f>
        <v>1500</v>
      </c>
      <c r="E34" s="146">
        <f>F15*C34</f>
        <v>400</v>
      </c>
      <c r="F34" s="147">
        <f>G15*C34</f>
        <v>400</v>
      </c>
      <c r="G34" s="147">
        <f t="shared" si="7"/>
        <v>2300</v>
      </c>
      <c r="H34" s="154">
        <f t="shared" si="13"/>
        <v>340</v>
      </c>
      <c r="I34" s="146">
        <f>H34*(1-$O$7)</f>
        <v>299.2</v>
      </c>
      <c r="J34" s="113" t="str">
        <f t="shared" si="15"/>
        <v/>
      </c>
      <c r="K34" s="219">
        <v>0</v>
      </c>
      <c r="L34" s="12" t="e">
        <f t="shared" si="16"/>
        <v>#N/A</v>
      </c>
      <c r="N34" s="172"/>
      <c r="P34" s="222" t="s">
        <v>213</v>
      </c>
      <c r="Q34" s="222"/>
      <c r="R34" s="222"/>
      <c r="S34" s="210"/>
    </row>
    <row r="35" spans="1:19">
      <c r="C35" s="8" t="s">
        <v>210</v>
      </c>
      <c r="D35" s="146">
        <f>SUMPRODUCT(D32:D34,$K$32:$K$34)</f>
        <v>350</v>
      </c>
      <c r="E35" s="146">
        <f t="shared" ref="E35:F35" si="17">SUMPRODUCT(E32:E34,$K$32:$K$34)</f>
        <v>250</v>
      </c>
      <c r="F35" s="146">
        <f t="shared" si="17"/>
        <v>150</v>
      </c>
      <c r="G35" s="146">
        <f>SUM(D35:F35)</f>
        <v>750</v>
      </c>
      <c r="O35" s="13" t="s">
        <v>214</v>
      </c>
      <c r="P35" s="13" t="s">
        <v>215</v>
      </c>
      <c r="Q35" s="13" t="s">
        <v>216</v>
      </c>
      <c r="R35" s="13" t="s">
        <v>217</v>
      </c>
      <c r="S35" s="180"/>
    </row>
    <row r="36" spans="1:19">
      <c r="F36" s="155"/>
      <c r="G36" s="155"/>
      <c r="O36" s="29"/>
      <c r="P36" s="211">
        <f>AVERAGE(J19:J34)</f>
        <v>0.15167182539682542</v>
      </c>
      <c r="Q36" s="211">
        <f>MIN(J19:J34)</f>
        <v>9.9000000000000005E-2</v>
      </c>
      <c r="R36" s="211">
        <f>MAX(J19:J34)</f>
        <v>0.20044444444444445</v>
      </c>
      <c r="S36" s="210"/>
    </row>
    <row r="37" spans="1:19" ht="15.75" customHeight="1">
      <c r="D37" s="13" t="s">
        <v>193</v>
      </c>
      <c r="E37" s="13" t="s">
        <v>194</v>
      </c>
      <c r="F37" s="215" t="s">
        <v>195</v>
      </c>
      <c r="G37" s="13" t="s">
        <v>196</v>
      </c>
      <c r="I37" s="216" t="s">
        <v>211</v>
      </c>
      <c r="O37" s="113">
        <v>0</v>
      </c>
      <c r="P37" s="113">
        <v>0.17438915553045989</v>
      </c>
      <c r="Q37" s="113">
        <v>0.11428571428571428</v>
      </c>
      <c r="R37" s="113">
        <v>0.22777777777777777</v>
      </c>
    </row>
    <row r="38" spans="1:19">
      <c r="C38" s="8" t="s">
        <v>212</v>
      </c>
      <c r="D38" s="156">
        <f>SUMPRODUCT(D19:D23,$K$19:$K$23)+SUMPRODUCT(D26:D29,$K$26:$K$29)+SUMPRODUCT(D32:D34,$K$32:$K$34)</f>
        <v>3733</v>
      </c>
      <c r="E38" s="156">
        <f>SUMPRODUCT(E19:E23,$K$19:$K$23)+SUMPRODUCT(E26:E29,$K$26:$K$29)+SUMPRODUCT(E32:E34,$K$32:$K$34)</f>
        <v>3151</v>
      </c>
      <c r="F38" s="156">
        <f t="shared" ref="F38" si="18">SUMPRODUCT(F19:F23,$K$19:$K$23)+SUMPRODUCT(F26:F29,$K$26:$K$29)+SUMPRODUCT(F32:F34,$K$32:$K$34)</f>
        <v>2735</v>
      </c>
      <c r="G38" s="156">
        <f>SUM(D38:F38)</f>
        <v>9619</v>
      </c>
      <c r="I38" s="157">
        <f>SUMPRODUCT(I19:I34,K19:K34)</f>
        <v>1953.6000000000001</v>
      </c>
      <c r="O38" s="113">
        <v>0.05</v>
      </c>
      <c r="P38" s="113">
        <v>0.16566969775393689</v>
      </c>
      <c r="Q38" s="113">
        <v>0.10857142857142857</v>
      </c>
      <c r="R38" s="113">
        <v>0.21638888888888888</v>
      </c>
    </row>
    <row r="39" spans="1:19">
      <c r="D39" s="12" t="s">
        <v>228</v>
      </c>
      <c r="E39" s="12" t="s">
        <v>228</v>
      </c>
      <c r="F39" s="12" t="s">
        <v>228</v>
      </c>
      <c r="G39" s="12" t="s">
        <v>228</v>
      </c>
      <c r="O39" s="113">
        <v>0.1</v>
      </c>
      <c r="P39" s="113">
        <v>0.15695023997741389</v>
      </c>
      <c r="Q39" s="113">
        <v>0.10285714285714286</v>
      </c>
      <c r="R39" s="113">
        <v>0.20499999999999999</v>
      </c>
    </row>
    <row r="40" spans="1:19">
      <c r="D40" s="12">
        <v>4000</v>
      </c>
      <c r="E40" s="12">
        <v>4000</v>
      </c>
      <c r="F40" s="12">
        <v>4000</v>
      </c>
      <c r="G40" s="12">
        <v>10000</v>
      </c>
      <c r="O40" s="113">
        <v>0.15</v>
      </c>
      <c r="P40" s="113">
        <v>0.14823078220089089</v>
      </c>
      <c r="Q40" s="113">
        <v>9.7142857142857142E-2</v>
      </c>
      <c r="R40" s="113">
        <v>0.19361111111111112</v>
      </c>
    </row>
    <row r="41" spans="1:19">
      <c r="O41" s="113">
        <v>0.2</v>
      </c>
      <c r="P41" s="113">
        <v>0.13951132442436792</v>
      </c>
      <c r="Q41" s="113">
        <v>9.1428571428571428E-2</v>
      </c>
      <c r="R41" s="113">
        <v>0.18222222222222223</v>
      </c>
    </row>
    <row r="42" spans="1:19">
      <c r="O42" s="113">
        <v>0.25</v>
      </c>
      <c r="P42" s="113">
        <v>0.1307918666478449</v>
      </c>
      <c r="Q42" s="113">
        <v>8.5714285714285715E-2</v>
      </c>
      <c r="R42" s="113">
        <v>0.17083333333333334</v>
      </c>
    </row>
    <row r="43" spans="1:19">
      <c r="O43" s="113">
        <v>0.3</v>
      </c>
      <c r="P43" s="113">
        <v>0.12207240887132191</v>
      </c>
      <c r="Q43" s="113">
        <v>0.08</v>
      </c>
      <c r="R43" s="113">
        <v>0.15944444444444444</v>
      </c>
    </row>
    <row r="47" spans="1:19">
      <c r="A47" s="12"/>
      <c r="B47" s="13" t="s">
        <v>442</v>
      </c>
      <c r="C47" s="13" t="s">
        <v>443</v>
      </c>
      <c r="D47" s="13" t="s">
        <v>444</v>
      </c>
      <c r="E47" s="13" t="s">
        <v>445</v>
      </c>
      <c r="F47" s="13" t="s">
        <v>446</v>
      </c>
      <c r="G47" s="13" t="s">
        <v>447</v>
      </c>
      <c r="H47" s="13" t="s">
        <v>448</v>
      </c>
      <c r="I47" s="13" t="s">
        <v>449</v>
      </c>
    </row>
    <row r="48" spans="1:19" ht="16">
      <c r="A48" s="13" t="s">
        <v>450</v>
      </c>
      <c r="B48" s="208">
        <v>1</v>
      </c>
      <c r="C48" s="208">
        <v>1</v>
      </c>
      <c r="D48" s="208">
        <v>1</v>
      </c>
      <c r="E48" s="208">
        <v>1</v>
      </c>
      <c r="F48" s="208">
        <v>1</v>
      </c>
      <c r="G48" s="208">
        <v>0</v>
      </c>
      <c r="H48" s="208">
        <v>0</v>
      </c>
      <c r="I48" s="208">
        <v>0</v>
      </c>
    </row>
    <row r="49" spans="1:13" ht="16">
      <c r="A49" s="13" t="s">
        <v>451</v>
      </c>
      <c r="B49" s="208">
        <v>1</v>
      </c>
      <c r="C49" s="208">
        <v>1</v>
      </c>
      <c r="D49" s="208">
        <v>1</v>
      </c>
      <c r="E49" s="208">
        <v>1</v>
      </c>
      <c r="F49" s="208">
        <v>0</v>
      </c>
      <c r="G49" s="208">
        <v>1</v>
      </c>
      <c r="H49" s="208">
        <v>0</v>
      </c>
      <c r="I49" s="208">
        <v>1</v>
      </c>
    </row>
    <row r="50" spans="1:13" ht="16">
      <c r="A50" s="13" t="s">
        <v>452</v>
      </c>
      <c r="B50" s="208">
        <v>1</v>
      </c>
      <c r="C50" s="208">
        <v>0</v>
      </c>
      <c r="D50" s="208">
        <v>0</v>
      </c>
      <c r="E50" s="208">
        <v>1</v>
      </c>
      <c r="F50" s="208">
        <v>1</v>
      </c>
      <c r="G50" s="208">
        <v>1</v>
      </c>
      <c r="H50" s="208">
        <v>0</v>
      </c>
      <c r="I50" s="208">
        <v>1</v>
      </c>
    </row>
    <row r="51" spans="1:13" ht="16">
      <c r="A51" s="13" t="s">
        <v>453</v>
      </c>
      <c r="B51" s="208">
        <v>0</v>
      </c>
      <c r="C51" s="208">
        <v>1</v>
      </c>
      <c r="D51" s="208">
        <v>0</v>
      </c>
      <c r="E51" s="208">
        <v>0</v>
      </c>
      <c r="F51" s="208">
        <v>1</v>
      </c>
      <c r="G51" s="208">
        <v>1</v>
      </c>
      <c r="H51" s="208">
        <v>1</v>
      </c>
      <c r="I51" s="208">
        <v>1</v>
      </c>
    </row>
    <row r="52" spans="1:13" ht="16">
      <c r="A52" s="13" t="s">
        <v>454</v>
      </c>
      <c r="B52" s="208">
        <v>1</v>
      </c>
      <c r="C52" s="208">
        <v>1</v>
      </c>
      <c r="D52" s="208">
        <v>1</v>
      </c>
      <c r="E52" s="208">
        <v>1</v>
      </c>
      <c r="F52" s="208">
        <v>1</v>
      </c>
      <c r="G52" s="208">
        <v>1</v>
      </c>
      <c r="H52" s="208">
        <v>1</v>
      </c>
      <c r="I52" s="208">
        <v>0</v>
      </c>
    </row>
    <row r="53" spans="1:13" ht="16">
      <c r="A53" s="13" t="s">
        <v>455</v>
      </c>
      <c r="B53" s="208">
        <v>1</v>
      </c>
      <c r="C53" s="208">
        <v>1</v>
      </c>
      <c r="D53" s="208">
        <v>1</v>
      </c>
      <c r="E53" s="208">
        <v>1</v>
      </c>
      <c r="F53" s="208">
        <v>1</v>
      </c>
      <c r="G53" s="208">
        <v>1</v>
      </c>
      <c r="H53" s="208">
        <v>1</v>
      </c>
      <c r="I53" s="208">
        <v>1</v>
      </c>
    </row>
    <row r="54" spans="1:13" ht="16">
      <c r="A54" s="13" t="s">
        <v>456</v>
      </c>
      <c r="B54" s="208">
        <v>1</v>
      </c>
      <c r="C54" s="208">
        <v>1</v>
      </c>
      <c r="D54" s="208">
        <v>1</v>
      </c>
      <c r="E54" s="208">
        <v>1</v>
      </c>
      <c r="F54" s="208">
        <v>1</v>
      </c>
      <c r="G54" s="208">
        <v>1</v>
      </c>
      <c r="H54" s="208">
        <v>0</v>
      </c>
      <c r="I54" s="208">
        <v>1</v>
      </c>
    </row>
    <row r="55" spans="1:13" ht="16">
      <c r="A55" s="13" t="s">
        <v>457</v>
      </c>
      <c r="B55" s="208">
        <v>1</v>
      </c>
      <c r="C55" s="208">
        <v>1</v>
      </c>
      <c r="D55" s="208">
        <v>1</v>
      </c>
      <c r="E55" s="208">
        <v>1</v>
      </c>
      <c r="F55" s="208">
        <v>0</v>
      </c>
      <c r="G55" s="208">
        <v>1</v>
      </c>
      <c r="H55" s="208">
        <v>1</v>
      </c>
      <c r="I55" s="208">
        <v>0</v>
      </c>
    </row>
    <row r="56" spans="1:13" ht="16">
      <c r="A56" s="13" t="s">
        <v>458</v>
      </c>
      <c r="B56" s="208">
        <v>1</v>
      </c>
      <c r="C56" s="208">
        <v>1</v>
      </c>
      <c r="D56" s="208">
        <v>1</v>
      </c>
      <c r="E56" s="208">
        <v>1</v>
      </c>
      <c r="F56" s="208">
        <v>0</v>
      </c>
      <c r="G56" s="208">
        <v>0</v>
      </c>
      <c r="H56" s="208">
        <v>0</v>
      </c>
      <c r="I56" s="208">
        <v>1</v>
      </c>
    </row>
    <row r="57" spans="1:13" ht="16">
      <c r="A57" s="13" t="s">
        <v>459</v>
      </c>
      <c r="B57" s="208">
        <v>1</v>
      </c>
      <c r="C57" s="208">
        <v>1</v>
      </c>
      <c r="D57" s="208">
        <v>1</v>
      </c>
      <c r="E57" s="208">
        <v>1</v>
      </c>
      <c r="F57" s="208">
        <v>0</v>
      </c>
      <c r="G57" s="208">
        <v>1</v>
      </c>
      <c r="H57" s="208">
        <v>1</v>
      </c>
      <c r="I57" s="208">
        <v>1</v>
      </c>
    </row>
    <row r="58" spans="1:13" ht="16">
      <c r="A58" s="13" t="s">
        <v>460</v>
      </c>
      <c r="B58" s="208">
        <v>1</v>
      </c>
      <c r="C58" s="208">
        <v>1</v>
      </c>
      <c r="D58" s="208">
        <v>1</v>
      </c>
      <c r="E58" s="208">
        <v>1</v>
      </c>
      <c r="F58" s="208">
        <v>1</v>
      </c>
      <c r="G58" s="208">
        <v>1</v>
      </c>
      <c r="H58" s="208">
        <v>0</v>
      </c>
      <c r="I58" s="208">
        <v>1</v>
      </c>
    </row>
    <row r="59" spans="1:13" ht="16">
      <c r="A59" s="13" t="s">
        <v>461</v>
      </c>
      <c r="B59" s="208">
        <v>0</v>
      </c>
      <c r="C59" s="208">
        <v>0</v>
      </c>
      <c r="D59" s="208">
        <v>0</v>
      </c>
      <c r="E59" s="208">
        <v>1</v>
      </c>
      <c r="F59" s="208">
        <v>1</v>
      </c>
      <c r="G59" s="208">
        <v>0</v>
      </c>
      <c r="H59" s="208">
        <v>1</v>
      </c>
      <c r="I59" s="208">
        <v>1</v>
      </c>
    </row>
    <row r="62" spans="1:13">
      <c r="A62" s="13"/>
      <c r="B62" s="13" t="s">
        <v>442</v>
      </c>
      <c r="C62" s="13" t="s">
        <v>443</v>
      </c>
      <c r="D62" s="13" t="s">
        <v>444</v>
      </c>
      <c r="E62" s="13" t="s">
        <v>445</v>
      </c>
      <c r="F62" s="13" t="s">
        <v>446</v>
      </c>
      <c r="G62" s="13" t="s">
        <v>447</v>
      </c>
      <c r="H62" s="13" t="s">
        <v>448</v>
      </c>
      <c r="I62" s="13" t="s">
        <v>449</v>
      </c>
      <c r="J62" s="180" t="s">
        <v>226</v>
      </c>
      <c r="K62" s="180" t="s">
        <v>225</v>
      </c>
      <c r="L62" s="180" t="s">
        <v>227</v>
      </c>
      <c r="M62" s="180"/>
    </row>
    <row r="63" spans="1:13" ht="16">
      <c r="A63" s="13" t="s">
        <v>450</v>
      </c>
      <c r="B63" s="209">
        <v>0</v>
      </c>
      <c r="C63" s="209">
        <v>0</v>
      </c>
      <c r="D63" s="209">
        <v>0</v>
      </c>
      <c r="E63" s="209">
        <v>0</v>
      </c>
      <c r="F63" s="209">
        <v>0</v>
      </c>
      <c r="G63" s="209">
        <v>0</v>
      </c>
      <c r="H63" s="209">
        <v>0</v>
      </c>
      <c r="I63" s="209">
        <v>0</v>
      </c>
      <c r="J63" s="12">
        <f>SUM(B63:I63)</f>
        <v>0</v>
      </c>
      <c r="K63" s="179" t="s">
        <v>311</v>
      </c>
      <c r="L63" s="12">
        <f>K19</f>
        <v>0</v>
      </c>
      <c r="M63" s="172" t="str">
        <f ca="1">_xlfn.FORMULATEXT(L63)</f>
        <v>=K19</v>
      </c>
    </row>
    <row r="64" spans="1:13" ht="16">
      <c r="A64" s="13" t="s">
        <v>451</v>
      </c>
      <c r="B64" s="209">
        <v>0</v>
      </c>
      <c r="C64" s="209">
        <v>0</v>
      </c>
      <c r="D64" s="209">
        <v>0</v>
      </c>
      <c r="E64" s="209">
        <v>0</v>
      </c>
      <c r="F64" s="209">
        <v>1</v>
      </c>
      <c r="G64" s="209">
        <v>0</v>
      </c>
      <c r="H64" s="209">
        <v>0</v>
      </c>
      <c r="I64" s="209">
        <v>0</v>
      </c>
      <c r="J64" s="12">
        <f t="shared" ref="J64:J74" si="19">SUM(B64:I64)</f>
        <v>1</v>
      </c>
      <c r="K64" s="179" t="s">
        <v>311</v>
      </c>
      <c r="L64" s="12">
        <f>K20</f>
        <v>1</v>
      </c>
    </row>
    <row r="65" spans="1:22" ht="16">
      <c r="A65" s="13" t="s">
        <v>452</v>
      </c>
      <c r="B65" s="209">
        <v>0</v>
      </c>
      <c r="C65" s="209">
        <v>0</v>
      </c>
      <c r="D65" s="209">
        <v>0</v>
      </c>
      <c r="E65" s="209">
        <v>0</v>
      </c>
      <c r="F65" s="209">
        <v>0</v>
      </c>
      <c r="G65" s="209">
        <v>0</v>
      </c>
      <c r="H65" s="209">
        <v>0</v>
      </c>
      <c r="I65" s="209">
        <v>0</v>
      </c>
      <c r="J65" s="12">
        <f t="shared" si="19"/>
        <v>0</v>
      </c>
      <c r="K65" s="179" t="s">
        <v>311</v>
      </c>
      <c r="L65" s="12">
        <f>K21</f>
        <v>0</v>
      </c>
      <c r="O65"/>
      <c r="P65"/>
      <c r="Q65"/>
      <c r="R65"/>
      <c r="S65"/>
      <c r="T65"/>
      <c r="U65"/>
      <c r="V65"/>
    </row>
    <row r="66" spans="1:22" ht="16">
      <c r="A66" s="13" t="s">
        <v>453</v>
      </c>
      <c r="B66" s="209">
        <v>0</v>
      </c>
      <c r="C66" s="209">
        <v>0</v>
      </c>
      <c r="D66" s="209">
        <v>0</v>
      </c>
      <c r="E66" s="209">
        <v>0</v>
      </c>
      <c r="F66" s="209">
        <v>0</v>
      </c>
      <c r="G66" s="209">
        <v>0</v>
      </c>
      <c r="H66" s="209">
        <v>1</v>
      </c>
      <c r="I66" s="209">
        <v>0</v>
      </c>
      <c r="J66" s="12">
        <f t="shared" si="19"/>
        <v>1</v>
      </c>
      <c r="K66" s="179" t="s">
        <v>311</v>
      </c>
      <c r="L66" s="12">
        <f>K22</f>
        <v>1</v>
      </c>
      <c r="O66" s="180"/>
      <c r="P66" s="180"/>
      <c r="Q66" s="180"/>
      <c r="R66" s="180"/>
      <c r="S66" s="180"/>
      <c r="T66"/>
      <c r="U66"/>
      <c r="V66"/>
    </row>
    <row r="67" spans="1:22" ht="16">
      <c r="A67" s="13" t="s">
        <v>454</v>
      </c>
      <c r="B67" s="209">
        <v>0</v>
      </c>
      <c r="C67" s="209">
        <v>0</v>
      </c>
      <c r="D67" s="209">
        <v>0</v>
      </c>
      <c r="E67" s="209">
        <v>0</v>
      </c>
      <c r="F67" s="209">
        <v>0</v>
      </c>
      <c r="G67" s="209">
        <v>1</v>
      </c>
      <c r="H67" s="209">
        <v>0</v>
      </c>
      <c r="I67" s="209">
        <v>0</v>
      </c>
      <c r="J67" s="12">
        <f t="shared" si="19"/>
        <v>1</v>
      </c>
      <c r="K67" s="179" t="s">
        <v>311</v>
      </c>
      <c r="L67" s="12">
        <f>K23</f>
        <v>1</v>
      </c>
      <c r="T67"/>
      <c r="U67"/>
      <c r="V67"/>
    </row>
    <row r="68" spans="1:22" ht="16">
      <c r="A68" s="13" t="s">
        <v>455</v>
      </c>
      <c r="B68" s="209">
        <v>1</v>
      </c>
      <c r="C68" s="209">
        <v>0</v>
      </c>
      <c r="D68" s="209">
        <v>0</v>
      </c>
      <c r="E68" s="209">
        <v>0</v>
      </c>
      <c r="F68" s="209">
        <v>0</v>
      </c>
      <c r="G68" s="209">
        <v>0</v>
      </c>
      <c r="H68" s="209">
        <v>0</v>
      </c>
      <c r="I68" s="209">
        <v>0</v>
      </c>
      <c r="J68" s="12">
        <f t="shared" si="19"/>
        <v>1</v>
      </c>
      <c r="K68" s="179" t="s">
        <v>311</v>
      </c>
      <c r="L68" s="12">
        <f>K26</f>
        <v>1</v>
      </c>
      <c r="T68"/>
      <c r="U68"/>
      <c r="V68"/>
    </row>
    <row r="69" spans="1:22" ht="16">
      <c r="A69" s="13" t="s">
        <v>456</v>
      </c>
      <c r="B69" s="209">
        <v>0</v>
      </c>
      <c r="C69" s="209">
        <v>0</v>
      </c>
      <c r="D69" s="209">
        <v>0</v>
      </c>
      <c r="E69" s="209">
        <v>1</v>
      </c>
      <c r="F69" s="209">
        <v>0</v>
      </c>
      <c r="G69" s="209">
        <v>0</v>
      </c>
      <c r="H69" s="209">
        <v>0</v>
      </c>
      <c r="I69" s="209">
        <v>0</v>
      </c>
      <c r="J69" s="12">
        <f t="shared" si="19"/>
        <v>1</v>
      </c>
      <c r="K69" s="179" t="s">
        <v>311</v>
      </c>
      <c r="L69" s="12">
        <f>K27</f>
        <v>1</v>
      </c>
      <c r="T69"/>
      <c r="U69"/>
      <c r="V69"/>
    </row>
    <row r="70" spans="1:22" ht="16">
      <c r="A70" s="13" t="s">
        <v>457</v>
      </c>
      <c r="B70" s="209">
        <v>0</v>
      </c>
      <c r="C70" s="209">
        <v>1</v>
      </c>
      <c r="D70" s="209">
        <v>0</v>
      </c>
      <c r="E70" s="209">
        <v>0</v>
      </c>
      <c r="F70" s="209">
        <v>0</v>
      </c>
      <c r="G70" s="209">
        <v>0</v>
      </c>
      <c r="H70" s="209">
        <v>0</v>
      </c>
      <c r="I70" s="209">
        <v>0</v>
      </c>
      <c r="J70" s="12">
        <f t="shared" si="19"/>
        <v>1</v>
      </c>
      <c r="K70" s="179" t="s">
        <v>311</v>
      </c>
      <c r="L70" s="12">
        <f>K28</f>
        <v>1</v>
      </c>
      <c r="T70"/>
      <c r="U70"/>
      <c r="V70"/>
    </row>
    <row r="71" spans="1:22" ht="16">
      <c r="A71" s="13" t="s">
        <v>458</v>
      </c>
      <c r="B71" s="209">
        <v>0</v>
      </c>
      <c r="C71" s="209">
        <v>0</v>
      </c>
      <c r="D71" s="209">
        <v>1</v>
      </c>
      <c r="E71" s="209">
        <v>0</v>
      </c>
      <c r="F71" s="209">
        <v>0</v>
      </c>
      <c r="G71" s="209">
        <v>0</v>
      </c>
      <c r="H71" s="209">
        <v>0</v>
      </c>
      <c r="I71" s="209">
        <v>0</v>
      </c>
      <c r="J71" s="12">
        <f t="shared" si="19"/>
        <v>1</v>
      </c>
      <c r="K71" s="179" t="s">
        <v>311</v>
      </c>
      <c r="L71" s="12">
        <f>K29</f>
        <v>1</v>
      </c>
      <c r="O71"/>
      <c r="P71"/>
      <c r="Q71"/>
      <c r="R71"/>
      <c r="S71"/>
      <c r="T71"/>
      <c r="U71"/>
      <c r="V71"/>
    </row>
    <row r="72" spans="1:22" ht="16">
      <c r="A72" s="13" t="s">
        <v>459</v>
      </c>
      <c r="B72" s="209">
        <v>0</v>
      </c>
      <c r="C72" s="209">
        <v>0</v>
      </c>
      <c r="D72" s="209">
        <v>0</v>
      </c>
      <c r="E72" s="209">
        <v>0</v>
      </c>
      <c r="F72" s="209">
        <v>0</v>
      </c>
      <c r="G72" s="209">
        <v>0</v>
      </c>
      <c r="H72" s="209">
        <v>0</v>
      </c>
      <c r="I72" s="209">
        <v>0</v>
      </c>
      <c r="J72" s="12">
        <f t="shared" si="19"/>
        <v>0</v>
      </c>
      <c r="K72" s="179" t="s">
        <v>311</v>
      </c>
      <c r="L72" s="12">
        <f>K32</f>
        <v>0</v>
      </c>
      <c r="O72"/>
      <c r="P72"/>
      <c r="Q72"/>
      <c r="R72"/>
      <c r="S72"/>
      <c r="T72"/>
      <c r="U72"/>
      <c r="V72"/>
    </row>
    <row r="73" spans="1:22" ht="16">
      <c r="A73" s="13" t="s">
        <v>460</v>
      </c>
      <c r="B73" s="209">
        <v>0</v>
      </c>
      <c r="C73" s="209">
        <v>0</v>
      </c>
      <c r="D73" s="209">
        <v>0</v>
      </c>
      <c r="E73" s="209">
        <v>0</v>
      </c>
      <c r="F73" s="209">
        <v>0</v>
      </c>
      <c r="G73" s="209">
        <v>0</v>
      </c>
      <c r="H73" s="209">
        <v>0</v>
      </c>
      <c r="I73" s="209">
        <v>1</v>
      </c>
      <c r="J73" s="12">
        <f t="shared" si="19"/>
        <v>1</v>
      </c>
      <c r="K73" s="179" t="s">
        <v>311</v>
      </c>
      <c r="L73" s="12">
        <f>K33</f>
        <v>1</v>
      </c>
      <c r="O73" s="180"/>
      <c r="P73" s="180"/>
      <c r="Q73" s="180"/>
      <c r="R73" s="180"/>
      <c r="S73" s="180"/>
      <c r="T73"/>
      <c r="U73"/>
      <c r="V73"/>
    </row>
    <row r="74" spans="1:22" ht="16">
      <c r="A74" s="13" t="s">
        <v>461</v>
      </c>
      <c r="B74" s="209">
        <v>0</v>
      </c>
      <c r="C74" s="209">
        <v>0</v>
      </c>
      <c r="D74" s="209">
        <v>0</v>
      </c>
      <c r="E74" s="209">
        <v>0</v>
      </c>
      <c r="F74" s="209">
        <v>0</v>
      </c>
      <c r="G74" s="209">
        <v>0</v>
      </c>
      <c r="H74" s="209">
        <v>0</v>
      </c>
      <c r="I74" s="209">
        <v>0</v>
      </c>
      <c r="J74" s="12">
        <f t="shared" si="19"/>
        <v>0</v>
      </c>
      <c r="K74" s="179" t="s">
        <v>311</v>
      </c>
      <c r="L74" s="12">
        <f>K34</f>
        <v>0</v>
      </c>
      <c r="U74" s="186"/>
    </row>
    <row r="75" spans="1:22">
      <c r="A75" s="8" t="s">
        <v>226</v>
      </c>
      <c r="B75" s="12">
        <f>SUM(B63:B74)</f>
        <v>1</v>
      </c>
      <c r="C75" s="12">
        <f t="shared" ref="C75:I75" si="20">SUM(C63:C74)</f>
        <v>1</v>
      </c>
      <c r="D75" s="12">
        <f t="shared" si="20"/>
        <v>1</v>
      </c>
      <c r="E75" s="12">
        <f t="shared" si="20"/>
        <v>1</v>
      </c>
      <c r="F75" s="12">
        <f t="shared" si="20"/>
        <v>1</v>
      </c>
      <c r="G75" s="12">
        <f t="shared" si="20"/>
        <v>1</v>
      </c>
      <c r="H75" s="12">
        <f t="shared" si="20"/>
        <v>1</v>
      </c>
      <c r="I75" s="12">
        <f t="shared" si="20"/>
        <v>1</v>
      </c>
      <c r="U75" s="186"/>
    </row>
    <row r="76" spans="1:22">
      <c r="A76" s="8" t="s">
        <v>225</v>
      </c>
      <c r="B76" s="179" t="s">
        <v>311</v>
      </c>
      <c r="C76" s="179" t="s">
        <v>311</v>
      </c>
      <c r="D76" s="179" t="s">
        <v>311</v>
      </c>
      <c r="E76" s="179" t="s">
        <v>311</v>
      </c>
      <c r="F76" s="179" t="s">
        <v>311</v>
      </c>
      <c r="G76" s="179" t="s">
        <v>311</v>
      </c>
      <c r="H76" s="179" t="s">
        <v>311</v>
      </c>
      <c r="I76" s="179" t="s">
        <v>311</v>
      </c>
      <c r="U76" s="186"/>
    </row>
    <row r="77" spans="1:22">
      <c r="A77" s="8" t="s">
        <v>227</v>
      </c>
      <c r="B77" s="12">
        <v>1</v>
      </c>
      <c r="C77" s="12">
        <v>1</v>
      </c>
      <c r="D77" s="12">
        <v>1</v>
      </c>
      <c r="E77" s="12">
        <v>1</v>
      </c>
      <c r="F77" s="12">
        <v>1</v>
      </c>
      <c r="G77" s="12">
        <v>1</v>
      </c>
      <c r="H77" s="12">
        <v>1</v>
      </c>
      <c r="I77" s="12">
        <v>1</v>
      </c>
      <c r="U77" s="186"/>
    </row>
    <row r="78" spans="1:22">
      <c r="O78"/>
      <c r="T78"/>
      <c r="U78"/>
      <c r="V78"/>
    </row>
  </sheetData>
  <mergeCells count="7">
    <mergeCell ref="P34:R34"/>
    <mergeCell ref="A1:L1"/>
    <mergeCell ref="N3:O3"/>
    <mergeCell ref="N9:O9"/>
    <mergeCell ref="D17:G17"/>
    <mergeCell ref="P24:R24"/>
    <mergeCell ref="N26:N28"/>
  </mergeCells>
  <conditionalFormatting sqref="D38:F38">
    <cfRule type="cellIs" dxfId="13" priority="10" operator="greaterThan">
      <formula>4000</formula>
    </cfRule>
    <cfRule type="cellIs" dxfId="12" priority="11" operator="lessThan">
      <formula>4000</formula>
    </cfRule>
  </conditionalFormatting>
  <conditionalFormatting sqref="G38">
    <cfRule type="cellIs" dxfId="11" priority="4" operator="greaterThan">
      <formula>10000</formula>
    </cfRule>
    <cfRule type="cellIs" dxfId="10" priority="5" operator="lessThan">
      <formula>10000</formula>
    </cfRule>
  </conditionalFormatting>
  <conditionalFormatting sqref="H26:H29 H32:H34">
    <cfRule type="cellIs" dxfId="9" priority="13" operator="equal">
      <formula>MIN($K$19:$K$29)</formula>
    </cfRule>
    <cfRule type="cellIs" dxfId="8" priority="14" operator="equal">
      <formula>MAX($K$19:$K$29)</formula>
    </cfRule>
  </conditionalFormatting>
  <conditionalFormatting sqref="K19:K23 K26:K29 K32:K34">
    <cfRule type="cellIs" dxfId="7" priority="1" operator="equal">
      <formula>0</formula>
    </cfRule>
  </conditionalFormatting>
  <conditionalFormatting sqref="L63:L74">
    <cfRule type="cellIs" dxfId="6" priority="2" operator="equal">
      <formula>1</formula>
    </cfRule>
    <cfRule type="cellIs" dxfId="5" priority="3" operator="equal">
      <formula>0</formula>
    </cfRule>
  </conditionalFormatting>
  <conditionalFormatting sqref="N20:O20">
    <cfRule type="cellIs" dxfId="4" priority="6" operator="lessThan">
      <formula>1</formula>
    </cfRule>
    <cfRule type="cellIs" dxfId="3" priority="7" operator="equal">
      <formula>1</formula>
    </cfRule>
  </conditionalFormatting>
  <conditionalFormatting sqref="O10:O13">
    <cfRule type="cellIs" dxfId="2" priority="12" operator="equal">
      <formula>1</formula>
    </cfRule>
  </conditionalFormatting>
  <conditionalFormatting sqref="O10:O14">
    <cfRule type="cellIs" dxfId="1" priority="8" operator="lessThan">
      <formula>1</formula>
    </cfRule>
  </conditionalFormatting>
  <conditionalFormatting sqref="O14">
    <cfRule type="cellIs" dxfId="0" priority="9" operator="greaterThan">
      <formula>0</formula>
    </cfRule>
  </conditionalFormatting>
  <pageMargins left="0.7" right="0.7" top="0.75" bottom="0.75" header="0.3" footer="0.3"/>
  <drawing r:id="rId1"/>
  <legacy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87D7ED-8CFD-41B6-83EA-142F15E93FAC}">
  <dimension ref="A1:L29"/>
  <sheetViews>
    <sheetView workbookViewId="0">
      <selection activeCell="J30" sqref="J30"/>
    </sheetView>
  </sheetViews>
  <sheetFormatPr defaultRowHeight="14.5"/>
  <sheetData>
    <row r="1" spans="1:12">
      <c r="A1" t="s">
        <v>462</v>
      </c>
      <c r="L1" t="s">
        <v>464</v>
      </c>
    </row>
    <row r="28" spans="1:12">
      <c r="A28" s="4" t="s">
        <v>463</v>
      </c>
      <c r="L28" s="4" t="s">
        <v>465</v>
      </c>
    </row>
    <row r="29" spans="1:12">
      <c r="L29" s="4" t="s">
        <v>466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cd0f4b77-c4e9-4957-8fde-11dda5e7f667" xsi:nil="true"/>
    <lcf76f155ced4ddcb4097134ff3c332f xmlns="c497152d-6b14-4dd9-bfd0-aa33c70582a7">
      <Terms xmlns="http://schemas.microsoft.com/office/infopath/2007/PartnerControls"/>
    </lcf76f155ced4ddcb4097134ff3c332f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88EFC24394D4F4E87ADA84EB907D9FE" ma:contentTypeVersion="16" ma:contentTypeDescription="Create a new document." ma:contentTypeScope="" ma:versionID="5f58a39212a0ca4d281a30b6c4b7baf3">
  <xsd:schema xmlns:xsd="http://www.w3.org/2001/XMLSchema" xmlns:xs="http://www.w3.org/2001/XMLSchema" xmlns:p="http://schemas.microsoft.com/office/2006/metadata/properties" xmlns:ns2="c497152d-6b14-4dd9-bfd0-aa33c70582a7" xmlns:ns3="cd0f4b77-c4e9-4957-8fde-11dda5e7f667" targetNamespace="http://schemas.microsoft.com/office/2006/metadata/properties" ma:root="true" ma:fieldsID="f9eed4e7f36d89b0e88c5a609e7e843d" ns2:_="" ns3:_="">
    <xsd:import namespace="c497152d-6b14-4dd9-bfd0-aa33c70582a7"/>
    <xsd:import namespace="cd0f4b77-c4e9-4957-8fde-11dda5e7f66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497152d-6b14-4dd9-bfd0-aa33c70582a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lcf76f155ced4ddcb4097134ff3c332f" ma:index="18" nillable="true" ma:taxonomy="true" ma:internalName="lcf76f155ced4ddcb4097134ff3c332f" ma:taxonomyFieldName="MediaServiceImageTags" ma:displayName="Image Tags" ma:readOnly="false" ma:fieldId="{5cf76f15-5ced-4ddc-b409-7134ff3c332f}" ma:taxonomyMulti="true" ma:sspId="8b19c4d1-b200-4400-8314-3061074214d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1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2" nillable="true" ma:displayName="Location" ma:indexed="true" ma:internalName="MediaServiceLocation" ma:readOnly="true">
      <xsd:simpleType>
        <xsd:restriction base="dms:Text"/>
      </xsd:simple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d0f4b77-c4e9-4957-8fde-11dda5e7f667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9" nillable="true" ma:displayName="Taxonomy Catch All Column" ma:hidden="true" ma:list="{9848882f-9224-4916-9194-be0ff9e3eeac}" ma:internalName="TaxCatchAll" ma:showField="CatchAllData" ma:web="cd0f4b77-c4e9-4957-8fde-11dda5e7f66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2F4B886E-E048-4609-89BB-67F42936C455}">
  <ds:schemaRefs>
    <ds:schemaRef ds:uri="http://schemas.microsoft.com/office/2006/metadata/properties"/>
    <ds:schemaRef ds:uri="http://schemas.microsoft.com/office/infopath/2007/PartnerControls"/>
    <ds:schemaRef ds:uri="cd0f4b77-c4e9-4957-8fde-11dda5e7f667"/>
    <ds:schemaRef ds:uri="c497152d-6b14-4dd9-bfd0-aa33c70582a7"/>
  </ds:schemaRefs>
</ds:datastoreItem>
</file>

<file path=customXml/itemProps2.xml><?xml version="1.0" encoding="utf-8"?>
<ds:datastoreItem xmlns:ds="http://schemas.openxmlformats.org/officeDocument/2006/customXml" ds:itemID="{FBCAE205-5CF1-4746-8BEC-DA220F3532FA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DEDE954B-5EE2-48E4-9887-7E5D6495962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c497152d-6b14-4dd9-bfd0-aa33c70582a7"/>
    <ds:schemaRef ds:uri="cd0f4b77-c4e9-4957-8fde-11dda5e7f66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34</vt:i4>
      </vt:variant>
    </vt:vector>
  </HeadingPairs>
  <TitlesOfParts>
    <vt:vector size="34" baseType="lpstr">
      <vt:lpstr>L01</vt:lpstr>
      <vt:lpstr>H01</vt:lpstr>
      <vt:lpstr>H02</vt:lpstr>
      <vt:lpstr>H03</vt:lpstr>
      <vt:lpstr>H04</vt:lpstr>
      <vt:lpstr>H05</vt:lpstr>
      <vt:lpstr>H06</vt:lpstr>
      <vt:lpstr>H07</vt:lpstr>
      <vt:lpstr>H08</vt:lpstr>
      <vt:lpstr>H09</vt:lpstr>
      <vt:lpstr>H10</vt:lpstr>
      <vt:lpstr>H11</vt:lpstr>
      <vt:lpstr>H12</vt:lpstr>
      <vt:lpstr>H13</vt:lpstr>
      <vt:lpstr>H14</vt:lpstr>
      <vt:lpstr>H15</vt:lpstr>
      <vt:lpstr>H16</vt:lpstr>
      <vt:lpstr>H17.1</vt:lpstr>
      <vt:lpstr>H17.2</vt:lpstr>
      <vt:lpstr>H18</vt:lpstr>
      <vt:lpstr>H19</vt:lpstr>
      <vt:lpstr>H20</vt:lpstr>
      <vt:lpstr>H21</vt:lpstr>
      <vt:lpstr>H22</vt:lpstr>
      <vt:lpstr>H23</vt:lpstr>
      <vt:lpstr>H24</vt:lpstr>
      <vt:lpstr>H25</vt:lpstr>
      <vt:lpstr>H26</vt:lpstr>
      <vt:lpstr>H27</vt:lpstr>
      <vt:lpstr>H28</vt:lpstr>
      <vt:lpstr>H29</vt:lpstr>
      <vt:lpstr>H30</vt:lpstr>
      <vt:lpstr>Project Model</vt:lpstr>
      <vt:lpstr>Solution Solver 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srvEZPLSTR</dc:creator>
  <cp:lastModifiedBy>Uladzimir Halavach</cp:lastModifiedBy>
  <dcterms:created xsi:type="dcterms:W3CDTF">2015-06-05T18:19:34Z</dcterms:created>
  <dcterms:modified xsi:type="dcterms:W3CDTF">2025-04-18T19:15:45Z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66c72161-02a3-475e-a371-b241163f7bdb_Enabled">
    <vt:lpwstr>true</vt:lpwstr>
  </property>
  <property fmtid="{D5CDD505-2E9C-101B-9397-08002B2CF9AE}" pid="3" name="MSIP_Label_66c72161-02a3-475e-a371-b241163f7bdb_SetDate">
    <vt:lpwstr>2025-03-15T13:39:20Z</vt:lpwstr>
  </property>
  <property fmtid="{D5CDD505-2E9C-101B-9397-08002B2CF9AE}" pid="4" name="MSIP_Label_66c72161-02a3-475e-a371-b241163f7bdb_Method">
    <vt:lpwstr>Standard</vt:lpwstr>
  </property>
  <property fmtid="{D5CDD505-2E9C-101B-9397-08002B2CF9AE}" pid="5" name="MSIP_Label_66c72161-02a3-475e-a371-b241163f7bdb_Name">
    <vt:lpwstr>Business Standard</vt:lpwstr>
  </property>
  <property fmtid="{D5CDD505-2E9C-101B-9397-08002B2CF9AE}" pid="6" name="MSIP_Label_66c72161-02a3-475e-a371-b241163f7bdb_SiteId">
    <vt:lpwstr>659c3a90-ec90-4772-b772-cebe2050a82e</vt:lpwstr>
  </property>
  <property fmtid="{D5CDD505-2E9C-101B-9397-08002B2CF9AE}" pid="7" name="MSIP_Label_66c72161-02a3-475e-a371-b241163f7bdb_ActionId">
    <vt:lpwstr>792a86ca-324e-4076-8076-33ffe9cbb5dc</vt:lpwstr>
  </property>
  <property fmtid="{D5CDD505-2E9C-101B-9397-08002B2CF9AE}" pid="8" name="MSIP_Label_66c72161-02a3-475e-a371-b241163f7bdb_ContentBits">
    <vt:lpwstr>2</vt:lpwstr>
  </property>
  <property fmtid="{D5CDD505-2E9C-101B-9397-08002B2CF9AE}" pid="9" name="MSIP_Label_66c72161-02a3-475e-a371-b241163f7bdb_Tag">
    <vt:lpwstr>10, 3, 0, 1</vt:lpwstr>
  </property>
  <property fmtid="{D5CDD505-2E9C-101B-9397-08002B2CF9AE}" pid="10" name="ContentTypeId">
    <vt:lpwstr>0x010100C88EFC24394D4F4E87ADA84EB907D9FE</vt:lpwstr>
  </property>
</Properties>
</file>