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james.huser\Downloads\"/>
    </mc:Choice>
  </mc:AlternateContent>
  <xr:revisionPtr revIDLastSave="0" documentId="8_{F6320AFE-5ED8-4C0D-9076-57F1B8C98093}" xr6:coauthVersionLast="47" xr6:coauthVersionMax="47" xr10:uidLastSave="{00000000-0000-0000-0000-000000000000}"/>
  <workbookProtection workbookAlgorithmName="SHA-512" workbookHashValue="VpSGZLevqYLk9bGM/cU6uw2O9v333Kv1A47yerAGALZDz3nqBz7Cu7s6aza4TxFRVaGBguDIOGNZ5CBcHWhMWA==" workbookSaltValue="/u5qfTy/rJ8mYasKiISp6w==" workbookSpinCount="100000" lockStructure="1"/>
  <bookViews>
    <workbookView xWindow="1470" yWindow="0" windowWidth="17830" windowHeight="10170" tabRatio="598" activeTab="1" xr2:uid="{00000000-000D-0000-FFFF-FFFF00000000}"/>
  </bookViews>
  <sheets>
    <sheet name="INPUTS" sheetId="9" r:id="rId1"/>
    <sheet name="GRAPH" sheetId="7" r:id="rId2"/>
    <sheet name="SUMMARY" sheetId="5" r:id="rId3"/>
    <sheet name="DETAIL" sheetId="1" r:id="rId4"/>
    <sheet name="GRAPH DATA" sheetId="10" state="hidden" r:id="rId5"/>
    <sheet name="TABLE" sheetId="8" state="hidden" r:id="rId6"/>
  </sheets>
  <externalReferences>
    <externalReference r:id="rId7"/>
  </externalReferences>
  <definedNames>
    <definedName name="DEFENDER_CAP_noVFD">SUM('[1]Backup Data'!$L$34,'[1]Backup Data'!$N$34,'[1]Backup Data'!$Q$34)</definedName>
    <definedName name="DEFENDER_CAP_VFD">'[1]Backup Data'!$L$34+'[1]Backup Data'!$N$34+'[1]Backup Data'!$P$34+'[1]Backup Data'!$Q$34</definedName>
    <definedName name="DEFENDER_OP_noVFD">SUM('[1]Backup Data'!$S$34:$AB$34)</definedName>
    <definedName name="DEFENDER_OP_VFD">'[1]Backup Data'!$S$34+'[1]Backup Data'!$T$34+'[1]Backup Data'!$U$34+'[1]Backup Data'!$V$34+'[1]Backup Data'!$X$34+'[1]Backup Data'!$Z$34</definedName>
    <definedName name="INFLATION">'[1]Backup Data'!$B$2</definedName>
    <definedName name="_xlnm.Print_Area" localSheetId="3">DETAIL!$A$1:$W$40</definedName>
    <definedName name="_xlnm.Print_Area" localSheetId="1">GRAPH!$A$1:$O$40</definedName>
    <definedName name="_xlnm.Print_Area" localSheetId="0">INPUTS!$A$1:$L$38</definedName>
    <definedName name="_xlnm.Print_Area" localSheetId="2">SUMMARY!$B$1:$E$45</definedName>
    <definedName name="SAND_CAP_noVFD">'[1]Backup Data'!$L$18+'[1]Backup Data'!$N$18+'[1]Backup Data'!$O$18+'[1]Backup Data'!$P$18</definedName>
    <definedName name="SAND_CAP_VFD">SUM('[1]Backup Data'!$L$18,'[1]Backup Data'!$N$18,'[1]Backup Data'!$O$18,'[1]Backup Data'!$P$18,'[1]Backup Data'!$Q$18)</definedName>
    <definedName name="SAND_MEDIA_CHANGE">('[1]Backup Data'!$K$18/100*22.3*2)+('[1]Backup Data'!$K$18/100*10*2)</definedName>
    <definedName name="SAND_OP_noVFD">SUM('[1]Backup Data'!$S$18,'[1]Backup Data'!$T$18,'[1]Backup Data'!$U$18,'[1]Backup Data'!$V$18,'[1]Backup Data'!$Z$18)</definedName>
    <definedName name="SAND_OP_VFD">SUM('[1]Backup Data'!$S$18,'[1]Backup Data'!$T$18,'[1]Backup Data'!$U$18,'[1]Backup Data'!$V$18,'[1]Backup Data'!$X$18)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8" i="1" l="1"/>
  <c r="G37" i="1"/>
  <c r="C42" i="5"/>
  <c r="C41" i="5"/>
  <c r="C4" i="7"/>
  <c r="C3" i="7"/>
  <c r="C14" i="1" l="1"/>
  <c r="O22" i="7"/>
  <c r="J32" i="1"/>
  <c r="K32" i="1" s="1"/>
  <c r="J31" i="1"/>
  <c r="K31" i="1" s="1"/>
  <c r="J27" i="1"/>
  <c r="K27" i="1" s="1"/>
  <c r="J26" i="1"/>
  <c r="K26" i="1" s="1"/>
  <c r="I32" i="1"/>
  <c r="I31" i="1"/>
  <c r="G32" i="1"/>
  <c r="O32" i="1" s="1"/>
  <c r="P32" i="1" s="1"/>
  <c r="G31" i="1"/>
  <c r="O31" i="1" s="1"/>
  <c r="Q31" i="1" s="1"/>
  <c r="G27" i="1"/>
  <c r="O27" i="1" s="1"/>
  <c r="G26" i="1"/>
  <c r="O26" i="1" s="1"/>
  <c r="Q26" i="1" s="1"/>
  <c r="E32" i="1"/>
  <c r="H32" i="1" s="1"/>
  <c r="T32" i="1" s="1"/>
  <c r="U32" i="1" s="1"/>
  <c r="E31" i="1"/>
  <c r="H31" i="1" s="1"/>
  <c r="T31" i="1" s="1"/>
  <c r="U31" i="1" s="1"/>
  <c r="E27" i="1"/>
  <c r="H27" i="1" s="1"/>
  <c r="E26" i="1"/>
  <c r="F26" i="1" s="1"/>
  <c r="D32" i="1"/>
  <c r="D31" i="1"/>
  <c r="D27" i="1"/>
  <c r="D26" i="1"/>
  <c r="C32" i="1"/>
  <c r="C31" i="1"/>
  <c r="C27" i="1"/>
  <c r="C26" i="1"/>
  <c r="J16" i="1"/>
  <c r="K16" i="1" s="1"/>
  <c r="J15" i="1"/>
  <c r="K15" i="1" s="1"/>
  <c r="J14" i="1"/>
  <c r="K14" i="1" s="1"/>
  <c r="J11" i="1"/>
  <c r="K11" i="1" s="1"/>
  <c r="J10" i="1"/>
  <c r="K10" i="1" s="1"/>
  <c r="I16" i="1"/>
  <c r="L16" i="1" s="1"/>
  <c r="I15" i="1"/>
  <c r="L15" i="1" s="1"/>
  <c r="I14" i="1"/>
  <c r="L14" i="1" s="1"/>
  <c r="H16" i="1"/>
  <c r="N16" i="1" s="1"/>
  <c r="H15" i="1"/>
  <c r="M15" i="1" s="1"/>
  <c r="H14" i="1"/>
  <c r="M14" i="1" s="1"/>
  <c r="H11" i="1"/>
  <c r="M11" i="1" s="1"/>
  <c r="H10" i="1"/>
  <c r="N10" i="1" s="1"/>
  <c r="E16" i="1"/>
  <c r="O16" i="1" s="1"/>
  <c r="E15" i="1"/>
  <c r="O15" i="1" s="1"/>
  <c r="E14" i="1"/>
  <c r="O14" i="1" s="1"/>
  <c r="E11" i="1"/>
  <c r="G11" i="1" s="1"/>
  <c r="E10" i="1"/>
  <c r="F10" i="1" s="1"/>
  <c r="D16" i="1"/>
  <c r="D15" i="1"/>
  <c r="D14" i="1"/>
  <c r="D11" i="1"/>
  <c r="D10" i="1"/>
  <c r="C16" i="1"/>
  <c r="C15" i="1"/>
  <c r="C11" i="1"/>
  <c r="C10" i="1"/>
  <c r="U37" i="1"/>
  <c r="G40" i="1"/>
  <c r="G39" i="1"/>
  <c r="B32" i="1"/>
  <c r="V32" i="1" s="1"/>
  <c r="W32" i="1" s="1"/>
  <c r="A32" i="1"/>
  <c r="B31" i="1"/>
  <c r="V31" i="1" s="1"/>
  <c r="W31" i="1" s="1"/>
  <c r="A31" i="1"/>
  <c r="B27" i="1"/>
  <c r="V27" i="1" s="1"/>
  <c r="W27" i="1" s="1"/>
  <c r="A27" i="1"/>
  <c r="B26" i="1"/>
  <c r="V26" i="1" s="1"/>
  <c r="W26" i="1" s="1"/>
  <c r="A26" i="1"/>
  <c r="V11" i="1"/>
  <c r="W11" i="1" s="1"/>
  <c r="B11" i="1"/>
  <c r="A11" i="1"/>
  <c r="V10" i="1"/>
  <c r="W10" i="1" s="1"/>
  <c r="B10" i="1"/>
  <c r="A10" i="1"/>
  <c r="V15" i="1"/>
  <c r="W15" i="1" s="1"/>
  <c r="B15" i="1"/>
  <c r="A15" i="1"/>
  <c r="V14" i="1"/>
  <c r="W14" i="1" s="1"/>
  <c r="B14" i="1"/>
  <c r="A14" i="1"/>
  <c r="V16" i="1"/>
  <c r="W16" i="1" s="1"/>
  <c r="B16" i="1"/>
  <c r="A16" i="1"/>
  <c r="M3" i="7"/>
  <c r="C44" i="5"/>
  <c r="I30" i="1"/>
  <c r="I29" i="1"/>
  <c r="C34" i="1"/>
  <c r="C33" i="1"/>
  <c r="R39" i="8"/>
  <c r="R40" i="8"/>
  <c r="C6" i="7"/>
  <c r="C5" i="7"/>
  <c r="B9" i="10"/>
  <c r="C9" i="10" s="1"/>
  <c r="D9" i="10" s="1"/>
  <c r="E9" i="10" s="1"/>
  <c r="C14" i="10"/>
  <c r="D14" i="10" s="1"/>
  <c r="E14" i="10" s="1"/>
  <c r="F14" i="10" s="1"/>
  <c r="G14" i="10" s="1"/>
  <c r="H14" i="10" s="1"/>
  <c r="I14" i="10" s="1"/>
  <c r="J14" i="10" s="1"/>
  <c r="K14" i="10" s="1"/>
  <c r="C2" i="10"/>
  <c r="D2" i="10" s="1"/>
  <c r="E2" i="10" s="1"/>
  <c r="F2" i="10" s="1"/>
  <c r="G2" i="10" s="1"/>
  <c r="H2" i="10" s="1"/>
  <c r="I2" i="10" s="1"/>
  <c r="J2" i="10" s="1"/>
  <c r="K2" i="10" s="1"/>
  <c r="J5" i="8"/>
  <c r="R5" i="8"/>
  <c r="J6" i="8"/>
  <c r="R6" i="8"/>
  <c r="J7" i="8"/>
  <c r="R7" i="8"/>
  <c r="J8" i="8"/>
  <c r="R8" i="8"/>
  <c r="J9" i="8"/>
  <c r="R9" i="8"/>
  <c r="J10" i="8"/>
  <c r="R10" i="8"/>
  <c r="J11" i="8"/>
  <c r="R11" i="8"/>
  <c r="J12" i="8"/>
  <c r="R12" i="8"/>
  <c r="J13" i="8"/>
  <c r="R13" i="8"/>
  <c r="J14" i="8"/>
  <c r="R14" i="8"/>
  <c r="J15" i="8"/>
  <c r="R15" i="8"/>
  <c r="J16" i="8"/>
  <c r="R16" i="8"/>
  <c r="J17" i="8"/>
  <c r="R17" i="8"/>
  <c r="J18" i="8"/>
  <c r="R18" i="8"/>
  <c r="J19" i="8"/>
  <c r="R19" i="8"/>
  <c r="J20" i="8"/>
  <c r="R20" i="8"/>
  <c r="J21" i="8"/>
  <c r="R21" i="8"/>
  <c r="J22" i="8"/>
  <c r="R22" i="8"/>
  <c r="J23" i="8"/>
  <c r="R23" i="8"/>
  <c r="J24" i="8"/>
  <c r="I7" i="1" s="1"/>
  <c r="I8" i="1"/>
  <c r="L8" i="1" s="1"/>
  <c r="R24" i="8"/>
  <c r="I24" i="1"/>
  <c r="J25" i="8"/>
  <c r="R25" i="8"/>
  <c r="J26" i="8"/>
  <c r="R26" i="8"/>
  <c r="J27" i="8"/>
  <c r="R27" i="8"/>
  <c r="J28" i="8"/>
  <c r="R28" i="8"/>
  <c r="J29" i="8"/>
  <c r="R29" i="8"/>
  <c r="J30" i="8"/>
  <c r="I10" i="1"/>
  <c r="L10" i="1" s="1"/>
  <c r="R30" i="8"/>
  <c r="I26" i="1"/>
  <c r="J31" i="8"/>
  <c r="R31" i="8"/>
  <c r="J32" i="8"/>
  <c r="I11" i="1"/>
  <c r="L11" i="1" s="1"/>
  <c r="R32" i="8"/>
  <c r="I27" i="1"/>
  <c r="J33" i="8"/>
  <c r="R33" i="8"/>
  <c r="J34" i="8"/>
  <c r="I9" i="1"/>
  <c r="L9" i="1" s="1"/>
  <c r="R34" i="8"/>
  <c r="I25" i="1"/>
  <c r="J35" i="8"/>
  <c r="R35" i="8"/>
  <c r="J36" i="8"/>
  <c r="I12" i="1"/>
  <c r="L12" i="1" s="1"/>
  <c r="R36" i="8"/>
  <c r="I23" i="1"/>
  <c r="A7" i="1"/>
  <c r="B7" i="1"/>
  <c r="C7" i="1"/>
  <c r="D7" i="1"/>
  <c r="E7" i="1"/>
  <c r="H7" i="1"/>
  <c r="M7" i="1" s="1"/>
  <c r="J7" i="1"/>
  <c r="K7" i="1" s="1"/>
  <c r="V7" i="1"/>
  <c r="A8" i="1"/>
  <c r="B8" i="1"/>
  <c r="C8" i="1"/>
  <c r="D8" i="1"/>
  <c r="E8" i="1"/>
  <c r="O8" i="1" s="1"/>
  <c r="Q8" i="1" s="1"/>
  <c r="H8" i="1"/>
  <c r="M8" i="1" s="1"/>
  <c r="J8" i="1"/>
  <c r="K8" i="1" s="1"/>
  <c r="V8" i="1"/>
  <c r="W8" i="1" s="1"/>
  <c r="A9" i="1"/>
  <c r="B9" i="1"/>
  <c r="C9" i="1"/>
  <c r="D9" i="1"/>
  <c r="E9" i="1"/>
  <c r="F9" i="1" s="1"/>
  <c r="H9" i="1"/>
  <c r="N9" i="1" s="1"/>
  <c r="J9" i="1"/>
  <c r="K9" i="1" s="1"/>
  <c r="V9" i="1"/>
  <c r="W9" i="1" s="1"/>
  <c r="A12" i="1"/>
  <c r="B12" i="1"/>
  <c r="C12" i="1"/>
  <c r="D12" i="1"/>
  <c r="E12" i="1"/>
  <c r="G12" i="1" s="1"/>
  <c r="H12" i="1"/>
  <c r="M12" i="1" s="1"/>
  <c r="J12" i="1"/>
  <c r="K12" i="1" s="1"/>
  <c r="V12" i="1"/>
  <c r="W12" i="1" s="1"/>
  <c r="A13" i="1"/>
  <c r="B13" i="1"/>
  <c r="C13" i="1"/>
  <c r="D13" i="1"/>
  <c r="E13" i="1"/>
  <c r="F13" i="1" s="1"/>
  <c r="H13" i="1"/>
  <c r="I13" i="1"/>
  <c r="L13" i="1" s="1"/>
  <c r="J13" i="1"/>
  <c r="K13" i="1" s="1"/>
  <c r="V13" i="1"/>
  <c r="W13" i="1" s="1"/>
  <c r="A23" i="1"/>
  <c r="B23" i="1"/>
  <c r="V23" i="1" s="1"/>
  <c r="W23" i="1" s="1"/>
  <c r="C23" i="1"/>
  <c r="D23" i="1"/>
  <c r="E23" i="1"/>
  <c r="G23" i="1"/>
  <c r="J23" i="1"/>
  <c r="K23" i="1" s="1"/>
  <c r="A24" i="1"/>
  <c r="B24" i="1"/>
  <c r="V24" i="1" s="1"/>
  <c r="W24" i="1" s="1"/>
  <c r="C24" i="1"/>
  <c r="D24" i="1"/>
  <c r="E24" i="1"/>
  <c r="F24" i="1" s="1"/>
  <c r="G24" i="1"/>
  <c r="O24" i="1" s="1"/>
  <c r="J24" i="1"/>
  <c r="K24" i="1" s="1"/>
  <c r="A25" i="1"/>
  <c r="B25" i="1"/>
  <c r="C25" i="1"/>
  <c r="D25" i="1"/>
  <c r="E25" i="1"/>
  <c r="H25" i="1" s="1"/>
  <c r="N25" i="1" s="1"/>
  <c r="G25" i="1"/>
  <c r="O25" i="1" s="1"/>
  <c r="J25" i="1"/>
  <c r="K25" i="1" s="1"/>
  <c r="A28" i="1"/>
  <c r="B28" i="1"/>
  <c r="V28" i="1" s="1"/>
  <c r="W28" i="1" s="1"/>
  <c r="C28" i="1"/>
  <c r="D28" i="1"/>
  <c r="E28" i="1"/>
  <c r="F28" i="1" s="1"/>
  <c r="G28" i="1"/>
  <c r="O28" i="1" s="1"/>
  <c r="J28" i="1"/>
  <c r="K28" i="1" s="1"/>
  <c r="A29" i="1"/>
  <c r="B29" i="1"/>
  <c r="V29" i="1" s="1"/>
  <c r="W29" i="1" s="1"/>
  <c r="C29" i="1"/>
  <c r="D29" i="1"/>
  <c r="E29" i="1"/>
  <c r="H29" i="1" s="1"/>
  <c r="G29" i="1"/>
  <c r="O29" i="1" s="1"/>
  <c r="R29" i="1" s="1"/>
  <c r="J29" i="1"/>
  <c r="K29" i="1" s="1"/>
  <c r="A30" i="1"/>
  <c r="B30" i="1"/>
  <c r="V30" i="1" s="1"/>
  <c r="W30" i="1" s="1"/>
  <c r="C30" i="1"/>
  <c r="D30" i="1"/>
  <c r="E30" i="1"/>
  <c r="F30" i="1" s="1"/>
  <c r="G30" i="1"/>
  <c r="O30" i="1" s="1"/>
  <c r="J30" i="1"/>
  <c r="K30" i="1" s="1"/>
  <c r="C45" i="5"/>
  <c r="C43" i="5"/>
  <c r="H63" i="5"/>
  <c r="G64" i="5"/>
  <c r="H64" i="5" s="1"/>
  <c r="G67" i="5"/>
  <c r="I28" i="1"/>
  <c r="I34" i="1" l="1"/>
  <c r="F11" i="1"/>
  <c r="O11" i="1"/>
  <c r="R11" i="1" s="1"/>
  <c r="Q29" i="1"/>
  <c r="H26" i="1"/>
  <c r="N26" i="1" s="1"/>
  <c r="F32" i="1"/>
  <c r="M16" i="1"/>
  <c r="M10" i="1"/>
  <c r="N11" i="1"/>
  <c r="I33" i="1"/>
  <c r="G14" i="1"/>
  <c r="F8" i="1"/>
  <c r="F14" i="1"/>
  <c r="N8" i="1"/>
  <c r="F25" i="1"/>
  <c r="P31" i="1"/>
  <c r="G13" i="1"/>
  <c r="R26" i="1"/>
  <c r="S32" i="1"/>
  <c r="G10" i="1"/>
  <c r="H28" i="1"/>
  <c r="N28" i="1" s="1"/>
  <c r="O13" i="1"/>
  <c r="P13" i="1" s="1"/>
  <c r="N31" i="1"/>
  <c r="R31" i="1"/>
  <c r="O10" i="1"/>
  <c r="Q10" i="1" s="1"/>
  <c r="G16" i="1"/>
  <c r="G35" i="1"/>
  <c r="G15" i="1"/>
  <c r="O9" i="1"/>
  <c r="P9" i="1" s="1"/>
  <c r="F12" i="1"/>
  <c r="R30" i="1"/>
  <c r="Q30" i="1"/>
  <c r="M9" i="1"/>
  <c r="F15" i="1"/>
  <c r="F29" i="1"/>
  <c r="N12" i="1"/>
  <c r="F16" i="1"/>
  <c r="J17" i="1"/>
  <c r="S31" i="1"/>
  <c r="N15" i="1"/>
  <c r="F27" i="1"/>
  <c r="Q16" i="1"/>
  <c r="P16" i="1"/>
  <c r="H24" i="1"/>
  <c r="N24" i="1" s="1"/>
  <c r="N7" i="1"/>
  <c r="G9" i="1"/>
  <c r="O12" i="1"/>
  <c r="Q12" i="1" s="1"/>
  <c r="R32" i="1"/>
  <c r="C17" i="1"/>
  <c r="Q24" i="1"/>
  <c r="S24" i="1"/>
  <c r="R14" i="1"/>
  <c r="P14" i="1"/>
  <c r="S14" i="1"/>
  <c r="Q14" i="1"/>
  <c r="N29" i="1"/>
  <c r="T29" i="1"/>
  <c r="U29" i="1" s="1"/>
  <c r="Q15" i="1"/>
  <c r="S15" i="1"/>
  <c r="P15" i="1"/>
  <c r="R15" i="1"/>
  <c r="T25" i="1"/>
  <c r="U25" i="1" s="1"/>
  <c r="N32" i="1"/>
  <c r="Q32" i="1"/>
  <c r="G8" i="1"/>
  <c r="H30" i="1"/>
  <c r="T30" i="1" s="1"/>
  <c r="U30" i="1" s="1"/>
  <c r="N14" i="1"/>
  <c r="R16" i="1"/>
  <c r="S16" i="1"/>
  <c r="P28" i="1"/>
  <c r="S28" i="1"/>
  <c r="Q28" i="1"/>
  <c r="R28" i="1"/>
  <c r="S25" i="1"/>
  <c r="P25" i="1"/>
  <c r="Q25" i="1"/>
  <c r="R25" i="1"/>
  <c r="V25" i="1"/>
  <c r="B35" i="1"/>
  <c r="H23" i="1"/>
  <c r="E35" i="1"/>
  <c r="F23" i="1"/>
  <c r="M13" i="1"/>
  <c r="N13" i="1"/>
  <c r="H17" i="1"/>
  <c r="B17" i="1"/>
  <c r="K17" i="1"/>
  <c r="C6" i="5" s="1"/>
  <c r="V17" i="1"/>
  <c r="W7" i="1"/>
  <c r="W17" i="1" s="1"/>
  <c r="C13" i="5" s="1"/>
  <c r="O7" i="1"/>
  <c r="O23" i="1" s="1"/>
  <c r="F7" i="1"/>
  <c r="E17" i="1"/>
  <c r="G7" i="1"/>
  <c r="N27" i="1"/>
  <c r="T27" i="1"/>
  <c r="U27" i="1" s="1"/>
  <c r="Q27" i="1"/>
  <c r="R27" i="1"/>
  <c r="P27" i="1"/>
  <c r="S27" i="1"/>
  <c r="H67" i="5"/>
  <c r="H69" i="5" s="1"/>
  <c r="G69" i="5"/>
  <c r="S29" i="1"/>
  <c r="P29" i="1"/>
  <c r="J35" i="1"/>
  <c r="P30" i="1"/>
  <c r="S30" i="1"/>
  <c r="P26" i="1"/>
  <c r="S26" i="1"/>
  <c r="K35" i="1"/>
  <c r="D6" i="5" s="1"/>
  <c r="C35" i="1"/>
  <c r="S8" i="1"/>
  <c r="R8" i="1"/>
  <c r="P8" i="1"/>
  <c r="L7" i="1"/>
  <c r="L17" i="1" s="1"/>
  <c r="C7" i="5" s="1"/>
  <c r="E7" i="5" s="1"/>
  <c r="I17" i="1"/>
  <c r="C5" i="5" s="1"/>
  <c r="P24" i="1"/>
  <c r="R24" i="1"/>
  <c r="F31" i="1"/>
  <c r="I35" i="1" l="1"/>
  <c r="D5" i="5" s="1"/>
  <c r="E5" i="5" s="1"/>
  <c r="Q23" i="1"/>
  <c r="Q35" i="1" s="1"/>
  <c r="D17" i="5" s="1"/>
  <c r="B20" i="10" s="1"/>
  <c r="C20" i="10" s="1"/>
  <c r="D20" i="10" s="1"/>
  <c r="E20" i="10" s="1"/>
  <c r="F20" i="10" s="1"/>
  <c r="G20" i="10" s="1"/>
  <c r="H20" i="10" s="1"/>
  <c r="I20" i="10" s="1"/>
  <c r="J20" i="10" s="1"/>
  <c r="K20" i="10" s="1"/>
  <c r="D28" i="5" s="1"/>
  <c r="P23" i="1"/>
  <c r="P35" i="1" s="1"/>
  <c r="D14" i="5" s="1"/>
  <c r="B17" i="10" s="1"/>
  <c r="C22" i="10" s="1"/>
  <c r="S23" i="1"/>
  <c r="S35" i="1" s="1"/>
  <c r="D16" i="5" s="1"/>
  <c r="B19" i="10" s="1"/>
  <c r="C19" i="10" s="1"/>
  <c r="D19" i="10" s="1"/>
  <c r="E19" i="10" s="1"/>
  <c r="F19" i="10" s="1"/>
  <c r="G19" i="10" s="1"/>
  <c r="H19" i="10" s="1"/>
  <c r="I19" i="10" s="1"/>
  <c r="J19" i="10" s="1"/>
  <c r="K19" i="10" s="1"/>
  <c r="D27" i="5" s="1"/>
  <c r="O35" i="1"/>
  <c r="R23" i="1"/>
  <c r="R35" i="1" s="1"/>
  <c r="D15" i="5" s="1"/>
  <c r="B18" i="10" s="1"/>
  <c r="C18" i="10" s="1"/>
  <c r="D18" i="10" s="1"/>
  <c r="E18" i="10" s="1"/>
  <c r="F18" i="10" s="1"/>
  <c r="G18" i="10" s="1"/>
  <c r="H18" i="10" s="1"/>
  <c r="I18" i="10" s="1"/>
  <c r="J18" i="10" s="1"/>
  <c r="K18" i="10" s="1"/>
  <c r="D26" i="5" s="1"/>
  <c r="Q11" i="1"/>
  <c r="S11" i="1"/>
  <c r="R9" i="1"/>
  <c r="P11" i="1"/>
  <c r="T26" i="1"/>
  <c r="U26" i="1" s="1"/>
  <c r="P10" i="1"/>
  <c r="T24" i="1"/>
  <c r="U24" i="1" s="1"/>
  <c r="T28" i="1"/>
  <c r="U28" i="1" s="1"/>
  <c r="Q13" i="1"/>
  <c r="S13" i="1"/>
  <c r="R13" i="1"/>
  <c r="N30" i="1"/>
  <c r="S12" i="1"/>
  <c r="R10" i="1"/>
  <c r="Q9" i="1"/>
  <c r="S10" i="1"/>
  <c r="S9" i="1"/>
  <c r="M17" i="1"/>
  <c r="F10" i="10" s="1"/>
  <c r="K10" i="10" s="1"/>
  <c r="C31" i="5" s="1"/>
  <c r="E31" i="5" s="1"/>
  <c r="N17" i="1"/>
  <c r="C8" i="5" s="1"/>
  <c r="C9" i="5" s="1"/>
  <c r="P12" i="1"/>
  <c r="R12" i="1"/>
  <c r="G17" i="1"/>
  <c r="E6" i="5"/>
  <c r="R7" i="1"/>
  <c r="S7" i="1"/>
  <c r="P7" i="1"/>
  <c r="Q7" i="1"/>
  <c r="O17" i="1"/>
  <c r="W25" i="1"/>
  <c r="W35" i="1" s="1"/>
  <c r="V35" i="1"/>
  <c r="B4" i="10"/>
  <c r="N23" i="1"/>
  <c r="T23" i="1"/>
  <c r="H35" i="1"/>
  <c r="O15" i="7" l="1"/>
  <c r="F9" i="10"/>
  <c r="G9" i="10" s="1"/>
  <c r="H9" i="10" s="1"/>
  <c r="I9" i="10" s="1"/>
  <c r="J9" i="10" s="1"/>
  <c r="K9" i="10" s="1"/>
  <c r="C30" i="5" s="1"/>
  <c r="E30" i="5" s="1"/>
  <c r="N35" i="1"/>
  <c r="D8" i="5" s="1"/>
  <c r="D9" i="5" s="1"/>
  <c r="B15" i="10" s="1"/>
  <c r="P17" i="1"/>
  <c r="C14" i="5" s="1"/>
  <c r="B5" i="10" s="1"/>
  <c r="C5" i="10" s="1"/>
  <c r="D5" i="10" s="1"/>
  <c r="E5" i="10" s="1"/>
  <c r="F5" i="10" s="1"/>
  <c r="G5" i="10" s="1"/>
  <c r="H5" i="10" s="1"/>
  <c r="I5" i="10" s="1"/>
  <c r="J5" i="10" s="1"/>
  <c r="K5" i="10" s="1"/>
  <c r="C25" i="5" s="1"/>
  <c r="S17" i="1"/>
  <c r="C16" i="5" s="1"/>
  <c r="E16" i="5" s="1"/>
  <c r="Q17" i="1"/>
  <c r="C17" i="5" s="1"/>
  <c r="E17" i="5" s="1"/>
  <c r="G10" i="10"/>
  <c r="H10" i="10" s="1"/>
  <c r="I10" i="10" s="1"/>
  <c r="J10" i="10" s="1"/>
  <c r="R17" i="1"/>
  <c r="C15" i="5" s="1"/>
  <c r="O12" i="7"/>
  <c r="D13" i="5"/>
  <c r="O27" i="7"/>
  <c r="C17" i="10"/>
  <c r="D17" i="10" s="1"/>
  <c r="E17" i="10" s="1"/>
  <c r="F17" i="10" s="1"/>
  <c r="G17" i="10" s="1"/>
  <c r="H17" i="10" s="1"/>
  <c r="I17" i="10" s="1"/>
  <c r="J17" i="10" s="1"/>
  <c r="K17" i="10" s="1"/>
  <c r="D25" i="5" s="1"/>
  <c r="U23" i="1"/>
  <c r="U35" i="1" s="1"/>
  <c r="D18" i="5" s="1"/>
  <c r="T35" i="1"/>
  <c r="C4" i="10"/>
  <c r="D4" i="10" s="1"/>
  <c r="E4" i="10" s="1"/>
  <c r="F4" i="10" s="1"/>
  <c r="G4" i="10" s="1"/>
  <c r="H4" i="10" s="1"/>
  <c r="I4" i="10" s="1"/>
  <c r="J4" i="10" s="1"/>
  <c r="K4" i="10" s="1"/>
  <c r="C24" i="5" s="1"/>
  <c r="B3" i="10"/>
  <c r="C37" i="7"/>
  <c r="C23" i="5"/>
  <c r="E9" i="5" l="1"/>
  <c r="C35" i="5" s="1"/>
  <c r="C36" i="7"/>
  <c r="D23" i="5"/>
  <c r="E8" i="5"/>
  <c r="E14" i="5"/>
  <c r="B8" i="10"/>
  <c r="C8" i="10" s="1"/>
  <c r="D8" i="10" s="1"/>
  <c r="E8" i="10" s="1"/>
  <c r="F8" i="10" s="1"/>
  <c r="G8" i="10" s="1"/>
  <c r="H8" i="10" s="1"/>
  <c r="I8" i="10" s="1"/>
  <c r="J8" i="10" s="1"/>
  <c r="K8" i="10" s="1"/>
  <c r="C28" i="5" s="1"/>
  <c r="E28" i="5" s="1"/>
  <c r="B7" i="10"/>
  <c r="C7" i="10" s="1"/>
  <c r="D7" i="10" s="1"/>
  <c r="E7" i="10" s="1"/>
  <c r="F7" i="10" s="1"/>
  <c r="G7" i="10" s="1"/>
  <c r="H7" i="10" s="1"/>
  <c r="I7" i="10" s="1"/>
  <c r="J7" i="10" s="1"/>
  <c r="K7" i="10" s="1"/>
  <c r="C27" i="5" s="1"/>
  <c r="E27" i="5" s="1"/>
  <c r="C19" i="5"/>
  <c r="E15" i="5"/>
  <c r="B6" i="10"/>
  <c r="C6" i="10" s="1"/>
  <c r="D6" i="10" s="1"/>
  <c r="E6" i="10" s="1"/>
  <c r="F6" i="10" s="1"/>
  <c r="G6" i="10" s="1"/>
  <c r="H6" i="10" s="1"/>
  <c r="I6" i="10" s="1"/>
  <c r="J6" i="10" s="1"/>
  <c r="K6" i="10" s="1"/>
  <c r="C26" i="5" s="1"/>
  <c r="E26" i="5" s="1"/>
  <c r="E23" i="5"/>
  <c r="E25" i="5"/>
  <c r="C3" i="10"/>
  <c r="B266" i="10"/>
  <c r="E18" i="5"/>
  <c r="B21" i="10"/>
  <c r="C21" i="10" s="1"/>
  <c r="D21" i="10" s="1"/>
  <c r="E21" i="10" s="1"/>
  <c r="F21" i="10" s="1"/>
  <c r="G21" i="10" s="1"/>
  <c r="H21" i="10" s="1"/>
  <c r="I21" i="10" s="1"/>
  <c r="J21" i="10" s="1"/>
  <c r="K21" i="10" s="1"/>
  <c r="D29" i="5" s="1"/>
  <c r="E29" i="5" s="1"/>
  <c r="D22" i="10"/>
  <c r="E22" i="10" s="1"/>
  <c r="F22" i="10" s="1"/>
  <c r="G22" i="10" s="1"/>
  <c r="H22" i="10" s="1"/>
  <c r="I22" i="10" s="1"/>
  <c r="J22" i="10" s="1"/>
  <c r="K22" i="10" s="1"/>
  <c r="B16" i="10"/>
  <c r="D19" i="5"/>
  <c r="E13" i="5"/>
  <c r="E266" i="10"/>
  <c r="C15" i="10"/>
  <c r="E19" i="5" l="1"/>
  <c r="D35" i="5" s="1"/>
  <c r="E35" i="5" s="1"/>
  <c r="C266" i="10"/>
  <c r="C265" i="10" s="1"/>
  <c r="C264" i="10" s="1"/>
  <c r="C263" i="10" s="1"/>
  <c r="C262" i="10" s="1"/>
  <c r="C261" i="10" s="1"/>
  <c r="C260" i="10" s="1"/>
  <c r="C259" i="10" s="1"/>
  <c r="C258" i="10" s="1"/>
  <c r="C257" i="10" s="1"/>
  <c r="C256" i="10" s="1"/>
  <c r="C255" i="10" s="1"/>
  <c r="C254" i="10" s="1"/>
  <c r="C253" i="10" s="1"/>
  <c r="C252" i="10" s="1"/>
  <c r="C251" i="10" s="1"/>
  <c r="C250" i="10" s="1"/>
  <c r="C249" i="10" s="1"/>
  <c r="C248" i="10" s="1"/>
  <c r="C247" i="10" s="1"/>
  <c r="C246" i="10" s="1"/>
  <c r="C245" i="10" s="1"/>
  <c r="C244" i="10" s="1"/>
  <c r="C243" i="10" s="1"/>
  <c r="C242" i="10" s="1"/>
  <c r="C241" i="10" s="1"/>
  <c r="C240" i="10" s="1"/>
  <c r="C239" i="10" s="1"/>
  <c r="C238" i="10" s="1"/>
  <c r="C237" i="10" s="1"/>
  <c r="C236" i="10" s="1"/>
  <c r="C235" i="10" s="1"/>
  <c r="C234" i="10" s="1"/>
  <c r="C233" i="10" s="1"/>
  <c r="C232" i="10" s="1"/>
  <c r="C231" i="10" s="1"/>
  <c r="C230" i="10" s="1"/>
  <c r="C229" i="10" s="1"/>
  <c r="C228" i="10" s="1"/>
  <c r="C227" i="10" s="1"/>
  <c r="C226" i="10" s="1"/>
  <c r="C225" i="10" s="1"/>
  <c r="C224" i="10" s="1"/>
  <c r="C223" i="10" s="1"/>
  <c r="C222" i="10" s="1"/>
  <c r="C221" i="10" s="1"/>
  <c r="C220" i="10" s="1"/>
  <c r="C219" i="10" s="1"/>
  <c r="C218" i="10" s="1"/>
  <c r="C217" i="10" s="1"/>
  <c r="C216" i="10" s="1"/>
  <c r="C215" i="10" s="1"/>
  <c r="C214" i="10" s="1"/>
  <c r="C213" i="10" s="1"/>
  <c r="C212" i="10" s="1"/>
  <c r="C211" i="10" s="1"/>
  <c r="C210" i="10" s="1"/>
  <c r="C209" i="10" s="1"/>
  <c r="C208" i="10" s="1"/>
  <c r="C207" i="10" s="1"/>
  <c r="C206" i="10" s="1"/>
  <c r="C205" i="10" s="1"/>
  <c r="C204" i="10" s="1"/>
  <c r="C203" i="10" s="1"/>
  <c r="C202" i="10" s="1"/>
  <c r="C201" i="10" s="1"/>
  <c r="C200" i="10" s="1"/>
  <c r="C199" i="10" s="1"/>
  <c r="C198" i="10" s="1"/>
  <c r="C197" i="10" s="1"/>
  <c r="C196" i="10" s="1"/>
  <c r="C195" i="10" s="1"/>
  <c r="C194" i="10" s="1"/>
  <c r="C193" i="10" s="1"/>
  <c r="C192" i="10" s="1"/>
  <c r="C191" i="10" s="1"/>
  <c r="C190" i="10" s="1"/>
  <c r="C189" i="10" s="1"/>
  <c r="C188" i="10" s="1"/>
  <c r="C187" i="10" s="1"/>
  <c r="C186" i="10" s="1"/>
  <c r="C185" i="10" s="1"/>
  <c r="C184" i="10" s="1"/>
  <c r="C183" i="10" s="1"/>
  <c r="C182" i="10" s="1"/>
  <c r="C181" i="10" s="1"/>
  <c r="C180" i="10" s="1"/>
  <c r="C179" i="10" s="1"/>
  <c r="C178" i="10" s="1"/>
  <c r="C177" i="10" s="1"/>
  <c r="C176" i="10" s="1"/>
  <c r="C175" i="10" s="1"/>
  <c r="C174" i="10" s="1"/>
  <c r="C173" i="10" s="1"/>
  <c r="C172" i="10" s="1"/>
  <c r="C171" i="10" s="1"/>
  <c r="C170" i="10" s="1"/>
  <c r="C169" i="10" s="1"/>
  <c r="C168" i="10" s="1"/>
  <c r="C167" i="10" s="1"/>
  <c r="C166" i="10" s="1"/>
  <c r="C165" i="10" s="1"/>
  <c r="C164" i="10" s="1"/>
  <c r="C163" i="10" s="1"/>
  <c r="C162" i="10" s="1"/>
  <c r="C161" i="10" s="1"/>
  <c r="C160" i="10" s="1"/>
  <c r="C159" i="10" s="1"/>
  <c r="C158" i="10" s="1"/>
  <c r="C157" i="10" s="1"/>
  <c r="C156" i="10" s="1"/>
  <c r="C155" i="10" s="1"/>
  <c r="C154" i="10" s="1"/>
  <c r="C153" i="10" s="1"/>
  <c r="C152" i="10" s="1"/>
  <c r="C151" i="10" s="1"/>
  <c r="C150" i="10" s="1"/>
  <c r="C149" i="10" s="1"/>
  <c r="C148" i="10" s="1"/>
  <c r="C147" i="10" s="1"/>
  <c r="C146" i="10" s="1"/>
  <c r="C145" i="10" s="1"/>
  <c r="C144" i="10" s="1"/>
  <c r="C143" i="10" s="1"/>
  <c r="C142" i="10" s="1"/>
  <c r="C141" i="10" s="1"/>
  <c r="C140" i="10" s="1"/>
  <c r="C139" i="10" s="1"/>
  <c r="C138" i="10" s="1"/>
  <c r="C137" i="10" s="1"/>
  <c r="C136" i="10" s="1"/>
  <c r="C135" i="10" s="1"/>
  <c r="C134" i="10" s="1"/>
  <c r="C133" i="10" s="1"/>
  <c r="C132" i="10" s="1"/>
  <c r="C131" i="10" s="1"/>
  <c r="C130" i="10" s="1"/>
  <c r="C129" i="10" s="1"/>
  <c r="C128" i="10" s="1"/>
  <c r="C127" i="10" s="1"/>
  <c r="C126" i="10" s="1"/>
  <c r="C125" i="10" s="1"/>
  <c r="C124" i="10" s="1"/>
  <c r="C123" i="10" s="1"/>
  <c r="C122" i="10" s="1"/>
  <c r="C121" i="10" s="1"/>
  <c r="C120" i="10" s="1"/>
  <c r="C119" i="10" s="1"/>
  <c r="C118" i="10" s="1"/>
  <c r="C117" i="10" s="1"/>
  <c r="C116" i="10" s="1"/>
  <c r="C115" i="10" s="1"/>
  <c r="C114" i="10" s="1"/>
  <c r="C113" i="10" s="1"/>
  <c r="C112" i="10" s="1"/>
  <c r="C111" i="10" s="1"/>
  <c r="C110" i="10" s="1"/>
  <c r="C109" i="10" s="1"/>
  <c r="C108" i="10" s="1"/>
  <c r="C107" i="10" s="1"/>
  <c r="C106" i="10" s="1"/>
  <c r="C105" i="10" s="1"/>
  <c r="C104" i="10" s="1"/>
  <c r="C103" i="10" s="1"/>
  <c r="C102" i="10" s="1"/>
  <c r="C101" i="10" s="1"/>
  <c r="C100" i="10" s="1"/>
  <c r="C99" i="10" s="1"/>
  <c r="C98" i="10" s="1"/>
  <c r="C97" i="10" s="1"/>
  <c r="C96" i="10" s="1"/>
  <c r="C95" i="10" s="1"/>
  <c r="C94" i="10" s="1"/>
  <c r="C93" i="10" s="1"/>
  <c r="C92" i="10" s="1"/>
  <c r="C91" i="10" s="1"/>
  <c r="C90" i="10" s="1"/>
  <c r="C89" i="10" s="1"/>
  <c r="C88" i="10" s="1"/>
  <c r="C87" i="10" s="1"/>
  <c r="C86" i="10" s="1"/>
  <c r="C85" i="10" s="1"/>
  <c r="C84" i="10" s="1"/>
  <c r="C83" i="10" s="1"/>
  <c r="C82" i="10" s="1"/>
  <c r="C81" i="10" s="1"/>
  <c r="C80" i="10" s="1"/>
  <c r="C79" i="10" s="1"/>
  <c r="C78" i="10" s="1"/>
  <c r="C77" i="10" s="1"/>
  <c r="C76" i="10" s="1"/>
  <c r="C75" i="10" s="1"/>
  <c r="C74" i="10" s="1"/>
  <c r="C73" i="10" s="1"/>
  <c r="C72" i="10" s="1"/>
  <c r="C71" i="10" s="1"/>
  <c r="C70" i="10" s="1"/>
  <c r="C69" i="10" s="1"/>
  <c r="C68" i="10" s="1"/>
  <c r="C67" i="10" s="1"/>
  <c r="C66" i="10" s="1"/>
  <c r="C65" i="10" s="1"/>
  <c r="C64" i="10" s="1"/>
  <c r="C63" i="10" s="1"/>
  <c r="C62" i="10" s="1"/>
  <c r="C61" i="10" s="1"/>
  <c r="C60" i="10" s="1"/>
  <c r="C59" i="10" s="1"/>
  <c r="C58" i="10" s="1"/>
  <c r="C57" i="10" s="1"/>
  <c r="C56" i="10" s="1"/>
  <c r="C55" i="10" s="1"/>
  <c r="C54" i="10" s="1"/>
  <c r="C53" i="10" s="1"/>
  <c r="C52" i="10" s="1"/>
  <c r="C51" i="10" s="1"/>
  <c r="C50" i="10" s="1"/>
  <c r="C49" i="10" s="1"/>
  <c r="C48" i="10" s="1"/>
  <c r="C47" i="10" s="1"/>
  <c r="C46" i="10" s="1"/>
  <c r="C45" i="10" s="1"/>
  <c r="C44" i="10" s="1"/>
  <c r="C43" i="10" s="1"/>
  <c r="C42" i="10" s="1"/>
  <c r="C41" i="10" s="1"/>
  <c r="C40" i="10" s="1"/>
  <c r="C39" i="10" s="1"/>
  <c r="C38" i="10" s="1"/>
  <c r="C37" i="10" s="1"/>
  <c r="C36" i="10" s="1"/>
  <c r="C35" i="10" s="1"/>
  <c r="C34" i="10" s="1"/>
  <c r="C33" i="10" s="1"/>
  <c r="C32" i="10" s="1"/>
  <c r="C31" i="10" s="1"/>
  <c r="C30" i="10" s="1"/>
  <c r="C29" i="10" s="1"/>
  <c r="C28" i="10" s="1"/>
  <c r="C27" i="10" s="1"/>
  <c r="B11" i="10"/>
  <c r="D37" i="7" s="1"/>
  <c r="B23" i="10"/>
  <c r="D36" i="7" s="1"/>
  <c r="D15" i="10"/>
  <c r="C16" i="10"/>
  <c r="D16" i="10" s="1"/>
  <c r="E16" i="10" s="1"/>
  <c r="F16" i="10" s="1"/>
  <c r="G16" i="10" s="1"/>
  <c r="H16" i="10" s="1"/>
  <c r="I16" i="10" s="1"/>
  <c r="J16" i="10" s="1"/>
  <c r="K16" i="10" s="1"/>
  <c r="D24" i="5" s="1"/>
  <c r="E24" i="5" s="1"/>
  <c r="F266" i="10"/>
  <c r="F265" i="10" s="1"/>
  <c r="F264" i="10" s="1"/>
  <c r="F263" i="10" s="1"/>
  <c r="F262" i="10" s="1"/>
  <c r="F261" i="10" s="1"/>
  <c r="F260" i="10" s="1"/>
  <c r="F259" i="10" s="1"/>
  <c r="F258" i="10" s="1"/>
  <c r="F257" i="10" s="1"/>
  <c r="F256" i="10" s="1"/>
  <c r="F255" i="10" s="1"/>
  <c r="F254" i="10" s="1"/>
  <c r="F253" i="10" s="1"/>
  <c r="F252" i="10" s="1"/>
  <c r="F251" i="10" s="1"/>
  <c r="F250" i="10" s="1"/>
  <c r="F249" i="10" s="1"/>
  <c r="F248" i="10" s="1"/>
  <c r="F247" i="10" s="1"/>
  <c r="F246" i="10" s="1"/>
  <c r="F245" i="10" s="1"/>
  <c r="F244" i="10" s="1"/>
  <c r="F243" i="10" s="1"/>
  <c r="F242" i="10" s="1"/>
  <c r="F241" i="10" s="1"/>
  <c r="F240" i="10" s="1"/>
  <c r="F239" i="10" s="1"/>
  <c r="F238" i="10" s="1"/>
  <c r="F237" i="10" s="1"/>
  <c r="F236" i="10" s="1"/>
  <c r="F235" i="10" s="1"/>
  <c r="F234" i="10" s="1"/>
  <c r="F233" i="10" s="1"/>
  <c r="F232" i="10" s="1"/>
  <c r="F231" i="10" s="1"/>
  <c r="F230" i="10" s="1"/>
  <c r="F229" i="10" s="1"/>
  <c r="F228" i="10" s="1"/>
  <c r="F227" i="10" s="1"/>
  <c r="F226" i="10" s="1"/>
  <c r="F225" i="10" s="1"/>
  <c r="F224" i="10" s="1"/>
  <c r="F223" i="10" s="1"/>
  <c r="F222" i="10" s="1"/>
  <c r="F221" i="10" s="1"/>
  <c r="F220" i="10" s="1"/>
  <c r="F219" i="10" s="1"/>
  <c r="F218" i="10" s="1"/>
  <c r="F217" i="10" s="1"/>
  <c r="F216" i="10" s="1"/>
  <c r="F215" i="10" s="1"/>
  <c r="F214" i="10" s="1"/>
  <c r="F213" i="10" s="1"/>
  <c r="F212" i="10" s="1"/>
  <c r="F211" i="10" s="1"/>
  <c r="F210" i="10" s="1"/>
  <c r="F209" i="10" s="1"/>
  <c r="F208" i="10" s="1"/>
  <c r="F207" i="10" s="1"/>
  <c r="F206" i="10" s="1"/>
  <c r="F205" i="10" s="1"/>
  <c r="F204" i="10" s="1"/>
  <c r="F203" i="10" s="1"/>
  <c r="F202" i="10" s="1"/>
  <c r="F201" i="10" s="1"/>
  <c r="F200" i="10" s="1"/>
  <c r="F199" i="10" s="1"/>
  <c r="F198" i="10" s="1"/>
  <c r="F197" i="10" s="1"/>
  <c r="F196" i="10" s="1"/>
  <c r="F195" i="10" s="1"/>
  <c r="F194" i="10" s="1"/>
  <c r="F193" i="10" s="1"/>
  <c r="F192" i="10" s="1"/>
  <c r="F191" i="10" s="1"/>
  <c r="F190" i="10" s="1"/>
  <c r="F189" i="10" s="1"/>
  <c r="F188" i="10" s="1"/>
  <c r="F187" i="10" s="1"/>
  <c r="F186" i="10" s="1"/>
  <c r="F185" i="10" s="1"/>
  <c r="F184" i="10" s="1"/>
  <c r="F183" i="10" s="1"/>
  <c r="F182" i="10" s="1"/>
  <c r="F181" i="10" s="1"/>
  <c r="F180" i="10" s="1"/>
  <c r="F179" i="10" s="1"/>
  <c r="F178" i="10" s="1"/>
  <c r="F177" i="10" s="1"/>
  <c r="F176" i="10" s="1"/>
  <c r="F175" i="10" s="1"/>
  <c r="F174" i="10" s="1"/>
  <c r="F173" i="10" s="1"/>
  <c r="F172" i="10" s="1"/>
  <c r="F171" i="10" s="1"/>
  <c r="F170" i="10" s="1"/>
  <c r="F169" i="10" s="1"/>
  <c r="F168" i="10" s="1"/>
  <c r="F167" i="10" s="1"/>
  <c r="F166" i="10" s="1"/>
  <c r="F165" i="10" s="1"/>
  <c r="F164" i="10" s="1"/>
  <c r="F163" i="10" s="1"/>
  <c r="F162" i="10" s="1"/>
  <c r="F161" i="10" s="1"/>
  <c r="F160" i="10" s="1"/>
  <c r="F159" i="10" s="1"/>
  <c r="F158" i="10" s="1"/>
  <c r="F157" i="10" s="1"/>
  <c r="F156" i="10" s="1"/>
  <c r="F155" i="10" s="1"/>
  <c r="F154" i="10" s="1"/>
  <c r="F153" i="10" s="1"/>
  <c r="F152" i="10" s="1"/>
  <c r="F151" i="10" s="1"/>
  <c r="F150" i="10" s="1"/>
  <c r="F149" i="10" s="1"/>
  <c r="F148" i="10" s="1"/>
  <c r="F147" i="10" s="1"/>
  <c r="F146" i="10" s="1"/>
  <c r="F145" i="10" s="1"/>
  <c r="F144" i="10" s="1"/>
  <c r="F143" i="10" s="1"/>
  <c r="F142" i="10" s="1"/>
  <c r="F141" i="10" s="1"/>
  <c r="F140" i="10" s="1"/>
  <c r="F139" i="10" s="1"/>
  <c r="F138" i="10" s="1"/>
  <c r="F137" i="10" s="1"/>
  <c r="F136" i="10" s="1"/>
  <c r="F135" i="10" s="1"/>
  <c r="F134" i="10" s="1"/>
  <c r="F133" i="10" s="1"/>
  <c r="F132" i="10" s="1"/>
  <c r="F131" i="10" s="1"/>
  <c r="F130" i="10" s="1"/>
  <c r="F129" i="10" s="1"/>
  <c r="F128" i="10" s="1"/>
  <c r="F127" i="10" s="1"/>
  <c r="F126" i="10" s="1"/>
  <c r="F125" i="10" s="1"/>
  <c r="F124" i="10" s="1"/>
  <c r="F123" i="10" s="1"/>
  <c r="F122" i="10" s="1"/>
  <c r="F121" i="10" s="1"/>
  <c r="F120" i="10" s="1"/>
  <c r="F119" i="10" s="1"/>
  <c r="F118" i="10" s="1"/>
  <c r="F117" i="10" s="1"/>
  <c r="F116" i="10" s="1"/>
  <c r="F115" i="10" s="1"/>
  <c r="F114" i="10" s="1"/>
  <c r="F113" i="10" s="1"/>
  <c r="F112" i="10" s="1"/>
  <c r="F111" i="10" s="1"/>
  <c r="F110" i="10" s="1"/>
  <c r="F109" i="10" s="1"/>
  <c r="F108" i="10" s="1"/>
  <c r="F107" i="10" s="1"/>
  <c r="F106" i="10" s="1"/>
  <c r="F105" i="10" s="1"/>
  <c r="F104" i="10" s="1"/>
  <c r="F103" i="10" s="1"/>
  <c r="F102" i="10" s="1"/>
  <c r="F101" i="10" s="1"/>
  <c r="F100" i="10" s="1"/>
  <c r="F99" i="10" s="1"/>
  <c r="F98" i="10" s="1"/>
  <c r="F97" i="10" s="1"/>
  <c r="F96" i="10" s="1"/>
  <c r="F95" i="10" s="1"/>
  <c r="F94" i="10" s="1"/>
  <c r="F93" i="10" s="1"/>
  <c r="F92" i="10" s="1"/>
  <c r="F91" i="10" s="1"/>
  <c r="F90" i="10" s="1"/>
  <c r="F89" i="10" s="1"/>
  <c r="F88" i="10" s="1"/>
  <c r="F87" i="10" s="1"/>
  <c r="F86" i="10" s="1"/>
  <c r="F85" i="10" s="1"/>
  <c r="F84" i="10" s="1"/>
  <c r="F83" i="10" s="1"/>
  <c r="F82" i="10" s="1"/>
  <c r="F81" i="10" s="1"/>
  <c r="F80" i="10" s="1"/>
  <c r="F79" i="10" s="1"/>
  <c r="F78" i="10" s="1"/>
  <c r="F77" i="10" s="1"/>
  <c r="F76" i="10" s="1"/>
  <c r="F75" i="10" s="1"/>
  <c r="F74" i="10" s="1"/>
  <c r="F73" i="10" s="1"/>
  <c r="F72" i="10" s="1"/>
  <c r="F71" i="10" s="1"/>
  <c r="F70" i="10" s="1"/>
  <c r="F69" i="10" s="1"/>
  <c r="F68" i="10" s="1"/>
  <c r="F67" i="10" s="1"/>
  <c r="F66" i="10" s="1"/>
  <c r="F65" i="10" s="1"/>
  <c r="F64" i="10" s="1"/>
  <c r="F63" i="10" s="1"/>
  <c r="F62" i="10" s="1"/>
  <c r="F61" i="10" s="1"/>
  <c r="F60" i="10" s="1"/>
  <c r="F59" i="10" s="1"/>
  <c r="F58" i="10" s="1"/>
  <c r="F57" i="10" s="1"/>
  <c r="F56" i="10" s="1"/>
  <c r="F55" i="10" s="1"/>
  <c r="F54" i="10" s="1"/>
  <c r="F53" i="10" s="1"/>
  <c r="F52" i="10" s="1"/>
  <c r="F51" i="10" s="1"/>
  <c r="F50" i="10" s="1"/>
  <c r="F49" i="10" s="1"/>
  <c r="F48" i="10" s="1"/>
  <c r="F47" i="10" s="1"/>
  <c r="F46" i="10" s="1"/>
  <c r="F45" i="10" s="1"/>
  <c r="F44" i="10" s="1"/>
  <c r="F43" i="10" s="1"/>
  <c r="F42" i="10" s="1"/>
  <c r="F41" i="10" s="1"/>
  <c r="F40" i="10" s="1"/>
  <c r="F39" i="10" s="1"/>
  <c r="F38" i="10" s="1"/>
  <c r="F37" i="10" s="1"/>
  <c r="F36" i="10" s="1"/>
  <c r="F35" i="10" s="1"/>
  <c r="F34" i="10" s="1"/>
  <c r="F33" i="10" s="1"/>
  <c r="F32" i="10" s="1"/>
  <c r="F31" i="10" s="1"/>
  <c r="F30" i="10" s="1"/>
  <c r="F29" i="10" s="1"/>
  <c r="F28" i="10" s="1"/>
  <c r="F27" i="10" s="1"/>
  <c r="E265" i="10"/>
  <c r="E264" i="10" s="1"/>
  <c r="E263" i="10" s="1"/>
  <c r="E262" i="10" s="1"/>
  <c r="E261" i="10" s="1"/>
  <c r="E260" i="10" s="1"/>
  <c r="E259" i="10" s="1"/>
  <c r="E258" i="10" s="1"/>
  <c r="E257" i="10" s="1"/>
  <c r="E256" i="10" s="1"/>
  <c r="E255" i="10" s="1"/>
  <c r="E254" i="10" s="1"/>
  <c r="E253" i="10" s="1"/>
  <c r="E252" i="10" s="1"/>
  <c r="E251" i="10" s="1"/>
  <c r="E250" i="10" s="1"/>
  <c r="E249" i="10" s="1"/>
  <c r="E248" i="10" s="1"/>
  <c r="E247" i="10" s="1"/>
  <c r="E246" i="10" s="1"/>
  <c r="E245" i="10" s="1"/>
  <c r="E244" i="10" s="1"/>
  <c r="E243" i="10" s="1"/>
  <c r="E242" i="10" s="1"/>
  <c r="E241" i="10" s="1"/>
  <c r="E240" i="10" s="1"/>
  <c r="E239" i="10" s="1"/>
  <c r="E238" i="10" s="1"/>
  <c r="E237" i="10" s="1"/>
  <c r="E236" i="10" s="1"/>
  <c r="E235" i="10" s="1"/>
  <c r="E234" i="10" s="1"/>
  <c r="E233" i="10" s="1"/>
  <c r="E232" i="10" s="1"/>
  <c r="E231" i="10" s="1"/>
  <c r="E230" i="10" s="1"/>
  <c r="E229" i="10" s="1"/>
  <c r="E228" i="10" s="1"/>
  <c r="E227" i="10" s="1"/>
  <c r="E226" i="10" s="1"/>
  <c r="E225" i="10" s="1"/>
  <c r="E224" i="10" s="1"/>
  <c r="E223" i="10" s="1"/>
  <c r="E222" i="10" s="1"/>
  <c r="E221" i="10" s="1"/>
  <c r="E220" i="10" s="1"/>
  <c r="E219" i="10" s="1"/>
  <c r="E218" i="10" s="1"/>
  <c r="E217" i="10" s="1"/>
  <c r="E216" i="10" s="1"/>
  <c r="E215" i="10" s="1"/>
  <c r="E214" i="10" s="1"/>
  <c r="E213" i="10" s="1"/>
  <c r="E212" i="10" s="1"/>
  <c r="E211" i="10" s="1"/>
  <c r="E210" i="10" s="1"/>
  <c r="E209" i="10" s="1"/>
  <c r="E208" i="10" s="1"/>
  <c r="E207" i="10" s="1"/>
  <c r="E206" i="10" s="1"/>
  <c r="E205" i="10" s="1"/>
  <c r="E204" i="10" s="1"/>
  <c r="E203" i="10" s="1"/>
  <c r="E202" i="10" s="1"/>
  <c r="E201" i="10" s="1"/>
  <c r="E200" i="10" s="1"/>
  <c r="E199" i="10" s="1"/>
  <c r="E198" i="10" s="1"/>
  <c r="E197" i="10" s="1"/>
  <c r="E196" i="10" s="1"/>
  <c r="E195" i="10" s="1"/>
  <c r="E194" i="10" s="1"/>
  <c r="E193" i="10" s="1"/>
  <c r="E192" i="10" s="1"/>
  <c r="E191" i="10" s="1"/>
  <c r="E190" i="10" s="1"/>
  <c r="E189" i="10" s="1"/>
  <c r="E188" i="10" s="1"/>
  <c r="E187" i="10" s="1"/>
  <c r="E186" i="10" s="1"/>
  <c r="E185" i="10" s="1"/>
  <c r="E184" i="10" s="1"/>
  <c r="E183" i="10" s="1"/>
  <c r="E182" i="10" s="1"/>
  <c r="E181" i="10" s="1"/>
  <c r="E180" i="10" s="1"/>
  <c r="E179" i="10" s="1"/>
  <c r="E178" i="10" s="1"/>
  <c r="E177" i="10" s="1"/>
  <c r="E176" i="10" s="1"/>
  <c r="E175" i="10" s="1"/>
  <c r="E174" i="10" s="1"/>
  <c r="E173" i="10" s="1"/>
  <c r="E172" i="10" s="1"/>
  <c r="E171" i="10" s="1"/>
  <c r="E170" i="10" s="1"/>
  <c r="E169" i="10" s="1"/>
  <c r="E168" i="10" s="1"/>
  <c r="E167" i="10" s="1"/>
  <c r="E166" i="10" s="1"/>
  <c r="E165" i="10" s="1"/>
  <c r="E164" i="10" s="1"/>
  <c r="E163" i="10" s="1"/>
  <c r="E162" i="10" s="1"/>
  <c r="E161" i="10" s="1"/>
  <c r="E160" i="10" s="1"/>
  <c r="E159" i="10" s="1"/>
  <c r="E158" i="10" s="1"/>
  <c r="E157" i="10" s="1"/>
  <c r="E156" i="10" s="1"/>
  <c r="E155" i="10" s="1"/>
  <c r="E154" i="10" s="1"/>
  <c r="E153" i="10" s="1"/>
  <c r="E152" i="10" s="1"/>
  <c r="E151" i="10" s="1"/>
  <c r="E150" i="10" s="1"/>
  <c r="E149" i="10" s="1"/>
  <c r="E148" i="10" s="1"/>
  <c r="E147" i="10" s="1"/>
  <c r="E146" i="10" s="1"/>
  <c r="E145" i="10" s="1"/>
  <c r="E144" i="10" s="1"/>
  <c r="E143" i="10" s="1"/>
  <c r="E142" i="10" s="1"/>
  <c r="E141" i="10" s="1"/>
  <c r="E140" i="10" s="1"/>
  <c r="E139" i="10" s="1"/>
  <c r="E138" i="10" s="1"/>
  <c r="E137" i="10" s="1"/>
  <c r="E136" i="10" s="1"/>
  <c r="E135" i="10" s="1"/>
  <c r="E134" i="10" s="1"/>
  <c r="E133" i="10" s="1"/>
  <c r="E132" i="10" s="1"/>
  <c r="E131" i="10" s="1"/>
  <c r="E130" i="10" s="1"/>
  <c r="E129" i="10" s="1"/>
  <c r="E128" i="10" s="1"/>
  <c r="E127" i="10" s="1"/>
  <c r="E126" i="10" s="1"/>
  <c r="E125" i="10" s="1"/>
  <c r="E124" i="10" s="1"/>
  <c r="E123" i="10" s="1"/>
  <c r="E122" i="10" s="1"/>
  <c r="E121" i="10" s="1"/>
  <c r="E120" i="10" s="1"/>
  <c r="E119" i="10" s="1"/>
  <c r="E118" i="10" s="1"/>
  <c r="E117" i="10" s="1"/>
  <c r="E116" i="10" s="1"/>
  <c r="E115" i="10" s="1"/>
  <c r="E114" i="10" s="1"/>
  <c r="E113" i="10" s="1"/>
  <c r="E112" i="10" s="1"/>
  <c r="E111" i="10" s="1"/>
  <c r="E110" i="10" s="1"/>
  <c r="E109" i="10" s="1"/>
  <c r="E108" i="10" s="1"/>
  <c r="E107" i="10" s="1"/>
  <c r="E106" i="10" s="1"/>
  <c r="E105" i="10" s="1"/>
  <c r="E104" i="10" s="1"/>
  <c r="E103" i="10" s="1"/>
  <c r="E102" i="10" s="1"/>
  <c r="E101" i="10" s="1"/>
  <c r="E100" i="10" s="1"/>
  <c r="E99" i="10" s="1"/>
  <c r="E98" i="10" s="1"/>
  <c r="E97" i="10" s="1"/>
  <c r="E96" i="10" s="1"/>
  <c r="E95" i="10" s="1"/>
  <c r="E94" i="10" s="1"/>
  <c r="E93" i="10" s="1"/>
  <c r="E92" i="10" s="1"/>
  <c r="E91" i="10" s="1"/>
  <c r="E90" i="10" s="1"/>
  <c r="E89" i="10" s="1"/>
  <c r="E88" i="10" s="1"/>
  <c r="E87" i="10" s="1"/>
  <c r="E86" i="10" s="1"/>
  <c r="E85" i="10" s="1"/>
  <c r="E84" i="10" s="1"/>
  <c r="E83" i="10" s="1"/>
  <c r="E82" i="10" s="1"/>
  <c r="E81" i="10" s="1"/>
  <c r="E80" i="10" s="1"/>
  <c r="E79" i="10" s="1"/>
  <c r="E78" i="10" s="1"/>
  <c r="E77" i="10" s="1"/>
  <c r="E76" i="10" s="1"/>
  <c r="E75" i="10" s="1"/>
  <c r="E74" i="10" s="1"/>
  <c r="E73" i="10" s="1"/>
  <c r="E72" i="10" s="1"/>
  <c r="E71" i="10" s="1"/>
  <c r="E70" i="10" s="1"/>
  <c r="E69" i="10" s="1"/>
  <c r="E68" i="10" s="1"/>
  <c r="E67" i="10" s="1"/>
  <c r="E66" i="10" s="1"/>
  <c r="E65" i="10" s="1"/>
  <c r="E64" i="10" s="1"/>
  <c r="E63" i="10" s="1"/>
  <c r="E62" i="10" s="1"/>
  <c r="E61" i="10" s="1"/>
  <c r="E60" i="10" s="1"/>
  <c r="E59" i="10" s="1"/>
  <c r="E58" i="10" s="1"/>
  <c r="E57" i="10" s="1"/>
  <c r="E56" i="10" s="1"/>
  <c r="E55" i="10" s="1"/>
  <c r="E54" i="10" s="1"/>
  <c r="E53" i="10" s="1"/>
  <c r="E52" i="10" s="1"/>
  <c r="E51" i="10" s="1"/>
  <c r="E50" i="10" s="1"/>
  <c r="E49" i="10" s="1"/>
  <c r="E48" i="10" s="1"/>
  <c r="E47" i="10" s="1"/>
  <c r="E46" i="10" s="1"/>
  <c r="E45" i="10" s="1"/>
  <c r="E44" i="10" s="1"/>
  <c r="E43" i="10" s="1"/>
  <c r="E42" i="10" s="1"/>
  <c r="E41" i="10" s="1"/>
  <c r="E40" i="10" s="1"/>
  <c r="E39" i="10" s="1"/>
  <c r="E38" i="10" s="1"/>
  <c r="E37" i="10" s="1"/>
  <c r="E36" i="10" s="1"/>
  <c r="E35" i="10" s="1"/>
  <c r="E34" i="10" s="1"/>
  <c r="E33" i="10" s="1"/>
  <c r="E32" i="10" s="1"/>
  <c r="E31" i="10" s="1"/>
  <c r="E30" i="10" s="1"/>
  <c r="E29" i="10" s="1"/>
  <c r="E28" i="10" s="1"/>
  <c r="E27" i="10" s="1"/>
  <c r="B265" i="10"/>
  <c r="B264" i="10" s="1"/>
  <c r="B263" i="10" s="1"/>
  <c r="B262" i="10" s="1"/>
  <c r="B261" i="10" s="1"/>
  <c r="B260" i="10" s="1"/>
  <c r="B259" i="10" s="1"/>
  <c r="B258" i="10" s="1"/>
  <c r="B257" i="10" s="1"/>
  <c r="B256" i="10" s="1"/>
  <c r="B255" i="10" s="1"/>
  <c r="B254" i="10" s="1"/>
  <c r="B253" i="10" s="1"/>
  <c r="B252" i="10" s="1"/>
  <c r="B251" i="10" s="1"/>
  <c r="B250" i="10" s="1"/>
  <c r="B249" i="10" s="1"/>
  <c r="B248" i="10" s="1"/>
  <c r="B247" i="10" s="1"/>
  <c r="B246" i="10" s="1"/>
  <c r="B245" i="10" s="1"/>
  <c r="B244" i="10" s="1"/>
  <c r="B243" i="10" s="1"/>
  <c r="B242" i="10" s="1"/>
  <c r="B241" i="10" s="1"/>
  <c r="B240" i="10" s="1"/>
  <c r="B239" i="10" s="1"/>
  <c r="B238" i="10" s="1"/>
  <c r="B237" i="10" s="1"/>
  <c r="B236" i="10" s="1"/>
  <c r="B235" i="10" s="1"/>
  <c r="B234" i="10" s="1"/>
  <c r="B233" i="10" s="1"/>
  <c r="B232" i="10" s="1"/>
  <c r="B231" i="10" s="1"/>
  <c r="B230" i="10" s="1"/>
  <c r="B229" i="10" s="1"/>
  <c r="B228" i="10" s="1"/>
  <c r="B227" i="10" s="1"/>
  <c r="B226" i="10" s="1"/>
  <c r="B225" i="10" s="1"/>
  <c r="B224" i="10" s="1"/>
  <c r="B223" i="10" s="1"/>
  <c r="B222" i="10" s="1"/>
  <c r="B221" i="10" s="1"/>
  <c r="B220" i="10" s="1"/>
  <c r="B219" i="10" s="1"/>
  <c r="B218" i="10" s="1"/>
  <c r="B217" i="10" s="1"/>
  <c r="B216" i="10" s="1"/>
  <c r="B215" i="10" s="1"/>
  <c r="B214" i="10" s="1"/>
  <c r="B213" i="10" s="1"/>
  <c r="B212" i="10" s="1"/>
  <c r="B211" i="10" s="1"/>
  <c r="B210" i="10" s="1"/>
  <c r="B209" i="10" s="1"/>
  <c r="B208" i="10" s="1"/>
  <c r="B207" i="10" s="1"/>
  <c r="B206" i="10" s="1"/>
  <c r="B205" i="10" s="1"/>
  <c r="B204" i="10" s="1"/>
  <c r="B203" i="10" s="1"/>
  <c r="B202" i="10" s="1"/>
  <c r="B201" i="10" s="1"/>
  <c r="B200" i="10" s="1"/>
  <c r="B199" i="10" s="1"/>
  <c r="B198" i="10" s="1"/>
  <c r="B197" i="10" s="1"/>
  <c r="B196" i="10" s="1"/>
  <c r="B195" i="10" s="1"/>
  <c r="B194" i="10" s="1"/>
  <c r="B193" i="10" s="1"/>
  <c r="B192" i="10" s="1"/>
  <c r="B191" i="10" s="1"/>
  <c r="B190" i="10" s="1"/>
  <c r="B189" i="10" s="1"/>
  <c r="B188" i="10" s="1"/>
  <c r="B187" i="10" s="1"/>
  <c r="B186" i="10" s="1"/>
  <c r="B185" i="10" s="1"/>
  <c r="B184" i="10" s="1"/>
  <c r="B183" i="10" s="1"/>
  <c r="B182" i="10" s="1"/>
  <c r="B181" i="10" s="1"/>
  <c r="B180" i="10" s="1"/>
  <c r="B179" i="10" s="1"/>
  <c r="B178" i="10" s="1"/>
  <c r="B177" i="10" s="1"/>
  <c r="B176" i="10" s="1"/>
  <c r="B175" i="10" s="1"/>
  <c r="B174" i="10" s="1"/>
  <c r="B173" i="10" s="1"/>
  <c r="B172" i="10" s="1"/>
  <c r="B171" i="10" s="1"/>
  <c r="B170" i="10" s="1"/>
  <c r="B169" i="10" s="1"/>
  <c r="B168" i="10" s="1"/>
  <c r="B167" i="10" s="1"/>
  <c r="B166" i="10" s="1"/>
  <c r="B165" i="10" s="1"/>
  <c r="B164" i="10" s="1"/>
  <c r="B163" i="10" s="1"/>
  <c r="B162" i="10" s="1"/>
  <c r="B161" i="10" s="1"/>
  <c r="B160" i="10" s="1"/>
  <c r="B159" i="10" s="1"/>
  <c r="B158" i="10" s="1"/>
  <c r="B157" i="10" s="1"/>
  <c r="B156" i="10" s="1"/>
  <c r="B155" i="10" s="1"/>
  <c r="B154" i="10" s="1"/>
  <c r="B153" i="10" s="1"/>
  <c r="B152" i="10" s="1"/>
  <c r="B151" i="10" s="1"/>
  <c r="B150" i="10" s="1"/>
  <c r="B149" i="10" s="1"/>
  <c r="B148" i="10" s="1"/>
  <c r="B147" i="10" s="1"/>
  <c r="B146" i="10" s="1"/>
  <c r="B145" i="10" s="1"/>
  <c r="B144" i="10" s="1"/>
  <c r="B143" i="10" s="1"/>
  <c r="B142" i="10" s="1"/>
  <c r="B141" i="10" s="1"/>
  <c r="B140" i="10" s="1"/>
  <c r="B139" i="10" s="1"/>
  <c r="B138" i="10" s="1"/>
  <c r="B137" i="10" s="1"/>
  <c r="B136" i="10" s="1"/>
  <c r="B135" i="10" s="1"/>
  <c r="B134" i="10" s="1"/>
  <c r="B133" i="10" s="1"/>
  <c r="B132" i="10" s="1"/>
  <c r="B131" i="10" s="1"/>
  <c r="B130" i="10" s="1"/>
  <c r="B129" i="10" s="1"/>
  <c r="B128" i="10" s="1"/>
  <c r="B127" i="10" s="1"/>
  <c r="B126" i="10" s="1"/>
  <c r="B125" i="10" s="1"/>
  <c r="B124" i="10" s="1"/>
  <c r="B123" i="10" s="1"/>
  <c r="B122" i="10" s="1"/>
  <c r="B121" i="10" s="1"/>
  <c r="B120" i="10" s="1"/>
  <c r="B119" i="10" s="1"/>
  <c r="B118" i="10" s="1"/>
  <c r="B117" i="10" s="1"/>
  <c r="B116" i="10" s="1"/>
  <c r="B115" i="10" s="1"/>
  <c r="B114" i="10" s="1"/>
  <c r="B113" i="10" s="1"/>
  <c r="B112" i="10" s="1"/>
  <c r="B111" i="10" s="1"/>
  <c r="B110" i="10" s="1"/>
  <c r="B109" i="10" s="1"/>
  <c r="B108" i="10" s="1"/>
  <c r="B107" i="10" s="1"/>
  <c r="B106" i="10" s="1"/>
  <c r="B105" i="10" s="1"/>
  <c r="B104" i="10" s="1"/>
  <c r="B103" i="10" s="1"/>
  <c r="B102" i="10" s="1"/>
  <c r="B101" i="10" s="1"/>
  <c r="B100" i="10" s="1"/>
  <c r="B99" i="10" s="1"/>
  <c r="B98" i="10" s="1"/>
  <c r="B97" i="10" s="1"/>
  <c r="B96" i="10" s="1"/>
  <c r="B95" i="10" s="1"/>
  <c r="B94" i="10" s="1"/>
  <c r="B93" i="10" s="1"/>
  <c r="B92" i="10" s="1"/>
  <c r="B91" i="10" s="1"/>
  <c r="B90" i="10" s="1"/>
  <c r="B89" i="10" s="1"/>
  <c r="B88" i="10" s="1"/>
  <c r="B87" i="10" s="1"/>
  <c r="B86" i="10" s="1"/>
  <c r="B85" i="10" s="1"/>
  <c r="B84" i="10" s="1"/>
  <c r="B83" i="10" s="1"/>
  <c r="B82" i="10" s="1"/>
  <c r="B81" i="10" s="1"/>
  <c r="B80" i="10" s="1"/>
  <c r="B79" i="10" s="1"/>
  <c r="B78" i="10" s="1"/>
  <c r="B77" i="10" s="1"/>
  <c r="B76" i="10" s="1"/>
  <c r="B75" i="10" s="1"/>
  <c r="B74" i="10" s="1"/>
  <c r="B73" i="10" s="1"/>
  <c r="B72" i="10" s="1"/>
  <c r="B71" i="10" s="1"/>
  <c r="B70" i="10" s="1"/>
  <c r="B69" i="10" s="1"/>
  <c r="B68" i="10" s="1"/>
  <c r="B67" i="10" s="1"/>
  <c r="B66" i="10" s="1"/>
  <c r="B65" i="10" s="1"/>
  <c r="B64" i="10" s="1"/>
  <c r="B63" i="10" s="1"/>
  <c r="B62" i="10" s="1"/>
  <c r="B61" i="10" s="1"/>
  <c r="B60" i="10" s="1"/>
  <c r="B59" i="10" s="1"/>
  <c r="B58" i="10" s="1"/>
  <c r="B57" i="10" s="1"/>
  <c r="B56" i="10" s="1"/>
  <c r="B55" i="10" s="1"/>
  <c r="B54" i="10" s="1"/>
  <c r="B53" i="10" s="1"/>
  <c r="B52" i="10" s="1"/>
  <c r="B51" i="10" s="1"/>
  <c r="B50" i="10" s="1"/>
  <c r="B49" i="10" s="1"/>
  <c r="B48" i="10" s="1"/>
  <c r="B47" i="10" s="1"/>
  <c r="B46" i="10" s="1"/>
  <c r="B45" i="10" s="1"/>
  <c r="B44" i="10" s="1"/>
  <c r="B43" i="10" s="1"/>
  <c r="B42" i="10" s="1"/>
  <c r="B41" i="10" s="1"/>
  <c r="B40" i="10" s="1"/>
  <c r="B39" i="10" s="1"/>
  <c r="B38" i="10" s="1"/>
  <c r="B37" i="10" s="1"/>
  <c r="B36" i="10" s="1"/>
  <c r="B35" i="10" s="1"/>
  <c r="B34" i="10" s="1"/>
  <c r="B33" i="10" s="1"/>
  <c r="B32" i="10" s="1"/>
  <c r="B31" i="10" s="1"/>
  <c r="B30" i="10" s="1"/>
  <c r="B29" i="10" s="1"/>
  <c r="B28" i="10" s="1"/>
  <c r="B27" i="10" s="1"/>
  <c r="D3" i="10"/>
  <c r="C11" i="10"/>
  <c r="E37" i="7" s="1"/>
  <c r="D266" i="10" l="1"/>
  <c r="D265" i="10" s="1"/>
  <c r="D264" i="10" s="1"/>
  <c r="D263" i="10" s="1"/>
  <c r="D262" i="10" s="1"/>
  <c r="D261" i="10" s="1"/>
  <c r="D260" i="10" s="1"/>
  <c r="D259" i="10" s="1"/>
  <c r="D258" i="10" s="1"/>
  <c r="D257" i="10" s="1"/>
  <c r="D256" i="10" s="1"/>
  <c r="D255" i="10" s="1"/>
  <c r="D254" i="10" s="1"/>
  <c r="D253" i="10" s="1"/>
  <c r="D252" i="10" s="1"/>
  <c r="D251" i="10" s="1"/>
  <c r="D250" i="10" s="1"/>
  <c r="D249" i="10" s="1"/>
  <c r="D248" i="10" s="1"/>
  <c r="D247" i="10" s="1"/>
  <c r="D246" i="10" s="1"/>
  <c r="D245" i="10" s="1"/>
  <c r="D244" i="10" s="1"/>
  <c r="D243" i="10" s="1"/>
  <c r="D242" i="10" s="1"/>
  <c r="D241" i="10" s="1"/>
  <c r="D240" i="10" s="1"/>
  <c r="D239" i="10" s="1"/>
  <c r="D238" i="10" s="1"/>
  <c r="D237" i="10" s="1"/>
  <c r="D236" i="10" s="1"/>
  <c r="D235" i="10" s="1"/>
  <c r="D234" i="10" s="1"/>
  <c r="D233" i="10" s="1"/>
  <c r="D232" i="10" s="1"/>
  <c r="D231" i="10" s="1"/>
  <c r="D230" i="10" s="1"/>
  <c r="D229" i="10" s="1"/>
  <c r="D228" i="10" s="1"/>
  <c r="D227" i="10" s="1"/>
  <c r="D226" i="10" s="1"/>
  <c r="D225" i="10" s="1"/>
  <c r="D224" i="10" s="1"/>
  <c r="D223" i="10" s="1"/>
  <c r="D222" i="10" s="1"/>
  <c r="D221" i="10" s="1"/>
  <c r="D220" i="10" s="1"/>
  <c r="D219" i="10" s="1"/>
  <c r="D218" i="10" s="1"/>
  <c r="D217" i="10" s="1"/>
  <c r="D216" i="10" s="1"/>
  <c r="D215" i="10" s="1"/>
  <c r="D214" i="10" s="1"/>
  <c r="D213" i="10" s="1"/>
  <c r="D212" i="10" s="1"/>
  <c r="D211" i="10" s="1"/>
  <c r="D210" i="10" s="1"/>
  <c r="D209" i="10" s="1"/>
  <c r="D208" i="10" s="1"/>
  <c r="D207" i="10" s="1"/>
  <c r="D206" i="10" s="1"/>
  <c r="D205" i="10" s="1"/>
  <c r="D204" i="10" s="1"/>
  <c r="D203" i="10" s="1"/>
  <c r="D202" i="10" s="1"/>
  <c r="D201" i="10" s="1"/>
  <c r="D200" i="10" s="1"/>
  <c r="D199" i="10" s="1"/>
  <c r="D198" i="10" s="1"/>
  <c r="D197" i="10" s="1"/>
  <c r="D196" i="10" s="1"/>
  <c r="D195" i="10" s="1"/>
  <c r="D194" i="10" s="1"/>
  <c r="D193" i="10" s="1"/>
  <c r="D192" i="10" s="1"/>
  <c r="D191" i="10" s="1"/>
  <c r="D190" i="10" s="1"/>
  <c r="D189" i="10" s="1"/>
  <c r="D188" i="10" s="1"/>
  <c r="D187" i="10" s="1"/>
  <c r="D186" i="10" s="1"/>
  <c r="D185" i="10" s="1"/>
  <c r="D184" i="10" s="1"/>
  <c r="D183" i="10" s="1"/>
  <c r="D182" i="10" s="1"/>
  <c r="D181" i="10" s="1"/>
  <c r="D180" i="10" s="1"/>
  <c r="D179" i="10" s="1"/>
  <c r="D178" i="10" s="1"/>
  <c r="D177" i="10" s="1"/>
  <c r="D176" i="10" s="1"/>
  <c r="D175" i="10" s="1"/>
  <c r="D174" i="10" s="1"/>
  <c r="D173" i="10" s="1"/>
  <c r="D172" i="10" s="1"/>
  <c r="D171" i="10" s="1"/>
  <c r="D170" i="10" s="1"/>
  <c r="D169" i="10" s="1"/>
  <c r="D168" i="10" s="1"/>
  <c r="D167" i="10" s="1"/>
  <c r="D166" i="10" s="1"/>
  <c r="D165" i="10" s="1"/>
  <c r="D164" i="10" s="1"/>
  <c r="D163" i="10" s="1"/>
  <c r="D162" i="10" s="1"/>
  <c r="D161" i="10" s="1"/>
  <c r="D160" i="10" s="1"/>
  <c r="D159" i="10" s="1"/>
  <c r="D158" i="10" s="1"/>
  <c r="D157" i="10" s="1"/>
  <c r="D156" i="10" s="1"/>
  <c r="D155" i="10" s="1"/>
  <c r="D154" i="10" s="1"/>
  <c r="D153" i="10" s="1"/>
  <c r="D152" i="10" s="1"/>
  <c r="D151" i="10" s="1"/>
  <c r="D150" i="10" s="1"/>
  <c r="D149" i="10" s="1"/>
  <c r="D148" i="10" s="1"/>
  <c r="D147" i="10" s="1"/>
  <c r="D146" i="10" s="1"/>
  <c r="D145" i="10" s="1"/>
  <c r="D144" i="10" s="1"/>
  <c r="D143" i="10" s="1"/>
  <c r="D142" i="10" s="1"/>
  <c r="D141" i="10" s="1"/>
  <c r="D140" i="10" s="1"/>
  <c r="D139" i="10" s="1"/>
  <c r="D138" i="10" s="1"/>
  <c r="D137" i="10" s="1"/>
  <c r="D136" i="10" s="1"/>
  <c r="D135" i="10" s="1"/>
  <c r="D134" i="10" s="1"/>
  <c r="D133" i="10" s="1"/>
  <c r="D132" i="10" s="1"/>
  <c r="D131" i="10" s="1"/>
  <c r="D130" i="10" s="1"/>
  <c r="D129" i="10" s="1"/>
  <c r="D128" i="10" s="1"/>
  <c r="D127" i="10" s="1"/>
  <c r="D126" i="10" s="1"/>
  <c r="D125" i="10" s="1"/>
  <c r="D124" i="10" s="1"/>
  <c r="D123" i="10" s="1"/>
  <c r="D122" i="10" s="1"/>
  <c r="D121" i="10" s="1"/>
  <c r="D120" i="10" s="1"/>
  <c r="D119" i="10" s="1"/>
  <c r="D118" i="10" s="1"/>
  <c r="D117" i="10" s="1"/>
  <c r="D116" i="10" s="1"/>
  <c r="D115" i="10" s="1"/>
  <c r="D114" i="10" s="1"/>
  <c r="D113" i="10" s="1"/>
  <c r="D112" i="10" s="1"/>
  <c r="D111" i="10" s="1"/>
  <c r="D110" i="10" s="1"/>
  <c r="D109" i="10" s="1"/>
  <c r="D108" i="10" s="1"/>
  <c r="D107" i="10" s="1"/>
  <c r="D106" i="10" s="1"/>
  <c r="D105" i="10" s="1"/>
  <c r="D104" i="10" s="1"/>
  <c r="D103" i="10" s="1"/>
  <c r="D102" i="10" s="1"/>
  <c r="D101" i="10" s="1"/>
  <c r="D100" i="10" s="1"/>
  <c r="D99" i="10" s="1"/>
  <c r="D98" i="10" s="1"/>
  <c r="D97" i="10" s="1"/>
  <c r="D96" i="10" s="1"/>
  <c r="D95" i="10" s="1"/>
  <c r="D94" i="10" s="1"/>
  <c r="D93" i="10" s="1"/>
  <c r="D92" i="10" s="1"/>
  <c r="D91" i="10" s="1"/>
  <c r="D90" i="10" s="1"/>
  <c r="D89" i="10" s="1"/>
  <c r="D88" i="10" s="1"/>
  <c r="D87" i="10" s="1"/>
  <c r="D86" i="10" s="1"/>
  <c r="D85" i="10" s="1"/>
  <c r="D84" i="10" s="1"/>
  <c r="D83" i="10" s="1"/>
  <c r="D82" i="10" s="1"/>
  <c r="D81" i="10" s="1"/>
  <c r="D80" i="10" s="1"/>
  <c r="D79" i="10" s="1"/>
  <c r="D78" i="10" s="1"/>
  <c r="D77" i="10" s="1"/>
  <c r="D76" i="10" s="1"/>
  <c r="D75" i="10" s="1"/>
  <c r="D74" i="10" s="1"/>
  <c r="D73" i="10" s="1"/>
  <c r="D72" i="10" s="1"/>
  <c r="D71" i="10" s="1"/>
  <c r="D70" i="10" s="1"/>
  <c r="D69" i="10" s="1"/>
  <c r="D68" i="10" s="1"/>
  <c r="D67" i="10" s="1"/>
  <c r="D66" i="10" s="1"/>
  <c r="D65" i="10" s="1"/>
  <c r="D64" i="10" s="1"/>
  <c r="D63" i="10" s="1"/>
  <c r="D62" i="10" s="1"/>
  <c r="D61" i="10" s="1"/>
  <c r="D60" i="10" s="1"/>
  <c r="D59" i="10" s="1"/>
  <c r="D58" i="10" s="1"/>
  <c r="D57" i="10" s="1"/>
  <c r="D56" i="10" s="1"/>
  <c r="D55" i="10" s="1"/>
  <c r="D54" i="10" s="1"/>
  <c r="D53" i="10" s="1"/>
  <c r="D52" i="10" s="1"/>
  <c r="D51" i="10" s="1"/>
  <c r="D50" i="10" s="1"/>
  <c r="D49" i="10" s="1"/>
  <c r="D48" i="10" s="1"/>
  <c r="D47" i="10" s="1"/>
  <c r="D46" i="10" s="1"/>
  <c r="D45" i="10" s="1"/>
  <c r="D44" i="10" s="1"/>
  <c r="D43" i="10" s="1"/>
  <c r="D42" i="10" s="1"/>
  <c r="D41" i="10" s="1"/>
  <c r="D40" i="10" s="1"/>
  <c r="D39" i="10" s="1"/>
  <c r="D38" i="10" s="1"/>
  <c r="D37" i="10" s="1"/>
  <c r="D36" i="10" s="1"/>
  <c r="D35" i="10" s="1"/>
  <c r="D34" i="10" s="1"/>
  <c r="D33" i="10" s="1"/>
  <c r="D32" i="10" s="1"/>
  <c r="D31" i="10" s="1"/>
  <c r="D30" i="10" s="1"/>
  <c r="D29" i="10" s="1"/>
  <c r="D28" i="10" s="1"/>
  <c r="D27" i="10" s="1"/>
  <c r="O30" i="7"/>
  <c r="E32" i="5"/>
  <c r="G266" i="10"/>
  <c r="C23" i="10"/>
  <c r="E36" i="7" s="1"/>
  <c r="E3" i="10"/>
  <c r="D11" i="10"/>
  <c r="F37" i="7" s="1"/>
  <c r="E15" i="10"/>
  <c r="D23" i="10"/>
  <c r="F36" i="7" s="1"/>
  <c r="F3" i="10" l="1"/>
  <c r="E11" i="10"/>
  <c r="G37" i="7" s="1"/>
  <c r="F15" i="10"/>
  <c r="E23" i="10"/>
  <c r="G36" i="7" s="1"/>
  <c r="A266" i="10"/>
  <c r="G265" i="10"/>
  <c r="F23" i="10" l="1"/>
  <c r="H36" i="7" s="1"/>
  <c r="G15" i="10"/>
  <c r="G264" i="10"/>
  <c r="A265" i="10"/>
  <c r="F11" i="10"/>
  <c r="H37" i="7" s="1"/>
  <c r="G3" i="10"/>
  <c r="A264" i="10" l="1"/>
  <c r="G263" i="10"/>
  <c r="H15" i="10"/>
  <c r="G23" i="10"/>
  <c r="I36" i="7" s="1"/>
  <c r="H3" i="10"/>
  <c r="G11" i="10"/>
  <c r="I37" i="7" s="1"/>
  <c r="I15" i="10" l="1"/>
  <c r="H23" i="10"/>
  <c r="J36" i="7" s="1"/>
  <c r="A263" i="10"/>
  <c r="G262" i="10"/>
  <c r="I3" i="10"/>
  <c r="H11" i="10"/>
  <c r="J37" i="7" s="1"/>
  <c r="A262" i="10" l="1"/>
  <c r="G261" i="10"/>
  <c r="J3" i="10"/>
  <c r="I11" i="10"/>
  <c r="K37" i="7" s="1"/>
  <c r="I23" i="10"/>
  <c r="K36" i="7" s="1"/>
  <c r="J15" i="10"/>
  <c r="K15" i="10" l="1"/>
  <c r="K23" i="10" s="1"/>
  <c r="M36" i="7" s="1"/>
  <c r="J23" i="10"/>
  <c r="L36" i="7" s="1"/>
  <c r="A261" i="10"/>
  <c r="G260" i="10"/>
  <c r="J11" i="10"/>
  <c r="L37" i="7" s="1"/>
  <c r="K3" i="10"/>
  <c r="K11" i="10" s="1"/>
  <c r="M37" i="7" s="1"/>
  <c r="K38" i="7" l="1"/>
  <c r="A260" i="10"/>
  <c r="G259" i="10"/>
  <c r="A259" i="10" l="1"/>
  <c r="G258" i="10"/>
  <c r="G257" i="10" l="1"/>
  <c r="A258" i="10"/>
  <c r="A257" i="10" l="1"/>
  <c r="G256" i="10"/>
  <c r="A256" i="10" l="1"/>
  <c r="G255" i="10"/>
  <c r="G254" i="10" l="1"/>
  <c r="A255" i="10"/>
  <c r="G253" i="10" l="1"/>
  <c r="A254" i="10"/>
  <c r="G252" i="10" l="1"/>
  <c r="A253" i="10"/>
  <c r="A252" i="10" l="1"/>
  <c r="G251" i="10"/>
  <c r="G250" i="10" l="1"/>
  <c r="A251" i="10"/>
  <c r="G249" i="10" l="1"/>
  <c r="A250" i="10"/>
  <c r="G248" i="10" l="1"/>
  <c r="A249" i="10"/>
  <c r="A248" i="10" l="1"/>
  <c r="G247" i="10"/>
  <c r="G246" i="10" l="1"/>
  <c r="A247" i="10"/>
  <c r="G245" i="10" l="1"/>
  <c r="A246" i="10"/>
  <c r="G244" i="10" l="1"/>
  <c r="A245" i="10"/>
  <c r="A244" i="10" l="1"/>
  <c r="G243" i="10"/>
  <c r="A243" i="10" l="1"/>
  <c r="G242" i="10"/>
  <c r="A242" i="10" l="1"/>
  <c r="G241" i="10"/>
  <c r="G240" i="10" l="1"/>
  <c r="A241" i="10"/>
  <c r="G239" i="10" l="1"/>
  <c r="A240" i="10"/>
  <c r="A239" i="10" l="1"/>
  <c r="G238" i="10"/>
  <c r="A238" i="10" l="1"/>
  <c r="G237" i="10"/>
  <c r="G236" i="10" l="1"/>
  <c r="A237" i="10"/>
  <c r="A236" i="10" l="1"/>
  <c r="G235" i="10"/>
  <c r="G234" i="10" l="1"/>
  <c r="A235" i="10"/>
  <c r="G233" i="10" l="1"/>
  <c r="A234" i="10"/>
  <c r="A233" i="10" l="1"/>
  <c r="G232" i="10"/>
  <c r="A232" i="10" l="1"/>
  <c r="G231" i="10"/>
  <c r="A231" i="10" l="1"/>
  <c r="G230" i="10"/>
  <c r="G229" i="10" l="1"/>
  <c r="A230" i="10"/>
  <c r="G228" i="10" l="1"/>
  <c r="A229" i="10"/>
  <c r="A228" i="10" l="1"/>
  <c r="G227" i="10"/>
  <c r="A227" i="10" l="1"/>
  <c r="G226" i="10"/>
  <c r="A226" i="10" l="1"/>
  <c r="G225" i="10"/>
  <c r="A225" i="10" l="1"/>
  <c r="G224" i="10"/>
  <c r="A224" i="10" l="1"/>
  <c r="G223" i="10"/>
  <c r="G222" i="10" l="1"/>
  <c r="A223" i="10"/>
  <c r="G221" i="10" l="1"/>
  <c r="A222" i="10"/>
  <c r="G220" i="10" l="1"/>
  <c r="A221" i="10"/>
  <c r="A220" i="10" l="1"/>
  <c r="G219" i="10"/>
  <c r="G218" i="10" l="1"/>
  <c r="A219" i="10"/>
  <c r="A218" i="10" l="1"/>
  <c r="G217" i="10"/>
  <c r="A217" i="10" l="1"/>
  <c r="G216" i="10"/>
  <c r="A216" i="10" l="1"/>
  <c r="G215" i="10"/>
  <c r="A215" i="10" l="1"/>
  <c r="G214" i="10"/>
  <c r="A214" i="10" l="1"/>
  <c r="G213" i="10"/>
  <c r="G212" i="10" l="1"/>
  <c r="A213" i="10"/>
  <c r="A212" i="10" l="1"/>
  <c r="G211" i="10"/>
  <c r="A211" i="10" l="1"/>
  <c r="G210" i="10"/>
  <c r="G209" i="10" l="1"/>
  <c r="A210" i="10"/>
  <c r="G208" i="10" l="1"/>
  <c r="A209" i="10"/>
  <c r="A208" i="10" l="1"/>
  <c r="G207" i="10"/>
  <c r="G206" i="10" l="1"/>
  <c r="A207" i="10"/>
  <c r="G205" i="10" l="1"/>
  <c r="A206" i="10"/>
  <c r="A205" i="10" l="1"/>
  <c r="G204" i="10"/>
  <c r="A204" i="10" l="1"/>
  <c r="G203" i="10"/>
  <c r="G202" i="10" l="1"/>
  <c r="A203" i="10"/>
  <c r="A202" i="10" l="1"/>
  <c r="G201" i="10"/>
  <c r="A201" i="10" l="1"/>
  <c r="G200" i="10"/>
  <c r="G199" i="10" l="1"/>
  <c r="A200" i="10"/>
  <c r="A199" i="10" l="1"/>
  <c r="G198" i="10"/>
  <c r="A198" i="10" l="1"/>
  <c r="G197" i="10"/>
  <c r="A197" i="10" l="1"/>
  <c r="G196" i="10"/>
  <c r="A196" i="10" l="1"/>
  <c r="G195" i="10"/>
  <c r="G194" i="10" l="1"/>
  <c r="A195" i="10"/>
  <c r="G193" i="10" l="1"/>
  <c r="A194" i="10"/>
  <c r="G192" i="10" l="1"/>
  <c r="A193" i="10"/>
  <c r="G191" i="10" l="1"/>
  <c r="A192" i="10"/>
  <c r="A191" i="10" l="1"/>
  <c r="G190" i="10"/>
  <c r="A190" i="10" l="1"/>
  <c r="G189" i="10"/>
  <c r="G188" i="10" l="1"/>
  <c r="A189" i="10"/>
  <c r="A188" i="10" l="1"/>
  <c r="G187" i="10"/>
  <c r="A187" i="10" l="1"/>
  <c r="G186" i="10"/>
  <c r="G185" i="10" l="1"/>
  <c r="A186" i="10"/>
  <c r="A185" i="10" l="1"/>
  <c r="G184" i="10"/>
  <c r="G183" i="10" l="1"/>
  <c r="A184" i="10"/>
  <c r="A183" i="10" l="1"/>
  <c r="G182" i="10"/>
  <c r="A182" i="10" l="1"/>
  <c r="G181" i="10"/>
  <c r="A181" i="10" l="1"/>
  <c r="G180" i="10"/>
  <c r="G179" i="10" l="1"/>
  <c r="A180" i="10"/>
  <c r="A179" i="10" l="1"/>
  <c r="G178" i="10"/>
  <c r="A178" i="10" l="1"/>
  <c r="G177" i="10"/>
  <c r="A177" i="10" l="1"/>
  <c r="G176" i="10"/>
  <c r="G175" i="10" l="1"/>
  <c r="A176" i="10"/>
  <c r="A175" i="10" l="1"/>
  <c r="G174" i="10"/>
  <c r="G173" i="10" l="1"/>
  <c r="A174" i="10"/>
  <c r="G172" i="10" l="1"/>
  <c r="A173" i="10"/>
  <c r="A172" i="10" l="1"/>
  <c r="G171" i="10"/>
  <c r="G170" i="10" l="1"/>
  <c r="A171" i="10"/>
  <c r="G169" i="10" l="1"/>
  <c r="A170" i="10"/>
  <c r="G168" i="10" l="1"/>
  <c r="A169" i="10"/>
  <c r="A168" i="10" l="1"/>
  <c r="G167" i="10"/>
  <c r="G166" i="10" l="1"/>
  <c r="A167" i="10"/>
  <c r="A166" i="10" l="1"/>
  <c r="G165" i="10"/>
  <c r="G164" i="10" l="1"/>
  <c r="A165" i="10"/>
  <c r="A164" i="10" l="1"/>
  <c r="G163" i="10"/>
  <c r="A163" i="10" l="1"/>
  <c r="G162" i="10"/>
  <c r="G161" i="10" l="1"/>
  <c r="A162" i="10"/>
  <c r="A161" i="10" l="1"/>
  <c r="G160" i="10"/>
  <c r="A160" i="10" l="1"/>
  <c r="G159" i="10"/>
  <c r="G158" i="10" l="1"/>
  <c r="A159" i="10"/>
  <c r="A158" i="10" l="1"/>
  <c r="G157" i="10"/>
  <c r="A157" i="10" l="1"/>
  <c r="G156" i="10"/>
  <c r="A156" i="10" l="1"/>
  <c r="G155" i="10"/>
  <c r="A155" i="10" l="1"/>
  <c r="G154" i="10"/>
  <c r="G153" i="10" l="1"/>
  <c r="A154" i="10"/>
  <c r="G152" i="10" l="1"/>
  <c r="A153" i="10"/>
  <c r="A152" i="10" l="1"/>
  <c r="G151" i="10"/>
  <c r="G150" i="10" l="1"/>
  <c r="A151" i="10"/>
  <c r="G149" i="10" l="1"/>
  <c r="A150" i="10"/>
  <c r="A149" i="10" l="1"/>
  <c r="G148" i="10"/>
  <c r="A148" i="10" l="1"/>
  <c r="G147" i="10"/>
  <c r="G146" i="10" l="1"/>
  <c r="A147" i="10"/>
  <c r="A146" i="10" l="1"/>
  <c r="G145" i="10"/>
  <c r="G144" i="10" l="1"/>
  <c r="A145" i="10"/>
  <c r="G143" i="10" l="1"/>
  <c r="A144" i="10"/>
  <c r="G142" i="10" l="1"/>
  <c r="A143" i="10"/>
  <c r="G141" i="10" l="1"/>
  <c r="A142" i="10"/>
  <c r="G140" i="10" l="1"/>
  <c r="A141" i="10"/>
  <c r="G139" i="10" l="1"/>
  <c r="A140" i="10"/>
  <c r="A139" i="10" l="1"/>
  <c r="G138" i="10"/>
  <c r="A138" i="10" l="1"/>
  <c r="G137" i="10"/>
  <c r="G136" i="10" l="1"/>
  <c r="A137" i="10"/>
  <c r="G135" i="10" l="1"/>
  <c r="A136" i="10"/>
  <c r="A135" i="10" l="1"/>
  <c r="G134" i="10"/>
  <c r="G133" i="10" l="1"/>
  <c r="A134" i="10"/>
  <c r="A133" i="10" l="1"/>
  <c r="G132" i="10"/>
  <c r="G131" i="10" l="1"/>
  <c r="A132" i="10"/>
  <c r="G130" i="10" l="1"/>
  <c r="A131" i="10"/>
  <c r="G129" i="10" l="1"/>
  <c r="A130" i="10"/>
  <c r="A129" i="10" l="1"/>
  <c r="G128" i="10"/>
  <c r="G127" i="10" l="1"/>
  <c r="A128" i="10"/>
  <c r="A127" i="10" l="1"/>
  <c r="G126" i="10"/>
  <c r="G125" i="10" l="1"/>
  <c r="A126" i="10"/>
  <c r="G124" i="10" l="1"/>
  <c r="A125" i="10"/>
  <c r="G123" i="10" l="1"/>
  <c r="A124" i="10"/>
  <c r="A123" i="10" l="1"/>
  <c r="G122" i="10"/>
  <c r="G121" i="10" l="1"/>
  <c r="A122" i="10"/>
  <c r="G120" i="10" l="1"/>
  <c r="A121" i="10"/>
  <c r="G119" i="10" l="1"/>
  <c r="A120" i="10"/>
  <c r="A119" i="10" l="1"/>
  <c r="G118" i="10"/>
  <c r="G117" i="10" l="1"/>
  <c r="A118" i="10"/>
  <c r="G116" i="10" l="1"/>
  <c r="A117" i="10"/>
  <c r="A116" i="10" l="1"/>
  <c r="G115" i="10"/>
  <c r="G114" i="10" l="1"/>
  <c r="A115" i="10"/>
  <c r="A114" i="10" l="1"/>
  <c r="G113" i="10"/>
  <c r="A113" i="10" l="1"/>
  <c r="G112" i="10"/>
  <c r="G111" i="10" l="1"/>
  <c r="A112" i="10"/>
  <c r="A111" i="10" l="1"/>
  <c r="G110" i="10"/>
  <c r="A110" i="10" l="1"/>
  <c r="G109" i="10"/>
  <c r="G108" i="10" l="1"/>
  <c r="A109" i="10"/>
  <c r="A108" i="10" l="1"/>
  <c r="G107" i="10"/>
  <c r="A107" i="10" l="1"/>
  <c r="G106" i="10"/>
  <c r="A106" i="10" l="1"/>
  <c r="G105" i="10"/>
  <c r="A105" i="10" l="1"/>
  <c r="G104" i="10"/>
  <c r="A104" i="10" l="1"/>
  <c r="G103" i="10"/>
  <c r="A103" i="10" l="1"/>
  <c r="G102" i="10"/>
  <c r="G101" i="10" l="1"/>
  <c r="A102" i="10"/>
  <c r="G100" i="10" l="1"/>
  <c r="A101" i="10"/>
  <c r="G99" i="10" l="1"/>
  <c r="A100" i="10"/>
  <c r="A99" i="10" l="1"/>
  <c r="G98" i="10"/>
  <c r="G97" i="10" l="1"/>
  <c r="A98" i="10"/>
  <c r="G96" i="10" l="1"/>
  <c r="A97" i="10"/>
  <c r="A96" i="10" l="1"/>
  <c r="G95" i="10"/>
  <c r="G94" i="10" l="1"/>
  <c r="A95" i="10"/>
  <c r="G93" i="10" l="1"/>
  <c r="A94" i="10"/>
  <c r="G92" i="10" l="1"/>
  <c r="A93" i="10"/>
  <c r="A92" i="10" l="1"/>
  <c r="G91" i="10"/>
  <c r="A91" i="10" l="1"/>
  <c r="G90" i="10"/>
  <c r="G89" i="10" l="1"/>
  <c r="A90" i="10"/>
  <c r="A89" i="10" l="1"/>
  <c r="G88" i="10"/>
  <c r="A88" i="10" l="1"/>
  <c r="G87" i="10"/>
  <c r="A87" i="10" l="1"/>
  <c r="G86" i="10"/>
  <c r="G85" i="10" l="1"/>
  <c r="A86" i="10"/>
  <c r="A85" i="10" l="1"/>
  <c r="G84" i="10"/>
  <c r="A84" i="10" l="1"/>
  <c r="G83" i="10"/>
  <c r="G82" i="10" l="1"/>
  <c r="A83" i="10"/>
  <c r="A82" i="10" l="1"/>
  <c r="G81" i="10"/>
  <c r="A81" i="10" l="1"/>
  <c r="G80" i="10"/>
  <c r="A80" i="10" l="1"/>
  <c r="G79" i="10"/>
  <c r="G78" i="10" l="1"/>
  <c r="A79" i="10"/>
  <c r="G77" i="10" l="1"/>
  <c r="A78" i="10"/>
  <c r="G76" i="10" l="1"/>
  <c r="A77" i="10"/>
  <c r="A76" i="10" l="1"/>
  <c r="G75" i="10"/>
  <c r="A75" i="10" l="1"/>
  <c r="G74" i="10"/>
  <c r="G73" i="10" l="1"/>
  <c r="A74" i="10"/>
  <c r="A73" i="10" l="1"/>
  <c r="G72" i="10"/>
  <c r="A72" i="10" l="1"/>
  <c r="G71" i="10"/>
  <c r="A71" i="10" l="1"/>
  <c r="G70" i="10"/>
  <c r="A70" i="10" l="1"/>
  <c r="G69" i="10"/>
  <c r="G68" i="10" l="1"/>
  <c r="A69" i="10"/>
  <c r="G67" i="10" l="1"/>
  <c r="A68" i="10"/>
  <c r="G66" i="10" l="1"/>
  <c r="A67" i="10"/>
  <c r="G65" i="10" l="1"/>
  <c r="A66" i="10"/>
  <c r="G64" i="10" l="1"/>
  <c r="A65" i="10"/>
  <c r="A64" i="10" l="1"/>
  <c r="G63" i="10"/>
  <c r="G62" i="10" l="1"/>
  <c r="A63" i="10"/>
  <c r="A62" i="10" l="1"/>
  <c r="G61" i="10"/>
  <c r="G60" i="10" l="1"/>
  <c r="A61" i="10"/>
  <c r="G59" i="10" l="1"/>
  <c r="A60" i="10"/>
  <c r="A59" i="10" l="1"/>
  <c r="G58" i="10"/>
  <c r="G57" i="10" l="1"/>
  <c r="A58" i="10"/>
  <c r="G56" i="10" l="1"/>
  <c r="A57" i="10"/>
  <c r="G55" i="10" l="1"/>
  <c r="A56" i="10"/>
  <c r="A55" i="10" l="1"/>
  <c r="G54" i="10"/>
  <c r="A54" i="10" l="1"/>
  <c r="G53" i="10"/>
  <c r="G52" i="10" l="1"/>
  <c r="A53" i="10"/>
  <c r="A52" i="10" l="1"/>
  <c r="G51" i="10"/>
  <c r="G50" i="10" l="1"/>
  <c r="A51" i="10"/>
  <c r="A50" i="10" l="1"/>
  <c r="G49" i="10"/>
  <c r="G48" i="10" l="1"/>
  <c r="A49" i="10"/>
  <c r="A48" i="10" l="1"/>
  <c r="G47" i="10"/>
  <c r="A47" i="10" l="1"/>
  <c r="G46" i="10"/>
  <c r="A46" i="10" l="1"/>
  <c r="G45" i="10"/>
  <c r="A45" i="10" l="1"/>
  <c r="G44" i="10"/>
  <c r="G43" i="10" l="1"/>
  <c r="A44" i="10"/>
  <c r="G42" i="10" l="1"/>
  <c r="A43" i="10"/>
  <c r="A42" i="10" l="1"/>
  <c r="G41" i="10"/>
  <c r="A41" i="10" l="1"/>
  <c r="G40" i="10"/>
  <c r="A40" i="10" l="1"/>
  <c r="G39" i="10"/>
  <c r="A39" i="10" l="1"/>
  <c r="G38" i="10"/>
  <c r="G37" i="10" l="1"/>
  <c r="A38" i="10"/>
  <c r="G36" i="10" l="1"/>
  <c r="A37" i="10"/>
  <c r="A36" i="10" l="1"/>
  <c r="G35" i="10"/>
  <c r="G34" i="10" l="1"/>
  <c r="A35" i="10"/>
  <c r="A34" i="10" l="1"/>
  <c r="G33" i="10"/>
  <c r="G32" i="10" l="1"/>
  <c r="A33" i="10"/>
  <c r="G31" i="10" l="1"/>
  <c r="A32" i="10"/>
  <c r="A31" i="10" l="1"/>
  <c r="G30" i="10"/>
  <c r="A30" i="10" l="1"/>
  <c r="G29" i="10"/>
  <c r="G28" i="10" l="1"/>
  <c r="A29" i="10"/>
  <c r="O21" i="7" l="1"/>
  <c r="G27" i="10"/>
  <c r="A27" i="10" s="1"/>
  <c r="A28" i="10"/>
</calcChain>
</file>

<file path=xl/sharedStrings.xml><?xml version="1.0" encoding="utf-8"?>
<sst xmlns="http://schemas.openxmlformats.org/spreadsheetml/2006/main" count="389" uniqueCount="263">
  <si>
    <t>TOTALS</t>
  </si>
  <si>
    <t>minutes</t>
  </si>
  <si>
    <t>MECHANICAL SPACE</t>
  </si>
  <si>
    <t>FILTER BACKWASH</t>
  </si>
  <si>
    <t>SAND FILTER DATA</t>
  </si>
  <si>
    <t>ITEM / DESCRIPTION</t>
  </si>
  <si>
    <t>FILTER MEDIA</t>
  </si>
  <si>
    <t>FILTER PURCHASE PRICE</t>
  </si>
  <si>
    <t>POTABLE WATER FEE</t>
  </si>
  <si>
    <t>SEWER FEE</t>
  </si>
  <si>
    <t>MEDIA PURCHASE</t>
  </si>
  <si>
    <t>Total Filter Recoat (lb)</t>
  </si>
  <si>
    <t>MAKE-UP - CHEMICALS</t>
  </si>
  <si>
    <t>MAKE-UP - HEAT</t>
  </si>
  <si>
    <t>degrees F</t>
  </si>
  <si>
    <t>INSTALLATION LABOR VARIANCE</t>
  </si>
  <si>
    <t>POOL DATA</t>
  </si>
  <si>
    <t>$/bag</t>
  </si>
  <si>
    <t xml:space="preserve">  CAPITAL COSTS</t>
  </si>
  <si>
    <t xml:space="preserve"> </t>
  </si>
  <si>
    <t>POTABLE WATER FEE*</t>
  </si>
  <si>
    <t>MEDIA REPLACEMENT (LABOR)***</t>
  </si>
  <si>
    <t>SAND FILTER COST</t>
  </si>
  <si>
    <t>DEFENDER FILTER COST</t>
  </si>
  <si>
    <t>DEFENDER  MEDIA FILTER DATA</t>
  </si>
  <si>
    <t>PERLITE</t>
  </si>
  <si>
    <t>PUMP DATA</t>
  </si>
  <si>
    <t>ELECTRICAL COSTS</t>
  </si>
  <si>
    <t>Kw</t>
  </si>
  <si>
    <t>$/Kw</t>
  </si>
  <si>
    <t>Brake HP Req'd @ 70'TDH</t>
  </si>
  <si>
    <t>ELECTRICAL</t>
  </si>
  <si>
    <t xml:space="preserve">DEFENDER FILTER CAPITAL &amp; OPERATING COSTS  </t>
  </si>
  <si>
    <t>VALUES</t>
  </si>
  <si>
    <t>UNIT</t>
  </si>
  <si>
    <t>VARIABLES</t>
  </si>
  <si>
    <t>Total Perlite Cost (lb)</t>
  </si>
  <si>
    <t>Cost</t>
  </si>
  <si>
    <t>PAYBACK PERIOD (MONTHS)</t>
  </si>
  <si>
    <t>FILTER 10 YEAR SAVINGS FORECAST</t>
  </si>
  <si>
    <t>PROJECT INFORMATION</t>
  </si>
  <si>
    <t>Brake HP Req'd @ 55'TDH</t>
  </si>
  <si>
    <t>401-821-7129</t>
  </si>
  <si>
    <t>1YR</t>
  </si>
  <si>
    <t>2YR</t>
  </si>
  <si>
    <t>3YR</t>
  </si>
  <si>
    <t>4YR</t>
  </si>
  <si>
    <t>5YR</t>
  </si>
  <si>
    <t>6YR</t>
  </si>
  <si>
    <t>7YR</t>
  </si>
  <si>
    <t>8YR</t>
  </si>
  <si>
    <t>9YR</t>
  </si>
  <si>
    <t>10YR</t>
  </si>
  <si>
    <t>Water Savings</t>
  </si>
  <si>
    <t>Gallons Saved Over 10 Years</t>
  </si>
  <si>
    <t>Annual Electrical Savings</t>
  </si>
  <si>
    <t>Annual Water Savings</t>
  </si>
  <si>
    <t>ANNUAL OPERATING COSTS * SAND FILTER</t>
  </si>
  <si>
    <t>ANNUAL OPERATING COSTS * DEFENDER FILTER</t>
  </si>
  <si>
    <t>Totals</t>
  </si>
  <si>
    <t>10 YEAR LIFE-CYCLE COST INCLUDING CAPITAL INVESTMENT</t>
  </si>
  <si>
    <t xml:space="preserve">Electrical Savings </t>
  </si>
  <si>
    <t>www.DefenderFilter.com</t>
  </si>
  <si>
    <t xml:space="preserve">800-832-8002 </t>
  </si>
  <si>
    <t>Qty</t>
  </si>
  <si>
    <t>36CCFG</t>
  </si>
  <si>
    <t>42CCFG</t>
  </si>
  <si>
    <t>48CCFG</t>
  </si>
  <si>
    <t>34x48</t>
  </si>
  <si>
    <t>34x54</t>
  </si>
  <si>
    <t>34x60</t>
  </si>
  <si>
    <t>42x48</t>
  </si>
  <si>
    <t>42x60</t>
  </si>
  <si>
    <t>42x72</t>
  </si>
  <si>
    <t>SP-27-48-487</t>
  </si>
  <si>
    <t>48x72</t>
  </si>
  <si>
    <t>48x84</t>
  </si>
  <si>
    <t>48x96</t>
  </si>
  <si>
    <t>48x60</t>
  </si>
  <si>
    <t>SP-33-48-732</t>
  </si>
  <si>
    <t>42x84</t>
  </si>
  <si>
    <t>SP-41-48-1038</t>
  </si>
  <si>
    <t>SP-49-48-1548</t>
  </si>
  <si>
    <t>SP-55-48-2076</t>
  </si>
  <si>
    <t xml:space="preserve">SAND FILTER CAPITAL &amp; OPERATING COSTS  </t>
  </si>
  <si>
    <t>Volume (gal) (NOTE 1)</t>
  </si>
  <si>
    <t>MECHANICAL SPACE VALUE</t>
  </si>
  <si>
    <t>Pool                              Description</t>
  </si>
  <si>
    <t>PROJECT:</t>
  </si>
  <si>
    <t>LOCATION:</t>
  </si>
  <si>
    <t>MEDIA COST:                 SAND FILTER</t>
  </si>
  <si>
    <t>MEDIA LOADING: SAND FILTER</t>
  </si>
  <si>
    <t>MEDIA COST:      DEFENDER FILTER</t>
  </si>
  <si>
    <t>POOL DESCRIPTION</t>
  </si>
  <si>
    <t>$/1000 gal</t>
  </si>
  <si>
    <t>$/therm</t>
  </si>
  <si>
    <t>gal</t>
  </si>
  <si>
    <t>#/season</t>
  </si>
  <si>
    <t>$</t>
  </si>
  <si>
    <t>days</t>
  </si>
  <si>
    <t xml:space="preserve">DATE: </t>
  </si>
  <si>
    <t>COST VARIANCE</t>
  </si>
  <si>
    <t>CAPITAL COST</t>
  </si>
  <si>
    <t xml:space="preserve">GRAND TOTAL SAVINGS: </t>
  </si>
  <si>
    <t>ANNUAL OPERATING COSTS:</t>
  </si>
  <si>
    <t>TOTAL CAPITAL COSTS:</t>
  </si>
  <si>
    <r>
      <rPr>
        <b/>
        <sz val="26"/>
        <color indexed="56"/>
        <rFont val="Arial"/>
        <family val="2"/>
      </rPr>
      <t>Defender</t>
    </r>
    <r>
      <rPr>
        <b/>
        <sz val="26"/>
        <color indexed="56"/>
        <rFont val="Calibri"/>
        <family val="2"/>
      </rPr>
      <t>®</t>
    </r>
    <r>
      <rPr>
        <b/>
        <sz val="26"/>
        <color indexed="56"/>
        <rFont val="Arial"/>
        <family val="2"/>
      </rPr>
      <t xml:space="preserve"> Cost Savings Analysis</t>
    </r>
  </si>
  <si>
    <t>SAND FILTER</t>
  </si>
  <si>
    <t>DEFENDER FILTER</t>
  </si>
  <si>
    <t>FILTER</t>
  </si>
  <si>
    <t>%</t>
  </si>
  <si>
    <t>ANNUAL INCREASE</t>
  </si>
  <si>
    <t>MEDIA LOADING</t>
  </si>
  <si>
    <t>CUMULATIVE EXPENSE</t>
  </si>
  <si>
    <t>DATE:</t>
  </si>
  <si>
    <t>PROJECT NAME:</t>
  </si>
  <si>
    <t>PREPARED FOR:</t>
  </si>
  <si>
    <t>PREPARED BY:</t>
  </si>
  <si>
    <t>PHONE:</t>
  </si>
  <si>
    <t>FAX:</t>
  </si>
  <si>
    <t xml:space="preserve"> WEBSITE:</t>
  </si>
  <si>
    <t>Compressor</t>
  </si>
  <si>
    <t>#</t>
  </si>
  <si>
    <t>Compressors</t>
  </si>
  <si>
    <t>COMPRESSORS</t>
  </si>
  <si>
    <t>DEFENDER                          TOOL KITS</t>
  </si>
  <si>
    <t>Defender Tool Kits</t>
  </si>
  <si>
    <t>ANNUAL OPERATING EXPENSES</t>
  </si>
  <si>
    <t>INITIAL CAPITAL EXPENSES</t>
  </si>
  <si>
    <t>*COSTS INCLUDE ANNUAL INCREASE FOR LABOR, MATERIALS AND MAINTENANCE</t>
  </si>
  <si>
    <t>***MEDIA REPLACEMENT LABOR BASED ON HISTORICAL AVERAGES FACTORED FOR ANNUAL COST INCREASES</t>
  </si>
  <si>
    <t>CONTACT NAME:</t>
  </si>
  <si>
    <t>ELECTRICAL COSTS*</t>
  </si>
  <si>
    <t>PERLITE MEDIA*</t>
  </si>
  <si>
    <t>MAKE-UP: CHEMICALS</t>
  </si>
  <si>
    <t>MAKE-UP: HEAT</t>
  </si>
  <si>
    <t>MAKE-UP: CHEMICALS*</t>
  </si>
  <si>
    <t>MAKE-UP: HEAT*</t>
  </si>
  <si>
    <t>SANITARY SEWER FEE</t>
  </si>
  <si>
    <t>SANITARY SEWER FEE*</t>
  </si>
  <si>
    <t>PERLITE MEDIA</t>
  </si>
  <si>
    <t>SAND MEDIA REPLACEMENT**</t>
  </si>
  <si>
    <t>**SAND MEDIA REPLACEMENT AT 5 &amp; 10 YEAR INTERVALS - PRICE BASED ON PROJECTED FUTURE COST</t>
  </si>
  <si>
    <t>DEFENDER COST SAVINGS ANALYSIS:  SUMMARY</t>
  </si>
  <si>
    <t>DEFENDER COST SAVINGS ANALYSIS:  DETAIL</t>
  </si>
  <si>
    <t>DEFENDER:</t>
  </si>
  <si>
    <t>SAND:</t>
  </si>
  <si>
    <t>kWh Saved Over 10 Years</t>
  </si>
  <si>
    <t>Defender 10 Year Savings Forecast:</t>
  </si>
  <si>
    <t>CAPITAL</t>
  </si>
  <si>
    <t xml:space="preserve">PREPARED FOR: </t>
  </si>
  <si>
    <t xml:space="preserve">PREPARED BY: </t>
  </si>
  <si>
    <t>OPERATING COST VARIABLES</t>
  </si>
  <si>
    <t>POOL SYSTEM DATA</t>
  </si>
  <si>
    <r>
      <rPr>
        <b/>
        <sz val="11"/>
        <color indexed="9"/>
        <rFont val="Arial"/>
        <family val="2"/>
      </rPr>
      <t>Flow</t>
    </r>
    <r>
      <rPr>
        <b/>
        <sz val="10"/>
        <color indexed="9"/>
        <rFont val="Arial"/>
        <family val="2"/>
      </rPr>
      <t xml:space="preserve"> </t>
    </r>
    <r>
      <rPr>
        <b/>
        <sz val="9"/>
        <color indexed="9"/>
        <rFont val="Arial"/>
        <family val="2"/>
      </rPr>
      <t>(gpm)</t>
    </r>
  </si>
  <si>
    <t>$/lb</t>
  </si>
  <si>
    <t>BACKWASH VOL:        SAND (BVS)</t>
  </si>
  <si>
    <t>BACKWASH VOL: DEFENDER (BVD)</t>
  </si>
  <si>
    <t>Sand filters require an installation labor variance @ historical average cost of 15% of the filter.</t>
  </si>
  <si>
    <t>Duration</t>
  </si>
  <si>
    <t>Frequency</t>
  </si>
  <si>
    <t>Rate</t>
  </si>
  <si>
    <t>Surface Area</t>
  </si>
  <si>
    <t>Tank Volume</t>
  </si>
  <si>
    <t>Cost/Therm</t>
  </si>
  <si>
    <t xml:space="preserve">OPERATING DAYS                   PER SEASON </t>
  </si>
  <si>
    <t>Average number of days of operation each year across all pools included in the project.</t>
  </si>
  <si>
    <t>$/100lb</t>
  </si>
  <si>
    <t>FORMULAS &amp; DEFINITIONS</t>
  </si>
  <si>
    <t>From Table</t>
  </si>
  <si>
    <t>Based on average market rate for #20 Silica Sand and 1/8 X 1/4 Pea Gravel.  Weights drawn from corresponding filter data.</t>
  </si>
  <si>
    <t>MAKE-UP WATER:    CHEMICALS (MWC)</t>
  </si>
  <si>
    <t>Temp Delta</t>
  </si>
  <si>
    <t>MAKE-UP WATER:     HEAT (MWH)</t>
  </si>
  <si>
    <t>Based on average market rate for Perlite Filter Media.  Annual Defender Filter Media Cost = Media weight in filter (from table) x Defender backwash frequency.</t>
  </si>
  <si>
    <t>Average cost to load media based on historical averages for time and labor.</t>
  </si>
  <si>
    <t>Average cumulative increase in labor, materials and maintenance costs (applies to both Sand and Defender filter installations).</t>
  </si>
  <si>
    <t>Sanitary Sewer Fee = (Monthly Capacity Charge + Monthly Usage Charge) x annual sewerage volume.</t>
  </si>
  <si>
    <t>MWC Cost = Water savings in gallons x Average market $cost/gal for pool chemicals.</t>
  </si>
  <si>
    <t>Pump Motor HP x.746 Rating Conversion x $Cost/Kw x 24 hrs x Average Operating Days.</t>
  </si>
  <si>
    <t>Number of Air Compressor units needed for this project.</t>
  </si>
  <si>
    <t>Number of Defender Tool Kits needed for this project.</t>
  </si>
  <si>
    <t>Potable Water Usage fee includes a "Volume Charge" only and does not include the monthly meter charge.  See "Backwash Volume" for water usage volume calculation.</t>
  </si>
  <si>
    <t>BVD = Total Tank Volume x 2 x Media Replacement Frequency.</t>
  </si>
  <si>
    <t>BVS = Backwash Rate x Total Filter Surface Area x Backwash Duration x Backwash Frequency.</t>
  </si>
  <si>
    <r>
      <t xml:space="preserve">CAPITAL COST VARIANCE     </t>
    </r>
    <r>
      <rPr>
        <sz val="14"/>
        <color indexed="9"/>
        <rFont val="Arial"/>
        <family val="2"/>
      </rPr>
      <t>÷</t>
    </r>
  </si>
  <si>
    <r>
      <t xml:space="preserve">OPERATING COST VARIANCE    </t>
    </r>
    <r>
      <rPr>
        <sz val="12"/>
        <color indexed="9"/>
        <rFont val="Arial"/>
        <family val="2"/>
      </rPr>
      <t>=</t>
    </r>
  </si>
  <si>
    <t>OE</t>
  </si>
  <si>
    <t>RAW ROI PAYBACK                         PROJECTION</t>
  </si>
  <si>
    <t>Adj. ROI Payback</t>
  </si>
  <si>
    <t>GRAPH ADJUSTED ROI CALCULATION</t>
  </si>
  <si>
    <t>48x108</t>
  </si>
  <si>
    <t>48x120</t>
  </si>
  <si>
    <t>60x96</t>
  </si>
  <si>
    <t>60x108</t>
  </si>
  <si>
    <t>60x120</t>
  </si>
  <si>
    <r>
      <t>Cost per ft</t>
    </r>
    <r>
      <rPr>
        <sz val="10"/>
        <rFont val="Calibri"/>
        <family val="2"/>
      </rPr>
      <t>²</t>
    </r>
    <r>
      <rPr>
        <sz val="10"/>
        <rFont val="Arial"/>
        <family val="2"/>
      </rPr>
      <t xml:space="preserve"> to construct a room adequate to house filter equipment (indoor construction).</t>
    </r>
  </si>
  <si>
    <r>
      <t>$/ft</t>
    </r>
    <r>
      <rPr>
        <sz val="10"/>
        <rFont val="Calibri"/>
        <family val="2"/>
      </rPr>
      <t>²</t>
    </r>
  </si>
  <si>
    <r>
      <t>gpm/ft</t>
    </r>
    <r>
      <rPr>
        <sz val="10"/>
        <rFont val="Calibri"/>
        <family val="2"/>
      </rPr>
      <t>²</t>
    </r>
  </si>
  <si>
    <r>
      <t>ft</t>
    </r>
    <r>
      <rPr>
        <sz val="10"/>
        <rFont val="Calibri"/>
        <family val="2"/>
      </rPr>
      <t>²</t>
    </r>
  </si>
  <si>
    <t>I/O</t>
  </si>
  <si>
    <t>POTABLE      WATER USAGE</t>
  </si>
  <si>
    <t>SANITARY                    SEWER FEE</t>
  </si>
  <si>
    <t>Pool-1</t>
  </si>
  <si>
    <t>Pool-2</t>
  </si>
  <si>
    <t>Pool-10</t>
  </si>
  <si>
    <t>Pool-3</t>
  </si>
  <si>
    <t>Pool-4</t>
  </si>
  <si>
    <t>Pool-5</t>
  </si>
  <si>
    <t>Pool-6</t>
  </si>
  <si>
    <t>Pool-7</t>
  </si>
  <si>
    <t>Pool-8</t>
  </si>
  <si>
    <t>Pool-9</t>
  </si>
  <si>
    <r>
      <t>Represents cost to reheat backwash makeup water by average temperature delta</t>
    </r>
    <r>
      <rPr>
        <sz val="10"/>
        <rFont val="Calibri"/>
        <family val="2"/>
      </rPr>
      <t>°</t>
    </r>
    <r>
      <rPr>
        <sz val="10"/>
        <rFont val="Arial"/>
        <family val="2"/>
      </rPr>
      <t>.               MWH Cost = Backwash Vol. x 8.33#/gal x Conversion Factor x Delta</t>
    </r>
    <r>
      <rPr>
        <sz val="10"/>
        <rFont val="Calibri"/>
        <family val="2"/>
      </rPr>
      <t>°</t>
    </r>
    <r>
      <rPr>
        <sz val="10"/>
        <rFont val="Arial"/>
        <family val="2"/>
      </rPr>
      <t xml:space="preserve"> x $/therm.</t>
    </r>
  </si>
  <si>
    <t>GPM</t>
  </si>
  <si>
    <t>MODEL</t>
  </si>
  <si>
    <t>FT2</t>
  </si>
  <si>
    <t>SP-29-36-200</t>
  </si>
  <si>
    <t>SP-29-36-250</t>
  </si>
  <si>
    <t>SP-29-36-300</t>
  </si>
  <si>
    <t>SP-29-36-350</t>
  </si>
  <si>
    <t>SP-29-36-400</t>
  </si>
  <si>
    <t>SP-29-36-500</t>
  </si>
  <si>
    <t>VALVE</t>
  </si>
  <si>
    <t>SAND FILTRATION</t>
  </si>
  <si>
    <t>DEFENDER RMF</t>
  </si>
  <si>
    <t>QTY</t>
  </si>
  <si>
    <t>AREA</t>
  </si>
  <si>
    <t>MEDIA</t>
  </si>
  <si>
    <t>FOOTPRINT</t>
  </si>
  <si>
    <t>FT^2</t>
  </si>
  <si>
    <t>LBS</t>
  </si>
  <si>
    <t>FACEPIPE</t>
  </si>
  <si>
    <t>AIR RELIEF</t>
  </si>
  <si>
    <t>TOTAL</t>
  </si>
  <si>
    <t>USD</t>
  </si>
  <si>
    <t>TK_VOL</t>
  </si>
  <si>
    <t>DEFENDER</t>
  </si>
  <si>
    <t>Toolk Kit</t>
  </si>
  <si>
    <t>I</t>
  </si>
  <si>
    <t>Flow
(gpm)</t>
  </si>
  <si>
    <t xml:space="preserve"> B/W Rates 
@ 20 gpm/sf
(gpm)</t>
  </si>
  <si>
    <t>Tank Volume
(gal)</t>
  </si>
  <si>
    <t>Total
Media
Wt
(lb)</t>
  </si>
  <si>
    <t>Equipment
Purchase
Price</t>
  </si>
  <si>
    <t>Footprint
(sf)</t>
  </si>
  <si>
    <t>Install
Labor</t>
  </si>
  <si>
    <t>Media
Loading
Cost</t>
  </si>
  <si>
    <t>Sand
Media
Cost</t>
  </si>
  <si>
    <t>Perlite
Media
Cost</t>
  </si>
  <si>
    <t>NB
Model
#</t>
  </si>
  <si>
    <t>Filter
Surface
Area
(sf)</t>
  </si>
  <si>
    <t>Volume
(gal)</t>
  </si>
  <si>
    <t xml:space="preserve">Potable
Water   </t>
  </si>
  <si>
    <t xml:space="preserve">Sewer
Discharge </t>
  </si>
  <si>
    <t xml:space="preserve">Sanitary
Sewer
Fee </t>
  </si>
  <si>
    <t>Make-up
Water
Chem</t>
  </si>
  <si>
    <t>Make-up
Water
Heat</t>
  </si>
  <si>
    <t>Electrical Cost
w/VFD</t>
  </si>
  <si>
    <t>Filtration
Rate
(gpm/sf)</t>
  </si>
  <si>
    <t>VARIANCE</t>
  </si>
  <si>
    <t>MONTH</t>
  </si>
  <si>
    <t>LIFECYCLE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</si>
</sst>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5" formatCode="&quot;$&quot;#,##0_);\(&quot;$&quot;#,##0\)"/>
    <numFmt numFmtId="6" formatCode="&quot;$&quot;#,##0_);[Red]\(&quot;$&quot;#,##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0.0"/>
    <numFmt numFmtId="165" formatCode="&quot;$&quot;#,##0"/>
    <numFmt numFmtId="166" formatCode="&quot;$&quot;#,##0.00"/>
    <numFmt numFmtId="167" formatCode="#,##0.0"/>
    <numFmt numFmtId="168" formatCode="mmmm\ d\,\ yyyy"/>
    <numFmt numFmtId="169" formatCode="[$-409]mmmm\ d\,\ yyyy;@"/>
    <numFmt numFmtId="170" formatCode="_(* #,##0_);_(* \(#,##0\);_(* &quot;-&quot;??_);_(@_)"/>
    <numFmt numFmtId="171" formatCode="0&quot;°&quot;"/>
    <numFmt numFmtId="172" formatCode="0&quot; Months&quot;"/>
    <numFmt numFmtId="173" formatCode="&quot;@&quot;\ 0\ &quot;Operating Days /Yr&quot;"/>
  </numFmts>
  <fonts count="58" x14ac:knownFonts="1">
    <font>
      <sz val="10"/>
      <name val="Arial"/>
    </font>
    <font>
      <sz val="10"/>
      <name val="Arial"/>
      <family val="2"/>
    </font>
    <font>
      <b/>
      <sz val="11"/>
      <name val="Arial"/>
      <family val="2"/>
    </font>
    <font>
      <u/>
      <sz val="10"/>
      <color indexed="12"/>
      <name val="Arial"/>
      <family val="2"/>
    </font>
    <font>
      <sz val="12"/>
      <name val="Arial"/>
      <family val="2"/>
    </font>
    <font>
      <b/>
      <sz val="12"/>
      <name val="Arial"/>
      <family val="2"/>
    </font>
    <font>
      <b/>
      <sz val="14"/>
      <name val="Arial"/>
      <family val="2"/>
    </font>
    <font>
      <sz val="14"/>
      <name val="Arial"/>
      <family val="2"/>
    </font>
    <font>
      <b/>
      <sz val="24"/>
      <name val="Arial"/>
      <family val="2"/>
    </font>
    <font>
      <i/>
      <sz val="10"/>
      <name val="Arial"/>
      <family val="2"/>
    </font>
    <font>
      <b/>
      <sz val="10"/>
      <name val="Arial"/>
      <family val="2"/>
    </font>
    <font>
      <b/>
      <sz val="10"/>
      <color indexed="18"/>
      <name val="Arial"/>
      <family val="2"/>
    </font>
    <font>
      <sz val="36"/>
      <name val="Arial"/>
      <family val="2"/>
    </font>
    <font>
      <sz val="8"/>
      <name val="Arial"/>
      <family val="2"/>
    </font>
    <font>
      <sz val="10"/>
      <name val="Arial"/>
      <family val="2"/>
    </font>
    <font>
      <sz val="11"/>
      <name val="Arial"/>
      <family val="2"/>
    </font>
    <font>
      <sz val="10"/>
      <color indexed="17"/>
      <name val="Arial"/>
      <family val="2"/>
    </font>
    <font>
      <b/>
      <sz val="11"/>
      <color indexed="10"/>
      <name val="Arial"/>
      <family val="2"/>
    </font>
    <font>
      <sz val="16"/>
      <name val="Arial"/>
      <family val="2"/>
    </font>
    <font>
      <b/>
      <sz val="10"/>
      <color indexed="9"/>
      <name val="Arial"/>
      <family val="2"/>
    </font>
    <font>
      <sz val="10"/>
      <color indexed="9"/>
      <name val="Arial"/>
      <family val="2"/>
    </font>
    <font>
      <b/>
      <sz val="26"/>
      <color indexed="56"/>
      <name val="Arial"/>
      <family val="2"/>
    </font>
    <font>
      <b/>
      <sz val="26"/>
      <color indexed="56"/>
      <name val="Calibri"/>
      <family val="2"/>
    </font>
    <font>
      <sz val="18"/>
      <name val="Arial"/>
      <family val="2"/>
    </font>
    <font>
      <i/>
      <sz val="9"/>
      <name val="Arial"/>
      <family val="2"/>
    </font>
    <font>
      <sz val="9"/>
      <name val="Arial"/>
      <family val="2"/>
    </font>
    <font>
      <b/>
      <sz val="16"/>
      <color indexed="9"/>
      <name val="Arial"/>
      <family val="2"/>
    </font>
    <font>
      <b/>
      <sz val="11"/>
      <color indexed="9"/>
      <name val="Arial"/>
      <family val="2"/>
    </font>
    <font>
      <b/>
      <sz val="20"/>
      <name val="Arial"/>
      <family val="2"/>
    </font>
    <font>
      <b/>
      <sz val="9"/>
      <color indexed="9"/>
      <name val="Arial"/>
      <family val="2"/>
    </font>
    <font>
      <u/>
      <sz val="10"/>
      <name val="Arial"/>
      <family val="2"/>
    </font>
    <font>
      <sz val="10"/>
      <name val="Calibri"/>
      <family val="2"/>
    </font>
    <font>
      <sz val="12"/>
      <color indexed="9"/>
      <name val="Arial"/>
      <family val="2"/>
    </font>
    <font>
      <sz val="14"/>
      <color indexed="9"/>
      <name val="Arial"/>
      <family val="2"/>
    </font>
    <font>
      <b/>
      <sz val="9"/>
      <name val="Arial"/>
      <family val="2"/>
    </font>
    <font>
      <b/>
      <sz val="10"/>
      <name val="Arial Narrow"/>
      <family val="2"/>
    </font>
    <font>
      <b/>
      <sz val="10"/>
      <color theme="0"/>
      <name val="Arial"/>
      <family val="2"/>
    </font>
    <font>
      <b/>
      <sz val="11"/>
      <color theme="0"/>
      <name val="Arial"/>
      <family val="2"/>
    </font>
    <font>
      <sz val="10"/>
      <color theme="3"/>
      <name val="Arial"/>
      <family val="2"/>
    </font>
    <font>
      <b/>
      <sz val="20"/>
      <color theme="3"/>
      <name val="Arial"/>
      <family val="2"/>
    </font>
    <font>
      <b/>
      <sz val="12"/>
      <color theme="3"/>
      <name val="Arial"/>
      <family val="2"/>
    </font>
    <font>
      <b/>
      <sz val="18"/>
      <color theme="0"/>
      <name val="Arial"/>
      <family val="2"/>
    </font>
    <font>
      <b/>
      <sz val="16"/>
      <color theme="0"/>
      <name val="Arial"/>
      <family val="2"/>
    </font>
    <font>
      <b/>
      <sz val="16"/>
      <color theme="0"/>
      <name val="Arial Black"/>
      <family val="2"/>
    </font>
    <font>
      <sz val="16"/>
      <color theme="0"/>
      <name val="Arial Black"/>
      <family val="2"/>
    </font>
    <font>
      <b/>
      <sz val="26"/>
      <color theme="3"/>
      <name val="Arial"/>
      <family val="2"/>
    </font>
    <font>
      <b/>
      <sz val="26"/>
      <color theme="4" tint="-0.499984740745262"/>
      <name val="Arial"/>
      <family val="2"/>
    </font>
    <font>
      <sz val="16"/>
      <color theme="0"/>
      <name val="Arial"/>
      <family val="2"/>
    </font>
    <font>
      <sz val="11"/>
      <color theme="0"/>
      <name val="Arial"/>
      <family val="2"/>
    </font>
    <font>
      <b/>
      <sz val="24"/>
      <color theme="6" tint="-0.249977111117893"/>
      <name val="Arial Black"/>
      <family val="2"/>
    </font>
    <font>
      <b/>
      <sz val="24"/>
      <color theme="3"/>
      <name val="Arial"/>
      <family val="2"/>
    </font>
    <font>
      <b/>
      <sz val="16"/>
      <color theme="3"/>
      <name val="Arial"/>
      <family val="2"/>
    </font>
    <font>
      <sz val="16"/>
      <color theme="3"/>
      <name val="Arial"/>
      <family val="2"/>
    </font>
    <font>
      <b/>
      <sz val="12"/>
      <color theme="0"/>
      <name val="Arial"/>
      <family val="2"/>
    </font>
    <font>
      <b/>
      <sz val="14"/>
      <color theme="0"/>
      <name val="Arial"/>
      <family val="2"/>
    </font>
    <font>
      <sz val="10"/>
      <color theme="0"/>
      <name val="Arial"/>
      <family val="2"/>
    </font>
    <font>
      <sz val="11"/>
      <color indexed="12"/>
      <name val="Arial"/>
      <family val="2"/>
    </font>
    <font>
      <sz val="11"/>
      <color indexed="17"/>
      <name val="Arial"/>
      <family val="2"/>
    </font>
  </fonts>
  <fills count="14">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6" tint="-0.249977111117893"/>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3"/>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1"/>
        <bgColor indexed="64"/>
      </patternFill>
    </fill>
    <fill>
      <patternFill patternType="solid">
        <fgColor rgb="FFFFFFCC"/>
        <bgColor indexed="64"/>
      </patternFill>
    </fill>
    <fill>
      <patternFill patternType="solid">
        <fgColor rgb="FFFF0000"/>
        <bgColor indexed="64"/>
      </patternFill>
    </fill>
  </fills>
  <borders count="52">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hair">
        <color indexed="64"/>
      </left>
      <right style="hair">
        <color indexed="64"/>
      </right>
      <top style="hair">
        <color indexed="64"/>
      </top>
      <bottom style="hair">
        <color indexed="64"/>
      </bottom>
      <diagonal/>
    </border>
    <border>
      <left style="dotted">
        <color indexed="64"/>
      </left>
      <right style="dotted">
        <color indexed="64"/>
      </right>
      <top style="dotted">
        <color indexed="64"/>
      </top>
      <bottom style="dotted">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3" fillId="0" borderId="0" applyNumberFormat="0" applyFill="0" applyBorder="0" applyAlignment="0" applyProtection="0">
      <alignment vertical="top"/>
      <protection locked="0"/>
    </xf>
    <xf numFmtId="9" fontId="1" fillId="0" borderId="0" applyFont="0" applyFill="0" applyBorder="0" applyAlignment="0" applyProtection="0"/>
  </cellStyleXfs>
  <cellXfs count="396">
    <xf numFmtId="0" fontId="0" fillId="0" borderId="0" xfId="0"/>
    <xf numFmtId="0" fontId="10" fillId="0" borderId="0" xfId="0" applyFont="1"/>
    <xf numFmtId="0" fontId="14" fillId="0" borderId="0" xfId="0" applyFont="1" applyAlignment="1">
      <alignment horizontal="center"/>
    </xf>
    <xf numFmtId="0" fontId="14" fillId="0" borderId="0" xfId="0" applyFont="1"/>
    <xf numFmtId="165" fontId="14" fillId="0" borderId="0" xfId="0" applyNumberFormat="1" applyFont="1" applyAlignment="1">
      <alignment horizontal="center"/>
    </xf>
    <xf numFmtId="0" fontId="14" fillId="0" borderId="0" xfId="0" applyFont="1" applyBorder="1"/>
    <xf numFmtId="0" fontId="14" fillId="3" borderId="0" xfId="0" applyFont="1" applyFill="1" applyAlignment="1">
      <alignment vertical="center"/>
    </xf>
    <xf numFmtId="0" fontId="14" fillId="3" borderId="0" xfId="0" applyFont="1" applyFill="1" applyAlignment="1">
      <alignment horizontal="center" vertical="center"/>
    </xf>
    <xf numFmtId="0" fontId="6" fillId="3" borderId="0" xfId="0" applyFont="1" applyFill="1" applyBorder="1" applyAlignment="1">
      <alignment vertical="center"/>
    </xf>
    <xf numFmtId="0" fontId="7" fillId="3" borderId="0" xfId="0" applyFont="1" applyFill="1" applyAlignment="1">
      <alignment vertical="center"/>
    </xf>
    <xf numFmtId="0" fontId="15" fillId="3" borderId="0" xfId="0" applyFont="1" applyFill="1" applyAlignment="1">
      <alignment vertical="center"/>
    </xf>
    <xf numFmtId="0" fontId="10" fillId="3" borderId="5" xfId="0" applyFont="1" applyFill="1" applyBorder="1" applyAlignment="1">
      <alignment horizontal="left" vertical="center" indent="1"/>
    </xf>
    <xf numFmtId="0" fontId="17" fillId="3" borderId="0" xfId="0" applyFont="1" applyFill="1" applyAlignment="1">
      <alignment vertical="center"/>
    </xf>
    <xf numFmtId="0" fontId="10" fillId="3" borderId="0" xfId="0" applyFont="1" applyFill="1" applyBorder="1" applyAlignment="1">
      <alignment horizontal="left" vertical="center"/>
    </xf>
    <xf numFmtId="0" fontId="10" fillId="3" borderId="0" xfId="0" applyFont="1" applyFill="1" applyBorder="1" applyAlignment="1">
      <alignment horizontal="center" vertical="center"/>
    </xf>
    <xf numFmtId="1" fontId="10" fillId="3" borderId="0" xfId="0" applyNumberFormat="1" applyFont="1" applyFill="1" applyBorder="1" applyAlignment="1">
      <alignment horizontal="center" vertical="center"/>
    </xf>
    <xf numFmtId="164" fontId="10" fillId="3" borderId="0" xfId="0" applyNumberFormat="1" applyFont="1" applyFill="1" applyBorder="1" applyAlignment="1">
      <alignment horizontal="center" vertical="center"/>
    </xf>
    <xf numFmtId="42" fontId="10" fillId="3" borderId="0" xfId="0" applyNumberFormat="1" applyFont="1" applyFill="1" applyBorder="1" applyAlignment="1">
      <alignment horizontal="center" vertical="center"/>
    </xf>
    <xf numFmtId="3" fontId="10" fillId="3" borderId="0" xfId="0" applyNumberFormat="1" applyFont="1" applyFill="1" applyBorder="1" applyAlignment="1">
      <alignment horizontal="center" vertical="center"/>
    </xf>
    <xf numFmtId="0" fontId="14" fillId="3" borderId="0" xfId="0" applyFont="1" applyFill="1" applyBorder="1" applyAlignment="1">
      <alignment horizontal="center" vertical="center"/>
    </xf>
    <xf numFmtId="166" fontId="14" fillId="3" borderId="0" xfId="0" applyNumberFormat="1" applyFont="1" applyFill="1" applyBorder="1" applyAlignment="1">
      <alignment horizontal="center" vertical="center"/>
    </xf>
    <xf numFmtId="0" fontId="0" fillId="3" borderId="0" xfId="0" applyFill="1"/>
    <xf numFmtId="0" fontId="0" fillId="3" borderId="0" xfId="0" applyFill="1" applyAlignment="1">
      <alignment horizontal="left" indent="1"/>
    </xf>
    <xf numFmtId="0" fontId="0" fillId="3" borderId="0" xfId="0" applyFill="1" applyBorder="1"/>
    <xf numFmtId="0" fontId="36" fillId="3" borderId="0" xfId="0" applyFont="1" applyFill="1" applyBorder="1" applyAlignment="1">
      <alignment vertical="center"/>
    </xf>
    <xf numFmtId="0" fontId="37" fillId="4" borderId="6" xfId="0" applyFont="1" applyFill="1" applyBorder="1" applyAlignment="1">
      <alignment horizontal="center" vertical="center" wrapText="1"/>
    </xf>
    <xf numFmtId="0" fontId="37" fillId="5" borderId="6" xfId="0" applyFont="1" applyFill="1" applyBorder="1" applyAlignment="1">
      <alignment horizontal="center" vertical="center" wrapText="1"/>
    </xf>
    <xf numFmtId="0" fontId="14" fillId="3" borderId="10" xfId="0" applyFont="1" applyFill="1" applyBorder="1" applyAlignment="1">
      <alignment vertical="center"/>
    </xf>
    <xf numFmtId="0" fontId="14" fillId="3" borderId="0" xfId="0" applyFont="1" applyFill="1" applyBorder="1" applyAlignment="1">
      <alignment vertical="center"/>
    </xf>
    <xf numFmtId="165" fontId="14" fillId="3" borderId="0" xfId="0" applyNumberFormat="1" applyFont="1" applyFill="1" applyAlignment="1">
      <alignment vertical="center"/>
    </xf>
    <xf numFmtId="0" fontId="18" fillId="3" borderId="0" xfId="0" applyFont="1" applyFill="1" applyAlignment="1">
      <alignment vertical="center"/>
    </xf>
    <xf numFmtId="3" fontId="14" fillId="3" borderId="0" xfId="0" applyNumberFormat="1" applyFont="1" applyFill="1" applyAlignment="1">
      <alignment vertical="center"/>
    </xf>
    <xf numFmtId="0" fontId="9" fillId="3" borderId="0" xfId="0" applyFont="1" applyFill="1" applyBorder="1" applyAlignment="1">
      <alignment horizontal="center" vertical="center"/>
    </xf>
    <xf numFmtId="0" fontId="10" fillId="3" borderId="11" xfId="0" applyFont="1" applyFill="1" applyBorder="1" applyAlignment="1">
      <alignment horizontal="left" vertical="center" indent="1"/>
    </xf>
    <xf numFmtId="0" fontId="10" fillId="3" borderId="12" xfId="0" applyFont="1" applyFill="1" applyBorder="1" applyAlignment="1">
      <alignment horizontal="left" vertical="center" indent="1"/>
    </xf>
    <xf numFmtId="0" fontId="37" fillId="5" borderId="13" xfId="0" applyFont="1" applyFill="1" applyBorder="1" applyAlignment="1">
      <alignment horizontal="center" vertical="center" wrapText="1"/>
    </xf>
    <xf numFmtId="0" fontId="37" fillId="4" borderId="13" xfId="0" applyFont="1" applyFill="1" applyBorder="1" applyAlignment="1">
      <alignment horizontal="center" vertical="center" wrapText="1"/>
    </xf>
    <xf numFmtId="0" fontId="37" fillId="7" borderId="5" xfId="0" applyFont="1" applyFill="1" applyBorder="1" applyAlignment="1">
      <alignment horizontal="center" vertical="center"/>
    </xf>
    <xf numFmtId="0" fontId="14" fillId="8" borderId="14" xfId="0" applyFont="1" applyFill="1" applyBorder="1" applyAlignment="1">
      <alignment horizontal="center" vertical="center"/>
    </xf>
    <xf numFmtId="0" fontId="14" fillId="8" borderId="7" xfId="0" applyFont="1" applyFill="1" applyBorder="1" applyAlignment="1">
      <alignment horizontal="center" vertical="center"/>
    </xf>
    <xf numFmtId="0" fontId="10" fillId="8" borderId="8" xfId="0" applyFont="1" applyFill="1" applyBorder="1" applyAlignment="1">
      <alignment horizontal="right" vertical="center"/>
    </xf>
    <xf numFmtId="0" fontId="37" fillId="7" borderId="15" xfId="0" applyFont="1" applyFill="1" applyBorder="1" applyAlignment="1">
      <alignment horizontal="center" vertical="center"/>
    </xf>
    <xf numFmtId="0" fontId="36" fillId="7" borderId="16" xfId="0" applyFont="1" applyFill="1" applyBorder="1" applyAlignment="1">
      <alignment vertical="center"/>
    </xf>
    <xf numFmtId="0" fontId="37" fillId="7" borderId="17" xfId="0" applyFont="1" applyFill="1" applyBorder="1" applyAlignment="1">
      <alignment horizontal="center" vertical="center" wrapText="1"/>
    </xf>
    <xf numFmtId="0" fontId="37" fillId="7" borderId="3" xfId="0" applyFont="1" applyFill="1" applyBorder="1" applyAlignment="1">
      <alignment horizontal="left" vertical="center" indent="1"/>
    </xf>
    <xf numFmtId="0" fontId="37" fillId="7" borderId="7" xfId="0" applyFont="1" applyFill="1" applyBorder="1" applyAlignment="1">
      <alignment horizontal="center" vertical="center" wrapText="1"/>
    </xf>
    <xf numFmtId="0" fontId="0" fillId="3" borderId="0" xfId="0" applyFill="1" applyAlignment="1">
      <alignment vertical="center"/>
    </xf>
    <xf numFmtId="0" fontId="14" fillId="8" borderId="1" xfId="0" applyFont="1" applyFill="1" applyBorder="1" applyAlignment="1">
      <alignment horizontal="center" vertical="center"/>
    </xf>
    <xf numFmtId="0" fontId="14" fillId="8" borderId="20" xfId="0" applyFont="1" applyFill="1" applyBorder="1" applyAlignment="1">
      <alignment horizontal="center" vertical="center"/>
    </xf>
    <xf numFmtId="9" fontId="14" fillId="8" borderId="21" xfId="4" applyFont="1" applyFill="1" applyBorder="1" applyAlignment="1">
      <alignment horizontal="center" vertical="center"/>
    </xf>
    <xf numFmtId="0" fontId="14" fillId="8" borderId="6" xfId="0" applyFont="1" applyFill="1" applyBorder="1" applyAlignment="1">
      <alignment horizontal="center" vertical="center"/>
    </xf>
    <xf numFmtId="9" fontId="14" fillId="8" borderId="20" xfId="4" applyFont="1" applyFill="1" applyBorder="1" applyAlignment="1">
      <alignment horizontal="center" vertical="center"/>
    </xf>
    <xf numFmtId="9" fontId="14" fillId="8" borderId="7" xfId="4" applyFont="1" applyFill="1" applyBorder="1" applyAlignment="1">
      <alignment horizontal="center" vertical="center"/>
    </xf>
    <xf numFmtId="0" fontId="10" fillId="3" borderId="24" xfId="0" applyFont="1" applyFill="1" applyBorder="1" applyAlignment="1">
      <alignment horizontal="left" vertical="center" indent="1"/>
    </xf>
    <xf numFmtId="165" fontId="14" fillId="3" borderId="24" xfId="0" applyNumberFormat="1" applyFont="1" applyFill="1" applyBorder="1" applyAlignment="1">
      <alignment horizontal="right" vertical="center" indent="1"/>
    </xf>
    <xf numFmtId="6" fontId="14" fillId="3" borderId="24" xfId="0" applyNumberFormat="1" applyFont="1" applyFill="1" applyBorder="1" applyAlignment="1">
      <alignment horizontal="right" vertical="center" indent="1"/>
    </xf>
    <xf numFmtId="5" fontId="14" fillId="3" borderId="6" xfId="0" applyNumberFormat="1" applyFont="1" applyFill="1" applyBorder="1" applyAlignment="1">
      <alignment horizontal="right" vertical="center" indent="1"/>
    </xf>
    <xf numFmtId="5" fontId="14" fillId="3" borderId="7" xfId="0" applyNumberFormat="1" applyFont="1" applyFill="1" applyBorder="1" applyAlignment="1">
      <alignment horizontal="right" vertical="center" indent="1"/>
    </xf>
    <xf numFmtId="5" fontId="14" fillId="3" borderId="1" xfId="0" applyNumberFormat="1" applyFont="1" applyFill="1" applyBorder="1" applyAlignment="1">
      <alignment horizontal="right" vertical="center" indent="1"/>
    </xf>
    <xf numFmtId="5" fontId="14" fillId="3" borderId="20" xfId="0" applyNumberFormat="1" applyFont="1" applyFill="1" applyBorder="1" applyAlignment="1">
      <alignment horizontal="right" vertical="center" indent="1"/>
    </xf>
    <xf numFmtId="5" fontId="37" fillId="5" borderId="4" xfId="0" applyNumberFormat="1" applyFont="1" applyFill="1" applyBorder="1" applyAlignment="1">
      <alignment horizontal="right" vertical="center" indent="1"/>
    </xf>
    <xf numFmtId="5" fontId="37" fillId="4" borderId="4" xfId="0" applyNumberFormat="1" applyFont="1" applyFill="1" applyBorder="1" applyAlignment="1">
      <alignment horizontal="right" vertical="center" indent="1"/>
    </xf>
    <xf numFmtId="5" fontId="37" fillId="7" borderId="25" xfId="0" applyNumberFormat="1" applyFont="1" applyFill="1" applyBorder="1" applyAlignment="1">
      <alignment horizontal="right" vertical="center" indent="1"/>
    </xf>
    <xf numFmtId="5" fontId="14" fillId="3" borderId="22" xfId="0" applyNumberFormat="1" applyFont="1" applyFill="1" applyBorder="1" applyAlignment="1">
      <alignment horizontal="right" vertical="center" indent="1"/>
    </xf>
    <xf numFmtId="0" fontId="4" fillId="3" borderId="0" xfId="0" applyFont="1" applyFill="1" applyAlignment="1">
      <alignment vertical="center"/>
    </xf>
    <xf numFmtId="0" fontId="23" fillId="3" borderId="0" xfId="0" applyFont="1" applyFill="1" applyAlignment="1">
      <alignment vertical="center"/>
    </xf>
    <xf numFmtId="166" fontId="23" fillId="3" borderId="0" xfId="0" applyNumberFormat="1" applyFont="1" applyFill="1" applyAlignment="1">
      <alignment vertical="center"/>
    </xf>
    <xf numFmtId="0" fontId="36" fillId="7" borderId="24" xfId="0" applyFont="1" applyFill="1" applyBorder="1" applyAlignment="1">
      <alignment horizontal="center" vertical="center"/>
    </xf>
    <xf numFmtId="0" fontId="36" fillId="7" borderId="26" xfId="0" applyNumberFormat="1" applyFont="1" applyFill="1" applyBorder="1" applyAlignment="1">
      <alignment horizontal="center" vertical="center"/>
    </xf>
    <xf numFmtId="165" fontId="10" fillId="3" borderId="22" xfId="0" applyNumberFormat="1" applyFont="1" applyFill="1" applyBorder="1" applyAlignment="1">
      <alignment horizontal="center" vertical="center"/>
    </xf>
    <xf numFmtId="1" fontId="10" fillId="3" borderId="21" xfId="0" applyNumberFormat="1" applyFont="1" applyFill="1" applyBorder="1" applyAlignment="1">
      <alignment horizontal="center" vertical="center"/>
    </xf>
    <xf numFmtId="0" fontId="12" fillId="3" borderId="0" xfId="0" applyFont="1" applyFill="1" applyBorder="1" applyAlignment="1">
      <alignment horizontal="center"/>
    </xf>
    <xf numFmtId="0" fontId="0" fillId="3" borderId="0" xfId="0" applyFill="1" applyAlignment="1"/>
    <xf numFmtId="0" fontId="38" fillId="3" borderId="0" xfId="0" applyFont="1" applyFill="1" applyAlignment="1">
      <alignment vertical="center"/>
    </xf>
    <xf numFmtId="0" fontId="39" fillId="3" borderId="0" xfId="0" applyFont="1" applyFill="1" applyBorder="1" applyAlignment="1">
      <alignment horizontal="center"/>
    </xf>
    <xf numFmtId="0" fontId="25" fillId="3" borderId="0" xfId="0" applyFont="1" applyFill="1" applyAlignment="1">
      <alignment vertical="center"/>
    </xf>
    <xf numFmtId="0" fontId="40" fillId="3" borderId="0" xfId="0" applyFont="1" applyFill="1" applyBorder="1" applyAlignment="1">
      <alignment horizontal="left" vertical="center" indent="1"/>
    </xf>
    <xf numFmtId="0" fontId="8" fillId="3" borderId="0" xfId="0" applyFont="1" applyFill="1" applyBorder="1" applyAlignment="1">
      <alignment horizontal="center" vertical="center"/>
    </xf>
    <xf numFmtId="0" fontId="8" fillId="3" borderId="0" xfId="0" applyFont="1" applyFill="1" applyAlignment="1">
      <alignment horizontal="center"/>
    </xf>
    <xf numFmtId="0" fontId="8" fillId="3" borderId="0" xfId="0" applyFont="1" applyFill="1" applyAlignment="1"/>
    <xf numFmtId="0" fontId="8" fillId="3" borderId="0" xfId="0" applyFont="1" applyFill="1" applyBorder="1" applyAlignment="1">
      <alignment vertical="center"/>
    </xf>
    <xf numFmtId="5" fontId="41" fillId="4" borderId="21" xfId="0" applyNumberFormat="1" applyFont="1" applyFill="1" applyBorder="1" applyAlignment="1">
      <alignment horizontal="right" vertical="center" indent="1"/>
    </xf>
    <xf numFmtId="0" fontId="26" fillId="7" borderId="27" xfId="0" applyFont="1" applyFill="1" applyBorder="1" applyAlignment="1">
      <alignment horizontal="center" vertical="center"/>
    </xf>
    <xf numFmtId="0" fontId="42" fillId="7" borderId="27" xfId="0" applyFont="1" applyFill="1" applyBorder="1" applyAlignment="1">
      <alignment horizontal="center" vertical="center"/>
    </xf>
    <xf numFmtId="0" fontId="26" fillId="7" borderId="28" xfId="0" applyFont="1" applyFill="1" applyBorder="1" applyAlignment="1">
      <alignment horizontal="center" vertical="center"/>
    </xf>
    <xf numFmtId="0" fontId="5" fillId="3" borderId="29" xfId="0" applyFont="1" applyFill="1" applyBorder="1" applyAlignment="1">
      <alignment horizontal="right" vertical="center"/>
    </xf>
    <xf numFmtId="0" fontId="5" fillId="3" borderId="30" xfId="0" applyFont="1" applyFill="1" applyBorder="1" applyAlignment="1">
      <alignment horizontal="right"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xf>
    <xf numFmtId="0" fontId="14" fillId="3" borderId="31" xfId="0" applyFont="1" applyFill="1" applyBorder="1" applyAlignment="1">
      <alignment vertical="center"/>
    </xf>
    <xf numFmtId="0" fontId="14" fillId="3" borderId="32" xfId="0" applyFont="1" applyFill="1" applyBorder="1" applyAlignment="1">
      <alignment vertical="center"/>
    </xf>
    <xf numFmtId="0" fontId="14" fillId="3" borderId="33" xfId="0" applyFont="1" applyFill="1" applyBorder="1" applyAlignment="1">
      <alignment vertical="center"/>
    </xf>
    <xf numFmtId="0" fontId="14" fillId="3" borderId="34" xfId="0" applyFont="1" applyFill="1" applyBorder="1" applyAlignment="1">
      <alignment horizontal="center" vertical="center"/>
    </xf>
    <xf numFmtId="0" fontId="10" fillId="3" borderId="33" xfId="0" applyFont="1" applyFill="1" applyBorder="1" applyAlignment="1">
      <alignment vertical="center"/>
    </xf>
    <xf numFmtId="0" fontId="10" fillId="3" borderId="34" xfId="0" applyFont="1" applyFill="1" applyBorder="1" applyAlignment="1">
      <alignment horizontal="center" vertical="center"/>
    </xf>
    <xf numFmtId="0" fontId="14" fillId="3" borderId="27" xfId="0" applyFont="1" applyFill="1" applyBorder="1" applyAlignment="1">
      <alignment vertical="center"/>
    </xf>
    <xf numFmtId="165" fontId="14" fillId="3" borderId="10" xfId="0" applyNumberFormat="1" applyFont="1" applyFill="1" applyBorder="1" applyAlignment="1">
      <alignment vertical="center"/>
    </xf>
    <xf numFmtId="0" fontId="14" fillId="3" borderId="30" xfId="0" applyFont="1" applyFill="1" applyBorder="1" applyAlignment="1">
      <alignment vertical="center"/>
    </xf>
    <xf numFmtId="0" fontId="14" fillId="3" borderId="35" xfId="0" applyFont="1" applyFill="1" applyBorder="1" applyAlignment="1">
      <alignment vertical="center"/>
    </xf>
    <xf numFmtId="0" fontId="14" fillId="3" borderId="36" xfId="0" applyFont="1" applyFill="1" applyBorder="1" applyAlignment="1">
      <alignment vertical="center"/>
    </xf>
    <xf numFmtId="165" fontId="14" fillId="3" borderId="37" xfId="0" applyNumberFormat="1" applyFont="1" applyFill="1" applyBorder="1" applyAlignment="1">
      <alignment horizontal="center" vertical="center"/>
    </xf>
    <xf numFmtId="165" fontId="14" fillId="3" borderId="2" xfId="0" applyNumberFormat="1" applyFont="1" applyFill="1" applyBorder="1" applyAlignment="1">
      <alignment horizontal="center" vertical="center"/>
    </xf>
    <xf numFmtId="165" fontId="14" fillId="3" borderId="35" xfId="0" applyNumberFormat="1" applyFont="1" applyFill="1" applyBorder="1" applyAlignment="1">
      <alignment horizontal="center" vertical="center"/>
    </xf>
    <xf numFmtId="165" fontId="14" fillId="3" borderId="36" xfId="0" applyNumberFormat="1" applyFont="1" applyFill="1" applyBorder="1" applyAlignment="1">
      <alignment horizontal="center" vertical="center"/>
    </xf>
    <xf numFmtId="3" fontId="43" fillId="4" borderId="10" xfId="0" applyNumberFormat="1" applyFont="1" applyFill="1" applyBorder="1" applyAlignment="1">
      <alignment horizontal="center" vertical="top"/>
    </xf>
    <xf numFmtId="9" fontId="43" fillId="4" borderId="10" xfId="4" applyFont="1" applyFill="1" applyBorder="1" applyAlignment="1">
      <alignment horizontal="center" vertical="top"/>
    </xf>
    <xf numFmtId="172" fontId="43" fillId="4" borderId="10" xfId="0" applyNumberFormat="1" applyFont="1" applyFill="1" applyBorder="1" applyAlignment="1">
      <alignment horizontal="center" vertical="center"/>
    </xf>
    <xf numFmtId="3" fontId="44" fillId="4" borderId="10" xfId="0" applyNumberFormat="1" applyFont="1" applyFill="1" applyBorder="1" applyAlignment="1">
      <alignment horizontal="center" vertical="top"/>
    </xf>
    <xf numFmtId="9" fontId="44" fillId="4" borderId="10" xfId="4" applyFont="1" applyFill="1" applyBorder="1" applyAlignment="1">
      <alignment horizontal="center" vertical="top"/>
    </xf>
    <xf numFmtId="0" fontId="36" fillId="4" borderId="10" xfId="0" applyFont="1" applyFill="1" applyBorder="1" applyAlignment="1">
      <alignment horizontal="center" vertical="center"/>
    </xf>
    <xf numFmtId="165" fontId="36" fillId="4" borderId="10" xfId="0" applyNumberFormat="1" applyFont="1" applyFill="1" applyBorder="1" applyAlignment="1">
      <alignment horizontal="center" vertical="center"/>
    </xf>
    <xf numFmtId="0" fontId="6" fillId="3" borderId="0" xfId="0" applyFont="1" applyFill="1" applyBorder="1" applyAlignment="1"/>
    <xf numFmtId="0" fontId="6" fillId="3" borderId="32" xfId="0" applyFont="1" applyFill="1" applyBorder="1" applyAlignment="1"/>
    <xf numFmtId="0" fontId="14" fillId="3" borderId="29" xfId="0" applyFont="1" applyFill="1" applyBorder="1" applyAlignment="1">
      <alignment vertical="center"/>
    </xf>
    <xf numFmtId="0" fontId="10" fillId="8" borderId="29" xfId="0" applyFont="1" applyFill="1" applyBorder="1" applyAlignment="1">
      <alignment horizontal="right" vertical="center"/>
    </xf>
    <xf numFmtId="0" fontId="10" fillId="8" borderId="22" xfId="0" applyFont="1" applyFill="1" applyBorder="1" applyAlignment="1">
      <alignment horizontal="right" vertical="center"/>
    </xf>
    <xf numFmtId="0" fontId="4" fillId="3" borderId="0" xfId="0" applyFont="1" applyFill="1" applyAlignment="1">
      <alignment horizontal="center" vertical="center"/>
    </xf>
    <xf numFmtId="3" fontId="2" fillId="3" borderId="7" xfId="0" applyNumberFormat="1" applyFont="1" applyFill="1" applyBorder="1" applyAlignment="1">
      <alignment horizontal="center" vertical="center"/>
    </xf>
    <xf numFmtId="3" fontId="2" fillId="3" borderId="0" xfId="0" applyNumberFormat="1" applyFont="1" applyFill="1" applyBorder="1" applyAlignment="1">
      <alignment horizontal="center" vertical="center"/>
    </xf>
    <xf numFmtId="0" fontId="15" fillId="3" borderId="0" xfId="0" applyFont="1" applyFill="1"/>
    <xf numFmtId="3" fontId="2" fillId="3" borderId="20" xfId="0" applyNumberFormat="1" applyFont="1" applyFill="1" applyBorder="1" applyAlignment="1">
      <alignment horizontal="center" vertical="center"/>
    </xf>
    <xf numFmtId="3" fontId="2" fillId="3" borderId="21" xfId="0" applyNumberFormat="1" applyFont="1" applyFill="1" applyBorder="1" applyAlignment="1">
      <alignment horizontal="center" vertical="center"/>
    </xf>
    <xf numFmtId="0" fontId="37" fillId="7" borderId="17" xfId="0" applyFont="1" applyFill="1" applyBorder="1" applyAlignment="1">
      <alignment horizontal="center" vertical="center"/>
    </xf>
    <xf numFmtId="0" fontId="14" fillId="8" borderId="0" xfId="0" applyFont="1" applyFill="1" applyBorder="1" applyAlignment="1">
      <alignment vertical="center"/>
    </xf>
    <xf numFmtId="0" fontId="10" fillId="8" borderId="0" xfId="0" applyFont="1" applyFill="1" applyBorder="1" applyAlignment="1">
      <alignment horizontal="left" vertical="center"/>
    </xf>
    <xf numFmtId="0" fontId="11" fillId="8" borderId="0" xfId="0" applyFont="1" applyFill="1" applyBorder="1" applyAlignment="1">
      <alignment horizontal="left" vertical="center"/>
    </xf>
    <xf numFmtId="0" fontId="14" fillId="8" borderId="0" xfId="0" applyFont="1" applyFill="1" applyAlignment="1">
      <alignment vertical="center"/>
    </xf>
    <xf numFmtId="49" fontId="10" fillId="8" borderId="0" xfId="0" applyNumberFormat="1" applyFont="1" applyFill="1" applyBorder="1" applyAlignment="1">
      <alignment horizontal="center" vertical="center"/>
    </xf>
    <xf numFmtId="0" fontId="10" fillId="8" borderId="0" xfId="0" applyFont="1" applyFill="1" applyBorder="1" applyAlignment="1">
      <alignment horizontal="center" vertical="center" wrapText="1"/>
    </xf>
    <xf numFmtId="165" fontId="14" fillId="8" borderId="0" xfId="0" applyNumberFormat="1" applyFont="1" applyFill="1" applyBorder="1" applyAlignment="1">
      <alignment vertical="center"/>
    </xf>
    <xf numFmtId="49" fontId="10" fillId="8" borderId="0" xfId="0" applyNumberFormat="1" applyFont="1" applyFill="1" applyBorder="1" applyAlignment="1">
      <alignment horizontal="right" vertical="center"/>
    </xf>
    <xf numFmtId="0" fontId="10" fillId="8" borderId="0" xfId="0" applyFont="1" applyFill="1" applyBorder="1" applyAlignment="1">
      <alignment horizontal="right" vertical="center"/>
    </xf>
    <xf numFmtId="0" fontId="14" fillId="8" borderId="0" xfId="0" applyFont="1" applyFill="1" applyBorder="1" applyAlignment="1">
      <alignment horizontal="left" vertical="center"/>
    </xf>
    <xf numFmtId="0" fontId="30" fillId="8" borderId="0" xfId="3" applyFont="1" applyFill="1" applyBorder="1" applyAlignment="1" applyProtection="1">
      <alignment horizontal="left" vertical="center"/>
    </xf>
    <xf numFmtId="173" fontId="36" fillId="4" borderId="10" xfId="0" applyNumberFormat="1" applyFont="1" applyFill="1" applyBorder="1" applyAlignment="1">
      <alignment horizontal="center" vertical="center"/>
    </xf>
    <xf numFmtId="0" fontId="14" fillId="0" borderId="0" xfId="0" applyFont="1" applyFill="1" applyBorder="1" applyAlignment="1">
      <alignment horizontal="center"/>
    </xf>
    <xf numFmtId="5" fontId="14" fillId="0" borderId="0" xfId="2" applyNumberFormat="1" applyFont="1" applyFill="1" applyBorder="1" applyAlignment="1">
      <alignment horizontal="center"/>
    </xf>
    <xf numFmtId="0" fontId="10" fillId="0" borderId="0" xfId="0" applyFont="1" applyFill="1" applyBorder="1" applyAlignment="1"/>
    <xf numFmtId="0" fontId="37" fillId="7" borderId="19" xfId="0" applyFont="1" applyFill="1" applyBorder="1" applyAlignment="1">
      <alignment horizontal="center" vertical="center"/>
    </xf>
    <xf numFmtId="0" fontId="15" fillId="3" borderId="38" xfId="0" applyFont="1" applyFill="1" applyBorder="1" applyAlignment="1">
      <alignment horizontal="center" vertical="center"/>
    </xf>
    <xf numFmtId="0" fontId="15" fillId="3" borderId="22" xfId="0" applyFont="1" applyFill="1" applyBorder="1" applyAlignment="1">
      <alignment horizontal="center" vertical="center"/>
    </xf>
    <xf numFmtId="0" fontId="35" fillId="8" borderId="5" xfId="0" applyFont="1" applyFill="1" applyBorder="1" applyAlignment="1">
      <alignment horizontal="center" vertical="center"/>
    </xf>
    <xf numFmtId="0" fontId="35" fillId="8" borderId="11" xfId="0" applyFont="1" applyFill="1" applyBorder="1" applyAlignment="1">
      <alignment horizontal="center" vertical="center"/>
    </xf>
    <xf numFmtId="0" fontId="35" fillId="8" borderId="12" xfId="0" applyFont="1" applyFill="1" applyBorder="1" applyAlignment="1">
      <alignment horizontal="center" vertical="center"/>
    </xf>
    <xf numFmtId="0" fontId="35" fillId="8" borderId="39" xfId="0" applyFont="1" applyFill="1" applyBorder="1" applyAlignment="1">
      <alignment horizontal="center" vertical="center"/>
    </xf>
    <xf numFmtId="170" fontId="14" fillId="0" borderId="50" xfId="1" applyNumberFormat="1" applyFont="1" applyBorder="1" applyAlignment="1">
      <alignment horizontal="center"/>
    </xf>
    <xf numFmtId="0" fontId="14" fillId="0" borderId="50" xfId="0" applyFont="1" applyBorder="1" applyAlignment="1">
      <alignment horizontal="center"/>
    </xf>
    <xf numFmtId="165" fontId="14" fillId="0" borderId="50" xfId="0" applyNumberFormat="1" applyFont="1" applyBorder="1" applyAlignment="1">
      <alignment horizontal="center"/>
    </xf>
    <xf numFmtId="0" fontId="14" fillId="0" borderId="50" xfId="0" applyFont="1" applyFill="1" applyBorder="1" applyAlignment="1">
      <alignment horizontal="center"/>
    </xf>
    <xf numFmtId="0" fontId="36" fillId="11" borderId="50" xfId="0" applyFont="1" applyFill="1" applyBorder="1" applyAlignment="1">
      <alignment horizontal="center" vertical="center" wrapText="1"/>
    </xf>
    <xf numFmtId="165" fontId="36" fillId="11" borderId="50" xfId="0" applyNumberFormat="1" applyFont="1" applyFill="1" applyBorder="1" applyAlignment="1">
      <alignment horizontal="center" vertical="center" wrapText="1"/>
    </xf>
    <xf numFmtId="0" fontId="10" fillId="12" borderId="50" xfId="0" applyFont="1" applyFill="1" applyBorder="1" applyAlignment="1">
      <alignment horizontal="center" vertical="center" wrapText="1"/>
    </xf>
    <xf numFmtId="0" fontId="14" fillId="0" borderId="50" xfId="0" applyFont="1" applyBorder="1" applyAlignment="1">
      <alignment horizontal="left"/>
    </xf>
    <xf numFmtId="1" fontId="14" fillId="0" borderId="50" xfId="0" applyNumberFormat="1" applyFont="1" applyBorder="1" applyAlignment="1">
      <alignment horizontal="center"/>
    </xf>
    <xf numFmtId="37" fontId="14" fillId="0" borderId="50" xfId="1" applyNumberFormat="1" applyFont="1" applyBorder="1" applyAlignment="1">
      <alignment horizontal="right"/>
    </xf>
    <xf numFmtId="37" fontId="14" fillId="0" borderId="50" xfId="1" applyNumberFormat="1" applyFont="1" applyFill="1" applyBorder="1" applyAlignment="1">
      <alignment horizontal="right"/>
    </xf>
    <xf numFmtId="0" fontId="10" fillId="12" borderId="50" xfId="0" applyFont="1" applyFill="1" applyBorder="1" applyAlignment="1">
      <alignment horizontal="center" vertical="center"/>
    </xf>
    <xf numFmtId="0" fontId="36" fillId="11" borderId="50" xfId="0" applyFont="1" applyFill="1" applyBorder="1" applyAlignment="1">
      <alignment horizontal="center" vertical="center"/>
    </xf>
    <xf numFmtId="0" fontId="15" fillId="6" borderId="51" xfId="0" applyFont="1" applyFill="1" applyBorder="1" applyAlignment="1">
      <alignment horizontal="center" vertical="center"/>
    </xf>
    <xf numFmtId="0" fontId="15" fillId="3" borderId="51" xfId="0" applyFont="1" applyFill="1" applyBorder="1" applyAlignment="1">
      <alignment horizontal="left" vertical="center" indent="1"/>
    </xf>
    <xf numFmtId="3" fontId="15" fillId="3" borderId="51" xfId="0" applyNumberFormat="1" applyFont="1" applyFill="1" applyBorder="1" applyAlignment="1">
      <alignment horizontal="center" vertical="center"/>
    </xf>
    <xf numFmtId="1" fontId="15" fillId="0" borderId="51" xfId="0" applyNumberFormat="1" applyFont="1" applyFill="1" applyBorder="1" applyAlignment="1">
      <alignment horizontal="center" vertical="center"/>
    </xf>
    <xf numFmtId="164" fontId="15" fillId="0" borderId="51" xfId="0" applyNumberFormat="1" applyFont="1" applyFill="1" applyBorder="1" applyAlignment="1">
      <alignment horizontal="center" vertical="center"/>
    </xf>
    <xf numFmtId="164" fontId="15" fillId="0" borderId="51" xfId="0" applyNumberFormat="1" applyFont="1" applyFill="1" applyBorder="1" applyAlignment="1" applyProtection="1">
      <alignment horizontal="center" vertical="center"/>
    </xf>
    <xf numFmtId="3" fontId="15" fillId="0" borderId="51" xfId="0" applyNumberFormat="1" applyFont="1" applyFill="1" applyBorder="1" applyAlignment="1">
      <alignment vertical="center"/>
    </xf>
    <xf numFmtId="3" fontId="15" fillId="0" borderId="51" xfId="0" applyNumberFormat="1" applyFont="1" applyFill="1" applyBorder="1" applyAlignment="1">
      <alignment horizontal="center" vertical="center"/>
    </xf>
    <xf numFmtId="5" fontId="15" fillId="0" borderId="51" xfId="0" applyNumberFormat="1" applyFont="1" applyFill="1" applyBorder="1" applyAlignment="1">
      <alignment horizontal="center" vertical="center"/>
    </xf>
    <xf numFmtId="165" fontId="15" fillId="0" borderId="51" xfId="0" applyNumberFormat="1" applyFont="1" applyFill="1" applyBorder="1" applyAlignment="1">
      <alignment horizontal="center" vertical="center"/>
    </xf>
    <xf numFmtId="3" fontId="56" fillId="6" borderId="51" xfId="0" applyNumberFormat="1" applyFont="1" applyFill="1" applyBorder="1" applyAlignment="1">
      <alignment horizontal="center" vertical="center"/>
    </xf>
    <xf numFmtId="0" fontId="57" fillId="6" borderId="51" xfId="0" applyFont="1" applyFill="1" applyBorder="1" applyAlignment="1">
      <alignment horizontal="center" vertical="center"/>
    </xf>
    <xf numFmtId="2" fontId="15" fillId="0" borderId="51" xfId="0" applyNumberFormat="1" applyFont="1" applyFill="1" applyBorder="1" applyAlignment="1">
      <alignment horizontal="center" vertical="center"/>
    </xf>
    <xf numFmtId="0" fontId="15" fillId="0" borderId="51" xfId="0" applyFont="1" applyFill="1" applyBorder="1" applyAlignment="1">
      <alignment horizontal="center" vertical="center"/>
    </xf>
    <xf numFmtId="0" fontId="56" fillId="6" borderId="51" xfId="0" applyFont="1" applyFill="1" applyBorder="1" applyAlignment="1">
      <alignment horizontal="center" vertical="center"/>
    </xf>
    <xf numFmtId="3" fontId="15" fillId="6" borderId="51" xfId="0" applyNumberFormat="1" applyFont="1" applyFill="1" applyBorder="1" applyAlignment="1">
      <alignment horizontal="center" vertical="center"/>
    </xf>
    <xf numFmtId="1" fontId="15" fillId="6" borderId="51" xfId="0" applyNumberFormat="1" applyFont="1" applyFill="1" applyBorder="1" applyAlignment="1">
      <alignment horizontal="center" vertical="center"/>
    </xf>
    <xf numFmtId="164" fontId="15" fillId="6" borderId="51" xfId="0" applyNumberFormat="1" applyFont="1" applyFill="1" applyBorder="1" applyAlignment="1">
      <alignment horizontal="center" vertical="center"/>
    </xf>
    <xf numFmtId="1" fontId="15" fillId="6" borderId="51" xfId="0" applyNumberFormat="1" applyFont="1" applyFill="1" applyBorder="1" applyAlignment="1">
      <alignment vertical="center"/>
    </xf>
    <xf numFmtId="5" fontId="15" fillId="6" borderId="51" xfId="0" applyNumberFormat="1" applyFont="1" applyFill="1" applyBorder="1" applyAlignment="1">
      <alignment horizontal="center" vertical="center"/>
    </xf>
    <xf numFmtId="37" fontId="15" fillId="6" borderId="51" xfId="0" applyNumberFormat="1" applyFont="1" applyFill="1" applyBorder="1" applyAlignment="1">
      <alignment horizontal="center" vertical="center"/>
    </xf>
    <xf numFmtId="165" fontId="15" fillId="6" borderId="51" xfId="0" applyNumberFormat="1" applyFont="1" applyFill="1" applyBorder="1" applyAlignment="1">
      <alignment horizontal="center" vertical="center"/>
    </xf>
    <xf numFmtId="165" fontId="57" fillId="6" borderId="51" xfId="0" applyNumberFormat="1" applyFont="1" applyFill="1" applyBorder="1" applyAlignment="1">
      <alignment horizontal="center" vertical="center"/>
    </xf>
    <xf numFmtId="2" fontId="15" fillId="6" borderId="51" xfId="0" applyNumberFormat="1" applyFont="1" applyFill="1" applyBorder="1" applyAlignment="1">
      <alignment horizontal="center" vertical="center"/>
    </xf>
    <xf numFmtId="0" fontId="1" fillId="2" borderId="51" xfId="0" applyFont="1" applyFill="1" applyBorder="1" applyAlignment="1">
      <alignment horizontal="center" vertical="center" wrapText="1"/>
    </xf>
    <xf numFmtId="0" fontId="1" fillId="2" borderId="51" xfId="0" applyFont="1" applyFill="1" applyBorder="1" applyAlignment="1">
      <alignment horizontal="center" vertical="center"/>
    </xf>
    <xf numFmtId="0" fontId="1" fillId="0" borderId="51" xfId="0" applyFont="1" applyFill="1" applyBorder="1" applyAlignment="1">
      <alignment horizontal="left" vertical="center" indent="1"/>
    </xf>
    <xf numFmtId="0" fontId="1" fillId="0" borderId="51" xfId="0" applyFont="1" applyFill="1" applyBorder="1" applyAlignment="1">
      <alignment horizontal="center" vertical="center"/>
    </xf>
    <xf numFmtId="167" fontId="1" fillId="0" borderId="51" xfId="0" applyNumberFormat="1" applyFont="1" applyFill="1" applyBorder="1" applyAlignment="1">
      <alignment horizontal="center" vertical="center"/>
    </xf>
    <xf numFmtId="164" fontId="1" fillId="0" borderId="51" xfId="0" applyNumberFormat="1" applyFont="1" applyFill="1" applyBorder="1" applyAlignment="1">
      <alignment horizontal="center" vertical="center"/>
    </xf>
    <xf numFmtId="0" fontId="1" fillId="0" borderId="51" xfId="0" applyNumberFormat="1" applyFont="1" applyFill="1" applyBorder="1" applyAlignment="1">
      <alignment vertical="center"/>
    </xf>
    <xf numFmtId="3" fontId="1" fillId="0" borderId="51" xfId="0" applyNumberFormat="1" applyFont="1" applyFill="1" applyBorder="1" applyAlignment="1">
      <alignment horizontal="center" vertical="center"/>
    </xf>
    <xf numFmtId="5" fontId="1" fillId="0" borderId="51" xfId="0" applyNumberFormat="1" applyFont="1" applyFill="1" applyBorder="1" applyAlignment="1">
      <alignment horizontal="center" vertical="center"/>
    </xf>
    <xf numFmtId="1" fontId="1" fillId="0" borderId="51" xfId="0" applyNumberFormat="1" applyFont="1" applyFill="1" applyBorder="1" applyAlignment="1">
      <alignment horizontal="center" vertical="center"/>
    </xf>
    <xf numFmtId="165" fontId="1" fillId="0" borderId="51" xfId="0" applyNumberFormat="1" applyFont="1" applyFill="1" applyBorder="1" applyAlignment="1">
      <alignment horizontal="center" vertical="center"/>
    </xf>
    <xf numFmtId="165" fontId="16" fillId="2" borderId="51" xfId="0" applyNumberFormat="1" applyFont="1" applyFill="1" applyBorder="1" applyAlignment="1">
      <alignment horizontal="center" vertical="center"/>
    </xf>
    <xf numFmtId="2" fontId="1" fillId="0" borderId="51" xfId="0" applyNumberFormat="1" applyFont="1" applyFill="1" applyBorder="1" applyAlignment="1">
      <alignment horizontal="center" vertical="center"/>
    </xf>
    <xf numFmtId="0" fontId="15" fillId="2" borderId="51" xfId="0" applyFont="1" applyFill="1" applyBorder="1" applyAlignment="1">
      <alignment horizontal="center" vertical="center"/>
    </xf>
    <xf numFmtId="3" fontId="15" fillId="2" borderId="51" xfId="0" applyNumberFormat="1" applyFont="1" applyFill="1" applyBorder="1" applyAlignment="1">
      <alignment horizontal="center" vertical="center"/>
    </xf>
    <xf numFmtId="1" fontId="15" fillId="2" borderId="51" xfId="0" applyNumberFormat="1" applyFont="1" applyFill="1" applyBorder="1" applyAlignment="1">
      <alignment horizontal="center" vertical="center"/>
    </xf>
    <xf numFmtId="164" fontId="15" fillId="2" borderId="51" xfId="0" applyNumberFormat="1" applyFont="1" applyFill="1" applyBorder="1" applyAlignment="1">
      <alignment horizontal="center" vertical="center"/>
    </xf>
    <xf numFmtId="3" fontId="15" fillId="2" borderId="51" xfId="0" applyNumberFormat="1" applyFont="1" applyFill="1" applyBorder="1" applyAlignment="1">
      <alignment vertical="center"/>
    </xf>
    <xf numFmtId="5" fontId="15" fillId="2" borderId="51" xfId="0" applyNumberFormat="1" applyFont="1" applyFill="1" applyBorder="1" applyAlignment="1">
      <alignment horizontal="center" vertical="center"/>
    </xf>
    <xf numFmtId="165" fontId="15" fillId="2" borderId="51" xfId="0" applyNumberFormat="1" applyFont="1" applyFill="1" applyBorder="1" applyAlignment="1">
      <alignment horizontal="center" vertical="center"/>
    </xf>
    <xf numFmtId="165" fontId="57" fillId="2" borderId="51" xfId="0" applyNumberFormat="1" applyFont="1" applyFill="1" applyBorder="1" applyAlignment="1">
      <alignment horizontal="center" vertical="center"/>
    </xf>
    <xf numFmtId="5" fontId="57" fillId="2" borderId="51" xfId="0" applyNumberFormat="1" applyFont="1" applyFill="1" applyBorder="1" applyAlignment="1">
      <alignment horizontal="center" vertical="center"/>
    </xf>
    <xf numFmtId="2" fontId="15" fillId="2" borderId="51" xfId="0" applyNumberFormat="1" applyFont="1" applyFill="1" applyBorder="1" applyAlignment="1">
      <alignment horizontal="center" vertical="center"/>
    </xf>
    <xf numFmtId="0" fontId="1" fillId="6" borderId="51" xfId="0" applyFont="1" applyFill="1" applyBorder="1" applyAlignment="1">
      <alignment horizontal="center" vertical="center" wrapText="1"/>
    </xf>
    <xf numFmtId="0" fontId="1" fillId="6" borderId="51" xfId="0" applyFont="1" applyFill="1" applyBorder="1" applyAlignment="1">
      <alignment horizontal="center" vertical="center"/>
    </xf>
    <xf numFmtId="0" fontId="5" fillId="3" borderId="0" xfId="0" applyFont="1" applyFill="1" applyAlignment="1">
      <alignment vertical="center"/>
    </xf>
    <xf numFmtId="0" fontId="5" fillId="3" borderId="0" xfId="0" applyFont="1" applyFill="1" applyAlignment="1">
      <alignment horizontal="right" vertical="center"/>
    </xf>
    <xf numFmtId="0" fontId="1" fillId="3" borderId="0" xfId="0" applyFont="1" applyFill="1" applyAlignment="1">
      <alignment vertical="center"/>
    </xf>
    <xf numFmtId="0" fontId="1" fillId="3" borderId="0" xfId="0" applyFont="1" applyFill="1" applyAlignment="1">
      <alignment horizontal="left" vertical="center" indent="1"/>
    </xf>
    <xf numFmtId="0" fontId="55" fillId="5" borderId="6" xfId="0" applyFont="1" applyFill="1" applyBorder="1" applyAlignment="1">
      <alignment horizontal="center" vertical="center"/>
    </xf>
    <xf numFmtId="0" fontId="55" fillId="5" borderId="7" xfId="0" applyFont="1" applyFill="1" applyBorder="1" applyAlignment="1">
      <alignment horizontal="center" vertical="center"/>
    </xf>
    <xf numFmtId="3" fontId="1" fillId="3" borderId="0" xfId="0" applyNumberFormat="1" applyFont="1" applyFill="1" applyAlignment="1">
      <alignment vertical="center"/>
    </xf>
    <xf numFmtId="3" fontId="1" fillId="3" borderId="6" xfId="0" applyNumberFormat="1" applyFont="1" applyFill="1" applyBorder="1" applyAlignment="1">
      <alignment vertical="center"/>
    </xf>
    <xf numFmtId="3" fontId="1" fillId="3" borderId="7" xfId="0" applyNumberFormat="1" applyFont="1" applyFill="1" applyBorder="1" applyAlignment="1">
      <alignment vertical="center"/>
    </xf>
    <xf numFmtId="0" fontId="1" fillId="3" borderId="6" xfId="0" applyFont="1" applyFill="1" applyBorder="1" applyAlignment="1">
      <alignment vertical="center"/>
    </xf>
    <xf numFmtId="3" fontId="55" fillId="5" borderId="22" xfId="0" applyNumberFormat="1" applyFont="1" applyFill="1" applyBorder="1" applyAlignment="1">
      <alignment vertical="center"/>
    </xf>
    <xf numFmtId="3" fontId="55" fillId="5" borderId="21" xfId="0" applyNumberFormat="1" applyFont="1" applyFill="1" applyBorder="1" applyAlignment="1">
      <alignment vertical="center"/>
    </xf>
    <xf numFmtId="165" fontId="1" fillId="3" borderId="0" xfId="0" applyNumberFormat="1" applyFont="1" applyFill="1" applyAlignment="1">
      <alignment vertical="center"/>
    </xf>
    <xf numFmtId="0" fontId="55" fillId="4" borderId="6" xfId="0" applyFont="1" applyFill="1" applyBorder="1" applyAlignment="1">
      <alignment horizontal="center" vertical="center"/>
    </xf>
    <xf numFmtId="0" fontId="55" fillId="4" borderId="7" xfId="0" applyFont="1" applyFill="1" applyBorder="1" applyAlignment="1">
      <alignment horizontal="center" vertical="center"/>
    </xf>
    <xf numFmtId="3" fontId="55" fillId="4" borderId="22" xfId="0" applyNumberFormat="1" applyFont="1" applyFill="1" applyBorder="1" applyAlignment="1">
      <alignment vertical="center"/>
    </xf>
    <xf numFmtId="3" fontId="55" fillId="4" borderId="21" xfId="0" applyNumberFormat="1" applyFont="1" applyFill="1" applyBorder="1" applyAlignment="1">
      <alignment vertical="center"/>
    </xf>
    <xf numFmtId="0" fontId="55" fillId="9" borderId="6" xfId="0" applyFont="1" applyFill="1" applyBorder="1" applyAlignment="1">
      <alignment horizontal="center" vertical="center"/>
    </xf>
    <xf numFmtId="43" fontId="1" fillId="3" borderId="0" xfId="1" applyNumberFormat="1" applyFont="1" applyFill="1" applyAlignment="1">
      <alignment vertical="center"/>
    </xf>
    <xf numFmtId="170" fontId="1" fillId="3" borderId="6" xfId="0" applyNumberFormat="1" applyFont="1" applyFill="1" applyBorder="1" applyAlignment="1">
      <alignment vertical="center"/>
    </xf>
    <xf numFmtId="170" fontId="1" fillId="3" borderId="6" xfId="1" applyNumberFormat="1" applyFont="1" applyFill="1" applyBorder="1" applyAlignment="1">
      <alignment vertical="center"/>
    </xf>
    <xf numFmtId="0" fontId="1" fillId="3" borderId="6" xfId="0" applyFont="1" applyFill="1" applyBorder="1" applyAlignment="1">
      <alignment horizontal="center" vertical="center"/>
    </xf>
    <xf numFmtId="3" fontId="1" fillId="3" borderId="5" xfId="0" applyNumberFormat="1" applyFont="1" applyFill="1" applyBorder="1" applyAlignment="1">
      <alignment horizontal="left" vertical="center"/>
    </xf>
    <xf numFmtId="0" fontId="1" fillId="3" borderId="5" xfId="0" applyFont="1" applyFill="1" applyBorder="1" applyAlignment="1">
      <alignment horizontal="left" vertical="center"/>
    </xf>
    <xf numFmtId="0" fontId="55" fillId="4" borderId="12" xfId="0" applyFont="1" applyFill="1" applyBorder="1" applyAlignment="1">
      <alignment horizontal="left" vertical="center"/>
    </xf>
    <xf numFmtId="0" fontId="55" fillId="5" borderId="12" xfId="0" applyFont="1" applyFill="1" applyBorder="1" applyAlignment="1">
      <alignment horizontal="left" vertical="center"/>
    </xf>
    <xf numFmtId="165" fontId="1" fillId="0" borderId="50" xfId="0" applyNumberFormat="1" applyFont="1" applyBorder="1" applyAlignment="1">
      <alignment horizontal="center"/>
    </xf>
    <xf numFmtId="1" fontId="10" fillId="3" borderId="8" xfId="4" applyNumberFormat="1" applyFont="1" applyFill="1" applyBorder="1" applyAlignment="1">
      <alignment horizontal="center" vertical="center"/>
    </xf>
    <xf numFmtId="1" fontId="10" fillId="3" borderId="23" xfId="4" applyNumberFormat="1" applyFont="1" applyFill="1" applyBorder="1" applyAlignment="1">
      <alignment horizontal="center" vertical="center"/>
    </xf>
    <xf numFmtId="1" fontId="10" fillId="3" borderId="9" xfId="4" applyNumberFormat="1" applyFont="1" applyFill="1" applyBorder="1" applyAlignment="1">
      <alignment horizontal="center" vertical="center"/>
    </xf>
    <xf numFmtId="1" fontId="10" fillId="3" borderId="45" xfId="4" applyNumberFormat="1" applyFont="1" applyFill="1" applyBorder="1" applyAlignment="1">
      <alignment horizontal="center" vertical="center"/>
    </xf>
    <xf numFmtId="0" fontId="10" fillId="8" borderId="5" xfId="0" applyFont="1" applyFill="1" applyBorder="1" applyAlignment="1">
      <alignment horizontal="left" vertical="center" wrapText="1" indent="1"/>
    </xf>
    <xf numFmtId="0" fontId="10" fillId="8" borderId="6" xfId="0" applyFont="1" applyFill="1" applyBorder="1" applyAlignment="1">
      <alignment horizontal="left" vertical="center" wrapText="1" indent="1"/>
    </xf>
    <xf numFmtId="0" fontId="10" fillId="8" borderId="5" xfId="0" applyFont="1" applyFill="1" applyBorder="1" applyAlignment="1">
      <alignment horizontal="left" vertical="center" indent="1"/>
    </xf>
    <xf numFmtId="0" fontId="10" fillId="8" borderId="6" xfId="0" applyFont="1" applyFill="1" applyBorder="1" applyAlignment="1">
      <alignment horizontal="left" vertical="center" indent="1"/>
    </xf>
    <xf numFmtId="8" fontId="10" fillId="3" borderId="8" xfId="0" applyNumberFormat="1" applyFont="1" applyFill="1" applyBorder="1" applyAlignment="1">
      <alignment horizontal="center" vertical="center"/>
    </xf>
    <xf numFmtId="8" fontId="10" fillId="3" borderId="23" xfId="0" applyNumberFormat="1" applyFont="1" applyFill="1" applyBorder="1" applyAlignment="1">
      <alignment horizontal="center" vertical="center"/>
    </xf>
    <xf numFmtId="9" fontId="10" fillId="3" borderId="8" xfId="0" applyNumberFormat="1" applyFont="1" applyFill="1" applyBorder="1" applyAlignment="1">
      <alignment horizontal="center" vertical="center"/>
    </xf>
    <xf numFmtId="9" fontId="10" fillId="3" borderId="23" xfId="0" applyNumberFormat="1" applyFont="1" applyFill="1" applyBorder="1" applyAlignment="1">
      <alignment horizontal="center" vertical="center"/>
    </xf>
    <xf numFmtId="0" fontId="37" fillId="7" borderId="18" xfId="0" applyFont="1" applyFill="1" applyBorder="1" applyAlignment="1">
      <alignment horizontal="center" vertical="center"/>
    </xf>
    <xf numFmtId="0" fontId="37" fillId="7" borderId="41" xfId="0" applyFont="1" applyFill="1" applyBorder="1" applyAlignment="1">
      <alignment horizontal="center" vertical="center"/>
    </xf>
    <xf numFmtId="3" fontId="10" fillId="3" borderId="8" xfId="0" applyNumberFormat="1" applyFont="1" applyFill="1" applyBorder="1" applyAlignment="1">
      <alignment horizontal="center" vertical="center"/>
    </xf>
    <xf numFmtId="3" fontId="10" fillId="3" borderId="23" xfId="0" applyNumberFormat="1" applyFont="1" applyFill="1" applyBorder="1" applyAlignment="1">
      <alignment horizontal="center" vertical="center"/>
    </xf>
    <xf numFmtId="0" fontId="10" fillId="8" borderId="12" xfId="0" applyFont="1" applyFill="1" applyBorder="1" applyAlignment="1">
      <alignment horizontal="center" vertical="center"/>
    </xf>
    <xf numFmtId="0" fontId="10" fillId="8" borderId="22" xfId="0" applyFont="1" applyFill="1" applyBorder="1" applyAlignment="1">
      <alignment horizontal="center" vertical="center"/>
    </xf>
    <xf numFmtId="0" fontId="15" fillId="3" borderId="6" xfId="0" applyFont="1" applyFill="1" applyBorder="1" applyAlignment="1">
      <alignment horizontal="left" vertical="center" indent="1"/>
    </xf>
    <xf numFmtId="166" fontId="10" fillId="3" borderId="8" xfId="0" applyNumberFormat="1" applyFont="1" applyFill="1" applyBorder="1" applyAlignment="1">
      <alignment horizontal="center" vertical="center"/>
    </xf>
    <xf numFmtId="166" fontId="10" fillId="3" borderId="23" xfId="0" applyNumberFormat="1" applyFont="1" applyFill="1" applyBorder="1" applyAlignment="1">
      <alignment horizontal="center" vertical="center"/>
    </xf>
    <xf numFmtId="0" fontId="14" fillId="8" borderId="6" xfId="0" applyFont="1" applyFill="1" applyBorder="1" applyAlignment="1">
      <alignment horizontal="left" vertical="center" indent="1"/>
    </xf>
    <xf numFmtId="0" fontId="14" fillId="8" borderId="8" xfId="0" applyFont="1" applyFill="1" applyBorder="1" applyAlignment="1">
      <alignment horizontal="center" vertical="center"/>
    </xf>
    <xf numFmtId="0" fontId="14" fillId="8" borderId="23" xfId="0" applyFont="1" applyFill="1" applyBorder="1" applyAlignment="1">
      <alignment horizontal="center" vertical="center"/>
    </xf>
    <xf numFmtId="0" fontId="14" fillId="8" borderId="8" xfId="0" applyFont="1" applyFill="1" applyBorder="1" applyAlignment="1">
      <alignment horizontal="left" vertical="center" indent="1"/>
    </xf>
    <xf numFmtId="0" fontId="14" fillId="8" borderId="38" xfId="0" applyFont="1" applyFill="1" applyBorder="1" applyAlignment="1">
      <alignment horizontal="left" vertical="center" indent="1"/>
    </xf>
    <xf numFmtId="0" fontId="14" fillId="8" borderId="23" xfId="0" applyFont="1" applyFill="1" applyBorder="1" applyAlignment="1">
      <alignment horizontal="left" vertical="center" indent="1"/>
    </xf>
    <xf numFmtId="0" fontId="34" fillId="8" borderId="40" xfId="0" applyFont="1" applyFill="1" applyBorder="1" applyAlignment="1">
      <alignment horizontal="left" vertical="center" wrapText="1" indent="1"/>
    </xf>
    <xf numFmtId="0" fontId="25" fillId="8" borderId="23" xfId="0" applyFont="1" applyFill="1" applyBorder="1" applyAlignment="1">
      <alignment horizontal="left" vertical="center" wrapText="1" indent="1"/>
    </xf>
    <xf numFmtId="0" fontId="15" fillId="3" borderId="22" xfId="0" applyFont="1" applyFill="1" applyBorder="1" applyAlignment="1">
      <alignment horizontal="left" vertical="center" indent="1"/>
    </xf>
    <xf numFmtId="0" fontId="37" fillId="7" borderId="42" xfId="0" applyFont="1" applyFill="1" applyBorder="1" applyAlignment="1">
      <alignment horizontal="center" vertical="center"/>
    </xf>
    <xf numFmtId="0" fontId="48" fillId="7" borderId="41"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23" xfId="0" applyFont="1" applyFill="1" applyBorder="1" applyAlignment="1">
      <alignment horizontal="center" vertical="center"/>
    </xf>
    <xf numFmtId="0" fontId="14" fillId="3" borderId="8" xfId="0" applyFont="1" applyFill="1" applyBorder="1" applyAlignment="1">
      <alignment horizontal="left" vertical="center"/>
    </xf>
    <xf numFmtId="0" fontId="14" fillId="3" borderId="38" xfId="0" applyFont="1" applyFill="1" applyBorder="1" applyAlignment="1">
      <alignment horizontal="left" vertical="center"/>
    </xf>
    <xf numFmtId="0" fontId="14" fillId="3" borderId="23" xfId="0" applyFont="1" applyFill="1" applyBorder="1" applyAlignment="1">
      <alignment horizontal="left" vertical="center"/>
    </xf>
    <xf numFmtId="0" fontId="28" fillId="3" borderId="34" xfId="0" applyFont="1" applyFill="1" applyBorder="1" applyAlignment="1">
      <alignment horizontal="center" vertical="center"/>
    </xf>
    <xf numFmtId="0" fontId="37" fillId="7" borderId="19" xfId="0" applyFont="1" applyFill="1" applyBorder="1" applyAlignment="1">
      <alignment horizontal="center" vertical="center"/>
    </xf>
    <xf numFmtId="0" fontId="45" fillId="3" borderId="34" xfId="0" applyFont="1" applyFill="1" applyBorder="1" applyAlignment="1">
      <alignment horizontal="left" vertical="center"/>
    </xf>
    <xf numFmtId="0" fontId="46" fillId="3" borderId="34" xfId="0" applyFont="1" applyFill="1" applyBorder="1" applyAlignment="1">
      <alignment horizontal="left" vertical="center"/>
    </xf>
    <xf numFmtId="0" fontId="15" fillId="3" borderId="8" xfId="0" applyFont="1" applyFill="1" applyBorder="1" applyAlignment="1">
      <alignment horizontal="left" vertical="center" indent="1"/>
    </xf>
    <xf numFmtId="0" fontId="15" fillId="3" borderId="23" xfId="0" applyFont="1" applyFill="1" applyBorder="1" applyAlignment="1">
      <alignment horizontal="left" vertical="center" indent="1"/>
    </xf>
    <xf numFmtId="0" fontId="15" fillId="3" borderId="29" xfId="0" applyFont="1" applyFill="1" applyBorder="1" applyAlignment="1">
      <alignment horizontal="left" vertical="center" indent="1"/>
    </xf>
    <xf numFmtId="0" fontId="15" fillId="3" borderId="2" xfId="0" applyFont="1" applyFill="1" applyBorder="1" applyAlignment="1">
      <alignment horizontal="left" vertical="center" indent="1"/>
    </xf>
    <xf numFmtId="169" fontId="14" fillId="3" borderId="6" xfId="0" applyNumberFormat="1" applyFont="1" applyFill="1" applyBorder="1" applyAlignment="1">
      <alignment horizontal="left" indent="1"/>
    </xf>
    <xf numFmtId="169" fontId="0" fillId="3" borderId="6" xfId="0" applyNumberFormat="1" applyFill="1" applyBorder="1" applyAlignment="1">
      <alignment horizontal="left" indent="1"/>
    </xf>
    <xf numFmtId="169" fontId="0" fillId="3" borderId="8" xfId="0" applyNumberFormat="1" applyFill="1" applyBorder="1" applyAlignment="1">
      <alignment horizontal="left" indent="1"/>
    </xf>
    <xf numFmtId="169" fontId="0" fillId="3" borderId="7" xfId="0" applyNumberFormat="1" applyFill="1" applyBorder="1" applyAlignment="1">
      <alignment horizontal="left" indent="1"/>
    </xf>
    <xf numFmtId="0" fontId="14" fillId="3" borderId="1" xfId="0" applyFont="1" applyFill="1" applyBorder="1" applyAlignment="1">
      <alignment horizontal="left" indent="1"/>
    </xf>
    <xf numFmtId="0" fontId="0" fillId="3" borderId="1" xfId="0" applyFill="1" applyBorder="1" applyAlignment="1">
      <alignment horizontal="left" indent="1"/>
    </xf>
    <xf numFmtId="0" fontId="0" fillId="3" borderId="29" xfId="0" applyFill="1" applyBorder="1" applyAlignment="1">
      <alignment horizontal="left" indent="1"/>
    </xf>
    <xf numFmtId="0" fontId="0" fillId="3" borderId="20" xfId="0" applyFill="1" applyBorder="1" applyAlignment="1">
      <alignment horizontal="left" indent="1"/>
    </xf>
    <xf numFmtId="0" fontId="14" fillId="3" borderId="22" xfId="0" applyFont="1" applyFill="1" applyBorder="1" applyAlignment="1">
      <alignment horizontal="left" indent="1"/>
    </xf>
    <xf numFmtId="0" fontId="0" fillId="3" borderId="22" xfId="0" applyFill="1" applyBorder="1" applyAlignment="1">
      <alignment horizontal="left" indent="1"/>
    </xf>
    <xf numFmtId="0" fontId="0" fillId="3" borderId="9" xfId="0" applyFill="1" applyBorder="1" applyAlignment="1">
      <alignment horizontal="left" indent="1"/>
    </xf>
    <xf numFmtId="0" fontId="0" fillId="3" borderId="21" xfId="0" applyFill="1" applyBorder="1" applyAlignment="1">
      <alignment horizontal="left" indent="1"/>
    </xf>
    <xf numFmtId="0" fontId="37" fillId="7" borderId="42" xfId="0" applyFont="1" applyFill="1" applyBorder="1" applyAlignment="1">
      <alignment horizontal="left" vertical="center" indent="1"/>
    </xf>
    <xf numFmtId="0" fontId="37" fillId="7" borderId="19" xfId="0" applyFont="1" applyFill="1" applyBorder="1" applyAlignment="1">
      <alignment horizontal="left" vertical="center" indent="1"/>
    </xf>
    <xf numFmtId="3" fontId="42" fillId="7" borderId="43" xfId="0" applyNumberFormat="1" applyFont="1" applyFill="1" applyBorder="1" applyAlignment="1">
      <alignment horizontal="center" vertical="center"/>
    </xf>
    <xf numFmtId="0" fontId="47" fillId="7" borderId="24" xfId="0" applyFont="1" applyFill="1" applyBorder="1" applyAlignment="1">
      <alignment horizontal="center" vertical="center"/>
    </xf>
    <xf numFmtId="0" fontId="47" fillId="7" borderId="26" xfId="0" applyFont="1" applyFill="1" applyBorder="1" applyAlignment="1">
      <alignment horizontal="center" vertical="center"/>
    </xf>
    <xf numFmtId="0" fontId="28" fillId="3" borderId="0" xfId="0" applyFont="1" applyFill="1" applyAlignment="1">
      <alignment horizontal="center" vertical="center"/>
    </xf>
    <xf numFmtId="0" fontId="0" fillId="3" borderId="24" xfId="0" applyFill="1" applyBorder="1" applyAlignment="1">
      <alignment horizontal="center"/>
    </xf>
    <xf numFmtId="0" fontId="34" fillId="8" borderId="23" xfId="0" applyFont="1" applyFill="1" applyBorder="1" applyAlignment="1">
      <alignment horizontal="left" vertical="center" wrapText="1" indent="1"/>
    </xf>
    <xf numFmtId="0" fontId="14" fillId="8" borderId="29" xfId="0" applyFont="1" applyFill="1" applyBorder="1" applyAlignment="1">
      <alignment horizontal="left" vertical="center" wrapText="1" indent="1"/>
    </xf>
    <xf numFmtId="0" fontId="14" fillId="8" borderId="37" xfId="0" applyFont="1" applyFill="1" applyBorder="1" applyAlignment="1">
      <alignment horizontal="left" vertical="center" wrapText="1" indent="1"/>
    </xf>
    <xf numFmtId="0" fontId="14" fillId="8" borderId="2" xfId="0" applyFont="1" applyFill="1" applyBorder="1" applyAlignment="1">
      <alignment horizontal="left" vertical="center" wrapText="1" indent="1"/>
    </xf>
    <xf numFmtId="0" fontId="14" fillId="8" borderId="30" xfId="0" applyFont="1" applyFill="1" applyBorder="1" applyAlignment="1">
      <alignment horizontal="left" vertical="center" wrapText="1" indent="1"/>
    </xf>
    <xf numFmtId="0" fontId="14" fillId="8" borderId="35" xfId="0" applyFont="1" applyFill="1" applyBorder="1" applyAlignment="1">
      <alignment horizontal="left" vertical="center" wrapText="1" indent="1"/>
    </xf>
    <xf numFmtId="0" fontId="14" fillId="8" borderId="36" xfId="0" applyFont="1" applyFill="1" applyBorder="1" applyAlignment="1">
      <alignment horizontal="left" vertical="center" wrapText="1" indent="1"/>
    </xf>
    <xf numFmtId="0" fontId="34" fillId="8" borderId="44" xfId="0" applyFont="1" applyFill="1" applyBorder="1" applyAlignment="1">
      <alignment horizontal="left" vertical="center" wrapText="1" indent="1"/>
    </xf>
    <xf numFmtId="0" fontId="34" fillId="8" borderId="45" xfId="0" applyFont="1" applyFill="1" applyBorder="1" applyAlignment="1">
      <alignment horizontal="left" vertical="center" wrapText="1" indent="1"/>
    </xf>
    <xf numFmtId="0" fontId="14" fillId="8" borderId="9" xfId="0" applyFont="1" applyFill="1" applyBorder="1" applyAlignment="1">
      <alignment horizontal="left" vertical="center" indent="1"/>
    </xf>
    <xf numFmtId="0" fontId="14" fillId="8" borderId="46" xfId="0" applyFont="1" applyFill="1" applyBorder="1" applyAlignment="1">
      <alignment horizontal="left" vertical="center" indent="1"/>
    </xf>
    <xf numFmtId="0" fontId="14" fillId="8" borderId="45" xfId="0" applyFont="1" applyFill="1" applyBorder="1" applyAlignment="1">
      <alignment horizontal="left" vertical="center" indent="1"/>
    </xf>
    <xf numFmtId="0" fontId="14" fillId="8" borderId="1" xfId="0" applyFont="1" applyFill="1" applyBorder="1" applyAlignment="1">
      <alignment horizontal="left" vertical="center" indent="1"/>
    </xf>
    <xf numFmtId="0" fontId="34" fillId="8" borderId="11" xfId="0" applyFont="1" applyFill="1" applyBorder="1" applyAlignment="1">
      <alignment horizontal="left" vertical="center" wrapText="1" indent="1"/>
    </xf>
    <xf numFmtId="0" fontId="34" fillId="8" borderId="1" xfId="0" applyFont="1" applyFill="1" applyBorder="1" applyAlignment="1">
      <alignment horizontal="left" vertical="center" wrapText="1" indent="1"/>
    </xf>
    <xf numFmtId="0" fontId="34" fillId="8" borderId="5" xfId="0" applyFont="1" applyFill="1" applyBorder="1" applyAlignment="1">
      <alignment horizontal="left" vertical="center" wrapText="1" indent="1"/>
    </xf>
    <xf numFmtId="0" fontId="34" fillId="8" borderId="6" xfId="0" applyFont="1" applyFill="1" applyBorder="1" applyAlignment="1">
      <alignment horizontal="left" vertical="center" wrapText="1" indent="1"/>
    </xf>
    <xf numFmtId="0" fontId="10" fillId="3" borderId="8" xfId="0" applyNumberFormat="1" applyFont="1" applyFill="1" applyBorder="1" applyAlignment="1">
      <alignment horizontal="center" vertical="center"/>
    </xf>
    <xf numFmtId="0" fontId="10" fillId="3" borderId="23" xfId="0" applyNumberFormat="1" applyFont="1" applyFill="1" applyBorder="1" applyAlignment="1">
      <alignment horizontal="center" vertical="center"/>
    </xf>
    <xf numFmtId="171" fontId="10" fillId="3" borderId="8" xfId="0" applyNumberFormat="1" applyFont="1" applyFill="1" applyBorder="1" applyAlignment="1">
      <alignment horizontal="center" vertical="center"/>
    </xf>
    <xf numFmtId="171" fontId="10" fillId="3" borderId="23" xfId="0" applyNumberFormat="1" applyFont="1" applyFill="1" applyBorder="1" applyAlignment="1">
      <alignment horizontal="center" vertical="center"/>
    </xf>
    <xf numFmtId="9" fontId="10" fillId="3" borderId="8" xfId="4" applyFont="1" applyFill="1" applyBorder="1" applyAlignment="1">
      <alignment horizontal="center" vertical="center"/>
    </xf>
    <xf numFmtId="9" fontId="10" fillId="3" borderId="23" xfId="4" applyFont="1" applyFill="1" applyBorder="1" applyAlignment="1">
      <alignment horizontal="center" vertical="center"/>
    </xf>
    <xf numFmtId="0" fontId="14" fillId="8" borderId="8" xfId="0" applyFont="1" applyFill="1" applyBorder="1" applyAlignment="1">
      <alignment horizontal="left" vertical="center" wrapText="1" indent="1"/>
    </xf>
    <xf numFmtId="0" fontId="14" fillId="8" borderId="38" xfId="0" applyFont="1" applyFill="1" applyBorder="1" applyAlignment="1">
      <alignment horizontal="left" vertical="center" wrapText="1" indent="1"/>
    </xf>
    <xf numFmtId="0" fontId="0" fillId="8" borderId="38" xfId="0" applyFill="1" applyBorder="1" applyAlignment="1">
      <alignment horizontal="left" vertical="center" wrapText="1" indent="1"/>
    </xf>
    <xf numFmtId="0" fontId="0" fillId="8" borderId="23" xfId="0" applyFill="1" applyBorder="1" applyAlignment="1">
      <alignment horizontal="left" vertical="center" wrapText="1" indent="1"/>
    </xf>
    <xf numFmtId="0" fontId="14" fillId="8" borderId="30" xfId="0" applyFont="1" applyFill="1" applyBorder="1" applyAlignment="1">
      <alignment horizontal="left" vertical="center" indent="1"/>
    </xf>
    <xf numFmtId="0" fontId="14" fillId="8" borderId="35" xfId="0" applyFont="1" applyFill="1" applyBorder="1" applyAlignment="1">
      <alignment horizontal="left" vertical="center" indent="1"/>
    </xf>
    <xf numFmtId="0" fontId="14" fillId="8" borderId="36" xfId="0" applyFont="1" applyFill="1" applyBorder="1" applyAlignment="1">
      <alignment horizontal="left" vertical="center" indent="1"/>
    </xf>
    <xf numFmtId="0" fontId="14" fillId="8" borderId="23" xfId="0" applyFont="1" applyFill="1" applyBorder="1" applyAlignment="1">
      <alignment horizontal="left" vertical="center" wrapText="1" indent="1"/>
    </xf>
    <xf numFmtId="0" fontId="14" fillId="8" borderId="6" xfId="0" applyFont="1" applyFill="1" applyBorder="1" applyAlignment="1">
      <alignment horizontal="left" vertical="center" wrapText="1" indent="1"/>
    </xf>
    <xf numFmtId="0" fontId="25" fillId="8" borderId="6" xfId="0" applyFont="1" applyFill="1" applyBorder="1" applyAlignment="1">
      <alignment horizontal="left" indent="1"/>
    </xf>
    <xf numFmtId="0" fontId="25" fillId="8" borderId="5" xfId="0" applyFont="1" applyFill="1" applyBorder="1" applyAlignment="1">
      <alignment horizontal="left" indent="1"/>
    </xf>
    <xf numFmtId="0" fontId="34" fillId="8" borderId="47" xfId="0" applyFont="1" applyFill="1" applyBorder="1" applyAlignment="1">
      <alignment horizontal="left" vertical="center" wrapText="1" indent="1"/>
    </xf>
    <xf numFmtId="0" fontId="34" fillId="8" borderId="36" xfId="0" applyFont="1" applyFill="1" applyBorder="1" applyAlignment="1">
      <alignment horizontal="left" vertical="center" wrapText="1" indent="1"/>
    </xf>
    <xf numFmtId="0" fontId="14" fillId="7" borderId="0" xfId="0" applyFont="1" applyFill="1" applyAlignment="1">
      <alignment horizontal="center" vertical="center"/>
    </xf>
    <xf numFmtId="165" fontId="49" fillId="8" borderId="37" xfId="0" applyNumberFormat="1" applyFont="1" applyFill="1" applyBorder="1" applyAlignment="1">
      <alignment horizontal="center" vertical="center"/>
    </xf>
    <xf numFmtId="0" fontId="50" fillId="8" borderId="37" xfId="0" applyFont="1" applyFill="1" applyBorder="1" applyAlignment="1">
      <alignment horizontal="center" vertical="center"/>
    </xf>
    <xf numFmtId="0" fontId="51" fillId="3" borderId="37" xfId="0" applyFont="1" applyFill="1" applyBorder="1" applyAlignment="1">
      <alignment horizontal="center"/>
    </xf>
    <xf numFmtId="0" fontId="51" fillId="3" borderId="2" xfId="0" applyFont="1" applyFill="1" applyBorder="1" applyAlignment="1">
      <alignment horizontal="center"/>
    </xf>
    <xf numFmtId="0" fontId="4" fillId="8" borderId="0" xfId="0" applyNumberFormat="1" applyFont="1" applyFill="1" applyBorder="1" applyAlignment="1">
      <alignment horizontal="left" vertical="center"/>
    </xf>
    <xf numFmtId="0" fontId="14" fillId="8" borderId="0" xfId="0" applyNumberFormat="1" applyFont="1" applyFill="1" applyBorder="1" applyAlignment="1">
      <alignment horizontal="left" vertical="center"/>
    </xf>
    <xf numFmtId="0" fontId="14" fillId="8" borderId="0" xfId="0" applyFont="1" applyFill="1" applyBorder="1" applyAlignment="1">
      <alignment horizontal="left" vertical="center"/>
    </xf>
    <xf numFmtId="0" fontId="10" fillId="3" borderId="0" xfId="0" applyFont="1" applyFill="1" applyAlignment="1">
      <alignment horizontal="right" vertical="center"/>
    </xf>
    <xf numFmtId="169" fontId="14" fillId="8" borderId="0" xfId="3" applyNumberFormat="1" applyFont="1" applyFill="1" applyBorder="1" applyAlignment="1" applyProtection="1">
      <alignment horizontal="left" vertical="center"/>
    </xf>
    <xf numFmtId="165" fontId="14" fillId="3" borderId="0" xfId="0" applyNumberFormat="1" applyFont="1" applyFill="1" applyAlignment="1">
      <alignment horizontal="center" vertical="center"/>
    </xf>
    <xf numFmtId="0" fontId="14" fillId="3" borderId="0" xfId="0" applyFont="1" applyFill="1" applyBorder="1" applyAlignment="1">
      <alignment horizontal="center" vertical="center"/>
    </xf>
    <xf numFmtId="0" fontId="19" fillId="3" borderId="31" xfId="0" applyFont="1" applyFill="1" applyBorder="1" applyAlignment="1">
      <alignment horizontal="center" vertical="center" wrapText="1"/>
    </xf>
    <xf numFmtId="0" fontId="39" fillId="3" borderId="0" xfId="0" applyFont="1" applyFill="1" applyBorder="1" applyAlignment="1">
      <alignment horizontal="center"/>
    </xf>
    <xf numFmtId="0" fontId="4" fillId="3" borderId="0" xfId="0" applyNumberFormat="1" applyFont="1" applyFill="1" applyBorder="1" applyAlignment="1">
      <alignment horizontal="left" vertical="center" indent="1"/>
    </xf>
    <xf numFmtId="0" fontId="4" fillId="3" borderId="0" xfId="0" applyFont="1" applyFill="1" applyBorder="1" applyAlignment="1">
      <alignment horizontal="left" vertical="center" indent="1"/>
    </xf>
    <xf numFmtId="168" fontId="4" fillId="3" borderId="0" xfId="0" applyNumberFormat="1" applyFont="1" applyFill="1" applyBorder="1" applyAlignment="1">
      <alignment horizontal="left" vertical="center" indent="1"/>
    </xf>
    <xf numFmtId="0" fontId="51" fillId="3" borderId="35" xfId="0" applyFont="1" applyFill="1" applyBorder="1" applyAlignment="1">
      <alignment horizontal="center" vertical="center"/>
    </xf>
    <xf numFmtId="0" fontId="51" fillId="3" borderId="0" xfId="0" applyFont="1" applyFill="1" applyBorder="1" applyAlignment="1">
      <alignment horizontal="center" vertical="center"/>
    </xf>
    <xf numFmtId="0" fontId="52" fillId="3" borderId="0" xfId="0" applyFont="1" applyFill="1" applyBorder="1" applyAlignment="1">
      <alignment horizontal="center" vertical="center"/>
    </xf>
    <xf numFmtId="0" fontId="24" fillId="10" borderId="0" xfId="0" applyFont="1" applyFill="1" applyBorder="1" applyAlignment="1">
      <alignment horizontal="center" vertical="center"/>
    </xf>
    <xf numFmtId="0" fontId="41" fillId="7" borderId="12" xfId="0" applyFont="1" applyFill="1" applyBorder="1" applyAlignment="1">
      <alignment horizontal="right" vertical="center"/>
    </xf>
    <xf numFmtId="0" fontId="41" fillId="7" borderId="22" xfId="0" applyFont="1" applyFill="1" applyBorder="1" applyAlignment="1">
      <alignment horizontal="right" vertical="center"/>
    </xf>
    <xf numFmtId="0" fontId="53" fillId="7" borderId="43" xfId="0" applyFont="1" applyFill="1" applyBorder="1" applyAlignment="1">
      <alignment horizontal="center" vertical="center" wrapText="1"/>
    </xf>
    <xf numFmtId="0" fontId="53" fillId="7" borderId="48"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horizontal="left" vertical="center" indent="1"/>
    </xf>
    <xf numFmtId="169" fontId="4" fillId="3" borderId="0" xfId="0" applyNumberFormat="1" applyFont="1" applyFill="1" applyAlignment="1">
      <alignment horizontal="left" vertical="center" indent="1"/>
    </xf>
    <xf numFmtId="0" fontId="50" fillId="3" borderId="0" xfId="0" applyFont="1" applyFill="1" applyBorder="1" applyAlignment="1">
      <alignment horizontal="center"/>
    </xf>
    <xf numFmtId="0" fontId="54" fillId="5" borderId="51" xfId="0" applyFont="1" applyFill="1" applyBorder="1" applyAlignment="1">
      <alignment horizontal="center" vertical="center"/>
    </xf>
    <xf numFmtId="0" fontId="55" fillId="5" borderId="51" xfId="0" applyFont="1" applyFill="1" applyBorder="1"/>
    <xf numFmtId="0" fontId="2" fillId="6" borderId="51" xfId="0" applyFont="1" applyFill="1" applyBorder="1" applyAlignment="1">
      <alignment horizontal="center" vertical="center"/>
    </xf>
    <xf numFmtId="0" fontId="54" fillId="4" borderId="51" xfId="0" applyFont="1" applyFill="1" applyBorder="1" applyAlignment="1">
      <alignment horizontal="center" vertical="center"/>
    </xf>
    <xf numFmtId="0" fontId="1" fillId="6" borderId="51" xfId="0" applyFont="1" applyFill="1" applyBorder="1" applyAlignment="1">
      <alignment horizontal="center" vertical="center"/>
    </xf>
    <xf numFmtId="0" fontId="1" fillId="6" borderId="51"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2" fillId="6" borderId="51" xfId="0" applyFont="1" applyFill="1" applyBorder="1" applyAlignment="1">
      <alignment vertical="center"/>
    </xf>
    <xf numFmtId="0" fontId="1" fillId="2" borderId="51" xfId="0" applyFont="1" applyFill="1" applyBorder="1" applyAlignment="1">
      <alignment horizontal="center" vertical="center"/>
    </xf>
    <xf numFmtId="0" fontId="2" fillId="2" borderId="51" xfId="0" applyFont="1" applyFill="1" applyBorder="1" applyAlignment="1">
      <alignment horizontal="center" vertical="center"/>
    </xf>
    <xf numFmtId="0" fontId="2" fillId="2" borderId="51" xfId="0" applyFont="1" applyFill="1" applyBorder="1" applyAlignment="1">
      <alignment horizontal="center" vertical="center" wrapText="1"/>
    </xf>
    <xf numFmtId="0" fontId="2" fillId="6" borderId="51" xfId="0" applyFont="1" applyFill="1" applyBorder="1" applyAlignment="1">
      <alignment horizontal="center" vertical="center" wrapText="1"/>
    </xf>
    <xf numFmtId="0" fontId="1" fillId="6" borderId="51" xfId="0" applyFont="1" applyFill="1" applyBorder="1" applyAlignment="1">
      <alignment vertical="center"/>
    </xf>
    <xf numFmtId="0" fontId="55" fillId="9" borderId="8" xfId="0" applyFont="1" applyFill="1" applyBorder="1" applyAlignment="1">
      <alignment horizontal="center" vertical="center"/>
    </xf>
    <xf numFmtId="0" fontId="55" fillId="9" borderId="38" xfId="0" applyFont="1" applyFill="1" applyBorder="1" applyAlignment="1">
      <alignment horizontal="center" vertical="center"/>
    </xf>
    <xf numFmtId="0" fontId="55" fillId="9" borderId="23" xfId="0" applyFont="1" applyFill="1" applyBorder="1" applyAlignment="1">
      <alignment horizontal="center" vertical="center"/>
    </xf>
    <xf numFmtId="0" fontId="55" fillId="4" borderId="49" xfId="0" applyFont="1" applyFill="1" applyBorder="1" applyAlignment="1">
      <alignment horizontal="center" vertical="center"/>
    </xf>
    <xf numFmtId="0" fontId="55" fillId="4" borderId="39" xfId="0" applyFont="1" applyFill="1" applyBorder="1" applyAlignment="1">
      <alignment horizontal="center" vertical="center"/>
    </xf>
    <xf numFmtId="0" fontId="55" fillId="5" borderId="49" xfId="0" applyFont="1" applyFill="1" applyBorder="1" applyAlignment="1">
      <alignment horizontal="center" vertical="center"/>
    </xf>
    <xf numFmtId="0" fontId="55" fillId="5" borderId="39" xfId="0" applyFont="1" applyFill="1" applyBorder="1" applyAlignment="1">
      <alignment horizontal="center" vertical="center"/>
    </xf>
    <xf numFmtId="0" fontId="55" fillId="5" borderId="18" xfId="0" applyFont="1" applyFill="1" applyBorder="1" applyAlignment="1">
      <alignment horizontal="center" vertical="center"/>
    </xf>
    <xf numFmtId="0" fontId="55" fillId="5" borderId="19" xfId="0" applyFont="1" applyFill="1" applyBorder="1" applyAlignment="1">
      <alignment horizontal="center" vertical="center"/>
    </xf>
    <xf numFmtId="0" fontId="55" fillId="5" borderId="16" xfId="0" applyFont="1" applyFill="1" applyBorder="1" applyAlignment="1">
      <alignment horizontal="center" vertical="center"/>
    </xf>
    <xf numFmtId="0" fontId="55" fillId="4" borderId="18" xfId="0" applyFont="1" applyFill="1" applyBorder="1" applyAlignment="1">
      <alignment horizontal="center" vertical="center"/>
    </xf>
    <xf numFmtId="0" fontId="55" fillId="4" borderId="19" xfId="0" applyFont="1" applyFill="1" applyBorder="1" applyAlignment="1">
      <alignment horizontal="center" vertical="center"/>
    </xf>
    <xf numFmtId="0" fontId="55" fillId="4" borderId="16" xfId="0" applyFont="1" applyFill="1" applyBorder="1" applyAlignment="1">
      <alignment horizontal="center" vertical="center"/>
    </xf>
    <xf numFmtId="0" fontId="10" fillId="12" borderId="50" xfId="0" applyFont="1" applyFill="1" applyBorder="1" applyAlignment="1">
      <alignment horizontal="center" vertical="center"/>
    </xf>
    <xf numFmtId="0" fontId="36" fillId="11" borderId="50" xfId="0" applyFont="1" applyFill="1" applyBorder="1" applyAlignment="1">
      <alignment horizontal="center" vertical="center"/>
    </xf>
    <xf numFmtId="0" fontId="36" fillId="13" borderId="50" xfId="0" applyFont="1" applyFill="1" applyBorder="1" applyAlignment="1">
      <alignment horizontal="center" vertical="center" wrapText="1"/>
    </xf>
    <xf numFmtId="165" fontId="14" fillId="2" borderId="50" xfId="0" applyNumberFormat="1" applyFont="1" applyFill="1" applyBorder="1" applyAlignment="1">
      <alignment horizontal="left"/>
    </xf>
    <xf numFmtId="0" fontId="14" fillId="2" borderId="50" xfId="0" applyFont="1" applyFill="1" applyBorder="1" applyAlignment="1">
      <alignment horizontal="left"/>
    </xf>
    <xf numFmtId="0" fontId="36" fillId="11" borderId="50" xfId="0" applyFont="1" applyFill="1" applyBorder="1" applyAlignment="1">
      <alignment horizontal="center" vertical="center" wrapText="1"/>
    </xf>
    <xf numFmtId="0" fontId="10" fillId="12" borderId="50" xfId="0" applyFont="1" applyFill="1" applyBorder="1" applyAlignment="1">
      <alignment horizontal="center" vertical="center" wrapText="1"/>
    </xf>
  </cellXfs>
  <cellStyles count="5">
    <cellStyle name="Comma" xfId="1" builtinId="3"/>
    <cellStyle name="Currency" xfId="2" builtinId="4"/>
    <cellStyle name="Hyperlink" xfId="3" builtinId="8"/>
    <cellStyle name="Normal" xfId="0" builtinId="0"/>
    <cellStyle name="Percent" xfId="4" builtinId="5"/>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134164960963282"/>
          <c:y val="9.1411415067961868E-2"/>
          <c:w val="0.88865835039036711"/>
          <c:h val="0.78910253621612225"/>
        </c:manualLayout>
      </c:layout>
      <c:lineChart>
        <c:grouping val="standard"/>
        <c:varyColors val="0"/>
        <c:ser>
          <c:idx val="1"/>
          <c:order val="0"/>
          <c:tx>
            <c:strRef>
              <c:f>GRAPH!$B$37</c:f>
              <c:strCache>
                <c:ptCount val="1"/>
                <c:pt idx="0">
                  <c:v>SAND:</c:v>
                </c:pt>
              </c:strCache>
            </c:strRef>
          </c:tx>
          <c:spPr>
            <a:ln w="50800">
              <a:solidFill>
                <a:schemeClr val="tx2"/>
              </a:solidFill>
              <a:prstDash val="solid"/>
            </a:ln>
          </c:spPr>
          <c:marker>
            <c:symbol val="square"/>
            <c:size val="10"/>
            <c:spPr>
              <a:solidFill>
                <a:schemeClr val="tx2"/>
              </a:solidFill>
              <a:ln>
                <a:solidFill>
                  <a:schemeClr val="tx2"/>
                </a:solidFill>
                <a:prstDash val="solid"/>
              </a:ln>
            </c:spPr>
          </c:marker>
          <c:cat>
            <c:strRef>
              <c:f>GRAPH!$C$35:$M$35</c:f>
              <c:strCache>
                <c:ptCount val="11"/>
                <c:pt idx="0">
                  <c:v>CAPITAL</c:v>
                </c:pt>
                <c:pt idx="1">
                  <c:v>1YR</c:v>
                </c:pt>
                <c:pt idx="2">
                  <c:v>2YR</c:v>
                </c:pt>
                <c:pt idx="3">
                  <c:v>3YR</c:v>
                </c:pt>
                <c:pt idx="4">
                  <c:v>4YR</c:v>
                </c:pt>
                <c:pt idx="5">
                  <c:v>5YR</c:v>
                </c:pt>
                <c:pt idx="6">
                  <c:v>6YR</c:v>
                </c:pt>
                <c:pt idx="7">
                  <c:v>7YR</c:v>
                </c:pt>
                <c:pt idx="8">
                  <c:v>8YR</c:v>
                </c:pt>
                <c:pt idx="9">
                  <c:v>9YR</c:v>
                </c:pt>
                <c:pt idx="10">
                  <c:v>10YR</c:v>
                </c:pt>
              </c:strCache>
            </c:strRef>
          </c:cat>
          <c:val>
            <c:numRef>
              <c:f>GRAPH!$C$37:$M$37</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D277-4486-AAE2-3315D1435777}"/>
            </c:ext>
          </c:extLst>
        </c:ser>
        <c:ser>
          <c:idx val="0"/>
          <c:order val="1"/>
          <c:tx>
            <c:strRef>
              <c:f>GRAPH!$B$36</c:f>
              <c:strCache>
                <c:ptCount val="1"/>
                <c:pt idx="0">
                  <c:v>DEFENDER:</c:v>
                </c:pt>
              </c:strCache>
            </c:strRef>
          </c:tx>
          <c:spPr>
            <a:ln w="50800">
              <a:solidFill>
                <a:schemeClr val="accent3">
                  <a:lumMod val="75000"/>
                </a:schemeClr>
              </a:solidFill>
              <a:prstDash val="solid"/>
            </a:ln>
          </c:spPr>
          <c:marker>
            <c:symbol val="diamond"/>
            <c:size val="12"/>
            <c:spPr>
              <a:solidFill>
                <a:schemeClr val="accent3">
                  <a:lumMod val="75000"/>
                </a:schemeClr>
              </a:solidFill>
              <a:ln>
                <a:solidFill>
                  <a:schemeClr val="accent3">
                    <a:lumMod val="75000"/>
                  </a:schemeClr>
                </a:solidFill>
                <a:prstDash val="solid"/>
              </a:ln>
            </c:spPr>
          </c:marker>
          <c:cat>
            <c:strRef>
              <c:f>GRAPH!$C$35:$M$35</c:f>
              <c:strCache>
                <c:ptCount val="11"/>
                <c:pt idx="0">
                  <c:v>CAPITAL</c:v>
                </c:pt>
                <c:pt idx="1">
                  <c:v>1YR</c:v>
                </c:pt>
                <c:pt idx="2">
                  <c:v>2YR</c:v>
                </c:pt>
                <c:pt idx="3">
                  <c:v>3YR</c:v>
                </c:pt>
                <c:pt idx="4">
                  <c:v>4YR</c:v>
                </c:pt>
                <c:pt idx="5">
                  <c:v>5YR</c:v>
                </c:pt>
                <c:pt idx="6">
                  <c:v>6YR</c:v>
                </c:pt>
                <c:pt idx="7">
                  <c:v>7YR</c:v>
                </c:pt>
                <c:pt idx="8">
                  <c:v>8YR</c:v>
                </c:pt>
                <c:pt idx="9">
                  <c:v>9YR</c:v>
                </c:pt>
                <c:pt idx="10">
                  <c:v>10YR</c:v>
                </c:pt>
              </c:strCache>
            </c:strRef>
          </c:cat>
          <c:val>
            <c:numRef>
              <c:f>GRAPH!$C$36:$M$36</c:f>
              <c:numCache>
                <c:formatCode>"$"#,##0</c:formatCode>
                <c:ptCount val="11"/>
                <c:pt idx="0">
                  <c:v>1710.0015504</c:v>
                </c:pt>
                <c:pt idx="1">
                  <c:v>1710.0015504</c:v>
                </c:pt>
                <c:pt idx="2">
                  <c:v>1710.0015504</c:v>
                </c:pt>
                <c:pt idx="3">
                  <c:v>1710.0015504</c:v>
                </c:pt>
                <c:pt idx="4">
                  <c:v>1710.0015504</c:v>
                </c:pt>
                <c:pt idx="5">
                  <c:v>1710.0015504</c:v>
                </c:pt>
                <c:pt idx="6">
                  <c:v>1710.0015504</c:v>
                </c:pt>
                <c:pt idx="7">
                  <c:v>1710.0015504</c:v>
                </c:pt>
                <c:pt idx="8">
                  <c:v>1710.0015504</c:v>
                </c:pt>
                <c:pt idx="9">
                  <c:v>1710.0015504</c:v>
                </c:pt>
                <c:pt idx="10">
                  <c:v>1710.0015504</c:v>
                </c:pt>
              </c:numCache>
            </c:numRef>
          </c:val>
          <c:smooth val="0"/>
          <c:extLst>
            <c:ext xmlns:c16="http://schemas.microsoft.com/office/drawing/2014/chart" uri="{C3380CC4-5D6E-409C-BE32-E72D297353CC}">
              <c16:uniqueId val="{00000001-D277-4486-AAE2-3315D1435777}"/>
            </c:ext>
          </c:extLst>
        </c:ser>
        <c:dLbls>
          <c:showLegendKey val="0"/>
          <c:showVal val="0"/>
          <c:showCatName val="0"/>
          <c:showSerName val="0"/>
          <c:showPercent val="0"/>
          <c:showBubbleSize val="0"/>
        </c:dLbls>
        <c:marker val="1"/>
        <c:smooth val="0"/>
        <c:axId val="190639408"/>
        <c:axId val="190639800"/>
      </c:lineChart>
      <c:catAx>
        <c:axId val="190639408"/>
        <c:scaling>
          <c:orientation val="minMax"/>
        </c:scaling>
        <c:delete val="0"/>
        <c:axPos val="b"/>
        <c:numFmt formatCode="General" sourceLinked="1"/>
        <c:majorTickMark val="none"/>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90639800"/>
        <c:crosses val="autoZero"/>
        <c:auto val="1"/>
        <c:lblAlgn val="ctr"/>
        <c:lblOffset val="100"/>
        <c:tickLblSkip val="1"/>
        <c:tickMarkSkip val="1"/>
        <c:noMultiLvlLbl val="0"/>
      </c:catAx>
      <c:valAx>
        <c:axId val="190639800"/>
        <c:scaling>
          <c:orientation val="minMax"/>
        </c:scaling>
        <c:delete val="0"/>
        <c:axPos val="l"/>
        <c:majorGridlines>
          <c:spPr>
            <a:ln w="3175">
              <a:pattFill prst="pct25">
                <a:fgClr>
                  <a:srgbClr val="000000"/>
                </a:fgClr>
                <a:bgClr>
                  <a:srgbClr val="FFFFFF"/>
                </a:bgClr>
              </a:pattFill>
              <a:prstDash val="solid"/>
            </a:ln>
          </c:spPr>
        </c:majorGridlines>
        <c:numFmt formatCode="&quot;$&quot;#,##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90639408"/>
        <c:crosses val="autoZero"/>
        <c:crossBetween val="between"/>
      </c:valAx>
      <c:spPr>
        <a:solidFill>
          <a:srgbClr val="FFFFFF"/>
        </a:solidFill>
        <a:ln w="25400">
          <a:noFill/>
        </a:ln>
      </c:spPr>
    </c:plotArea>
    <c:legend>
      <c:legendPos val="r"/>
      <c:layout>
        <c:manualLayout>
          <c:xMode val="edge"/>
          <c:yMode val="edge"/>
          <c:x val="0.35866795485127012"/>
          <c:y val="1.3536418161636433E-2"/>
          <c:w val="0.30913761822895186"/>
          <c:h val="5.7529777186954838E-2"/>
        </c:manualLayout>
      </c:layout>
      <c:overlay val="0"/>
      <c:spPr>
        <a:noFill/>
        <a:ln w="25400">
          <a:noFill/>
        </a:ln>
      </c:spPr>
      <c:txPr>
        <a:bodyPr/>
        <a:lstStyle/>
        <a:p>
          <a:pPr>
            <a:defRPr sz="92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4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image" Target="../media/image3.jpeg"/><Relationship Id="rId5" Type="http://schemas.openxmlformats.org/officeDocument/2006/relationships/image" Target="../media/image6.jpeg"/><Relationship Id="rId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7</xdr:col>
      <xdr:colOff>518160</xdr:colOff>
      <xdr:row>37</xdr:row>
      <xdr:rowOff>144780</xdr:rowOff>
    </xdr:from>
    <xdr:to>
      <xdr:col>11</xdr:col>
      <xdr:colOff>373380</xdr:colOff>
      <xdr:row>37</xdr:row>
      <xdr:rowOff>754380</xdr:rowOff>
    </xdr:to>
    <xdr:pic>
      <xdr:nvPicPr>
        <xdr:cNvPr id="113023" name="Picture 1" descr="NB logo-Since1956 .5x1 .jpg">
          <a:extLst>
            <a:ext uri="{FF2B5EF4-FFF2-40B4-BE49-F238E27FC236}">
              <a16:creationId xmlns:a16="http://schemas.microsoft.com/office/drawing/2014/main" id="{00000000-0008-0000-0000-00007FB901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84520" y="11917680"/>
          <a:ext cx="305562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411480</xdr:colOff>
      <xdr:row>0</xdr:row>
      <xdr:rowOff>243840</xdr:rowOff>
    </xdr:from>
    <xdr:to>
      <xdr:col>11</xdr:col>
      <xdr:colOff>693420</xdr:colOff>
      <xdr:row>0</xdr:row>
      <xdr:rowOff>800100</xdr:rowOff>
    </xdr:to>
    <xdr:pic>
      <xdr:nvPicPr>
        <xdr:cNvPr id="113024" name="Picture 2" descr="DefenderNavyNOTAG-R.jpg">
          <a:extLst>
            <a:ext uri="{FF2B5EF4-FFF2-40B4-BE49-F238E27FC236}">
              <a16:creationId xmlns:a16="http://schemas.microsoft.com/office/drawing/2014/main" id="{00000000-0008-0000-0000-000080B901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77840" y="243840"/>
          <a:ext cx="3482340" cy="556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350520</xdr:colOff>
      <xdr:row>2</xdr:row>
      <xdr:rowOff>99060</xdr:rowOff>
    </xdr:from>
    <xdr:to>
      <xdr:col>10</xdr:col>
      <xdr:colOff>449580</xdr:colOff>
      <xdr:row>5</xdr:row>
      <xdr:rowOff>121920</xdr:rowOff>
    </xdr:to>
    <xdr:grpSp>
      <xdr:nvGrpSpPr>
        <xdr:cNvPr id="308887" name="Group 11">
          <a:extLst>
            <a:ext uri="{FF2B5EF4-FFF2-40B4-BE49-F238E27FC236}">
              <a16:creationId xmlns:a16="http://schemas.microsoft.com/office/drawing/2014/main" id="{00000000-0008-0000-0100-000097B60400}"/>
            </a:ext>
          </a:extLst>
        </xdr:cNvPr>
        <xdr:cNvGrpSpPr>
          <a:grpSpLocks/>
        </xdr:cNvGrpSpPr>
      </xdr:nvGrpSpPr>
      <xdr:grpSpPr bwMode="auto">
        <a:xfrm>
          <a:off x="3315970" y="454660"/>
          <a:ext cx="4594860" cy="708660"/>
          <a:chOff x="3284220" y="449580"/>
          <a:chExt cx="4524094" cy="713232"/>
        </a:xfrm>
      </xdr:grpSpPr>
      <xdr:sp macro="" textlink="">
        <xdr:nvSpPr>
          <xdr:cNvPr id="308894" name="Oval 7">
            <a:extLst>
              <a:ext uri="{FF2B5EF4-FFF2-40B4-BE49-F238E27FC236}">
                <a16:creationId xmlns:a16="http://schemas.microsoft.com/office/drawing/2014/main" id="{00000000-0008-0000-0100-00009EB60400}"/>
              </a:ext>
            </a:extLst>
          </xdr:cNvPr>
          <xdr:cNvSpPr>
            <a:spLocks noChangeArrowheads="1"/>
          </xdr:cNvSpPr>
        </xdr:nvSpPr>
        <xdr:spPr bwMode="auto">
          <a:xfrm>
            <a:off x="4175035" y="470647"/>
            <a:ext cx="661721" cy="674146"/>
          </a:xfrm>
          <a:prstGeom prst="ellipse">
            <a:avLst/>
          </a:prstGeom>
          <a:solidFill>
            <a:srgbClr val="FFFFFF"/>
          </a:solidFill>
          <a:ln>
            <a:noFill/>
          </a:ln>
          <a:extLst>
            <a:ext uri="{91240B29-F687-4F45-9708-019B960494DF}">
              <a14:hiddenLine xmlns:a14="http://schemas.microsoft.com/office/drawing/2010/main" w="9525" algn="ctr">
                <a:solidFill>
                  <a:srgbClr val="000000"/>
                </a:solidFill>
                <a:round/>
                <a:headEnd/>
                <a:tailEnd/>
              </a14:hiddenLine>
            </a:ext>
          </a:extLst>
        </xdr:spPr>
      </xdr:sp>
      <xdr:pic>
        <xdr:nvPicPr>
          <xdr:cNvPr id="308895" name="Picture 10" descr="DefenderNavyNOTAG-R.jpg">
            <a:extLst>
              <a:ext uri="{FF2B5EF4-FFF2-40B4-BE49-F238E27FC236}">
                <a16:creationId xmlns:a16="http://schemas.microsoft.com/office/drawing/2014/main" id="{00000000-0008-0000-0100-00009FB60400}"/>
              </a:ext>
            </a:extLst>
          </xdr:cNvPr>
          <xdr:cNvPicPr>
            <a:picLocks noChangeAspect="1"/>
          </xdr:cNvPicPr>
        </xdr:nvPicPr>
        <xdr:blipFill>
          <a:blip xmlns:r="http://schemas.openxmlformats.org/officeDocument/2006/relationships" r:embed="rId1" cstate="print">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3284220" y="449580"/>
            <a:ext cx="4524094" cy="7132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13</xdr:col>
      <xdr:colOff>251460</xdr:colOff>
      <xdr:row>32</xdr:row>
      <xdr:rowOff>68580</xdr:rowOff>
    </xdr:from>
    <xdr:to>
      <xdr:col>14</xdr:col>
      <xdr:colOff>1813560</xdr:colOff>
      <xdr:row>41</xdr:row>
      <xdr:rowOff>45720</xdr:rowOff>
    </xdr:to>
    <xdr:grpSp>
      <xdr:nvGrpSpPr>
        <xdr:cNvPr id="308888" name="Group 13">
          <a:extLst>
            <a:ext uri="{FF2B5EF4-FFF2-40B4-BE49-F238E27FC236}">
              <a16:creationId xmlns:a16="http://schemas.microsoft.com/office/drawing/2014/main" id="{00000000-0008-0000-0100-000098B60400}"/>
            </a:ext>
          </a:extLst>
        </xdr:cNvPr>
        <xdr:cNvGrpSpPr>
          <a:grpSpLocks/>
        </xdr:cNvGrpSpPr>
      </xdr:nvGrpSpPr>
      <xdr:grpSpPr bwMode="auto">
        <a:xfrm>
          <a:off x="9960610" y="7136130"/>
          <a:ext cx="1993900" cy="3044190"/>
          <a:chOff x="9827189" y="7040880"/>
          <a:chExt cx="1983811" cy="3055620"/>
        </a:xfrm>
      </xdr:grpSpPr>
      <xdr:sp macro="" textlink="">
        <xdr:nvSpPr>
          <xdr:cNvPr id="308892" name="Rectangle 12">
            <a:extLst>
              <a:ext uri="{FF2B5EF4-FFF2-40B4-BE49-F238E27FC236}">
                <a16:creationId xmlns:a16="http://schemas.microsoft.com/office/drawing/2014/main" id="{00000000-0008-0000-0100-00009CB60400}"/>
              </a:ext>
            </a:extLst>
          </xdr:cNvPr>
          <xdr:cNvSpPr>
            <a:spLocks noChangeArrowheads="1"/>
          </xdr:cNvSpPr>
        </xdr:nvSpPr>
        <xdr:spPr bwMode="auto">
          <a:xfrm>
            <a:off x="11010900" y="8077200"/>
            <a:ext cx="487680" cy="487680"/>
          </a:xfrm>
          <a:prstGeom prst="rect">
            <a:avLst/>
          </a:prstGeom>
          <a:solidFill>
            <a:srgbClr val="FFFFFF"/>
          </a:solidFill>
          <a:ln>
            <a:noFill/>
          </a:ln>
          <a:extLst>
            <a:ext uri="{91240B29-F687-4F45-9708-019B960494DF}">
              <a14:hiddenLine xmlns:a14="http://schemas.microsoft.com/office/drawing/2010/main" w="9525" algn="ctr">
                <a:solidFill>
                  <a:srgbClr val="000000"/>
                </a:solidFill>
                <a:round/>
                <a:headEnd/>
                <a:tailEnd/>
              </a14:hiddenLine>
            </a:ext>
          </a:extLst>
        </xdr:spPr>
      </xdr:sp>
      <xdr:pic>
        <xdr:nvPicPr>
          <xdr:cNvPr id="308893" name="Picture 9" descr="Def filter w-green decals-FINAL 2x3-no shaddow">
            <a:extLst>
              <a:ext uri="{FF2B5EF4-FFF2-40B4-BE49-F238E27FC236}">
                <a16:creationId xmlns:a16="http://schemas.microsoft.com/office/drawing/2014/main" id="{00000000-0008-0000-0100-00009DB60400}"/>
              </a:ext>
            </a:extLst>
          </xdr:cNvPr>
          <xdr:cNvPicPr>
            <a:picLocks noChangeAspect="1" noChangeArrowheads="1"/>
          </xdr:cNvPicPr>
        </xdr:nvPicPr>
        <xdr:blipFill>
          <a:blip xmlns:r="http://schemas.openxmlformats.org/officeDocument/2006/relationships" r:embed="rId2" cstate="print">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9827189" y="7040880"/>
            <a:ext cx="1983811" cy="3055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14</xdr:col>
      <xdr:colOff>1516380</xdr:colOff>
      <xdr:row>37</xdr:row>
      <xdr:rowOff>266700</xdr:rowOff>
    </xdr:from>
    <xdr:to>
      <xdr:col>14</xdr:col>
      <xdr:colOff>1889760</xdr:colOff>
      <xdr:row>37</xdr:row>
      <xdr:rowOff>640080</xdr:rowOff>
    </xdr:to>
    <xdr:pic>
      <xdr:nvPicPr>
        <xdr:cNvPr id="308889" name="Picture 7" descr="nsf_logo">
          <a:extLst>
            <a:ext uri="{FF2B5EF4-FFF2-40B4-BE49-F238E27FC236}">
              <a16:creationId xmlns:a16="http://schemas.microsoft.com/office/drawing/2014/main" id="{00000000-0008-0000-0100-000099B60400}"/>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422380" y="8862060"/>
          <a:ext cx="373380" cy="373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solidFill>
                <a:srgbClr val="000000"/>
              </a:solidFill>
              <a:miter lim="800000"/>
              <a:headEnd/>
              <a:tailEnd/>
            </a14:hiddenLine>
          </a:ext>
        </a:extLst>
      </xdr:spPr>
    </xdr:pic>
    <xdr:clientData/>
  </xdr:twoCellAnchor>
  <xdr:twoCellAnchor>
    <xdr:from>
      <xdr:col>1</xdr:col>
      <xdr:colOff>0</xdr:colOff>
      <xdr:row>10</xdr:row>
      <xdr:rowOff>99060</xdr:rowOff>
    </xdr:from>
    <xdr:to>
      <xdr:col>12</xdr:col>
      <xdr:colOff>487680</xdr:colOff>
      <xdr:row>31</xdr:row>
      <xdr:rowOff>38100</xdr:rowOff>
    </xdr:to>
    <xdr:graphicFrame macro="">
      <xdr:nvGraphicFramePr>
        <xdr:cNvPr id="308890" name="Chart 13">
          <a:extLst>
            <a:ext uri="{FF2B5EF4-FFF2-40B4-BE49-F238E27FC236}">
              <a16:creationId xmlns:a16="http://schemas.microsoft.com/office/drawing/2014/main" id="{00000000-0008-0000-0100-00009AB60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731520</xdr:colOff>
      <xdr:row>1</xdr:row>
      <xdr:rowOff>60960</xdr:rowOff>
    </xdr:from>
    <xdr:to>
      <xdr:col>14</xdr:col>
      <xdr:colOff>1775460</xdr:colOff>
      <xdr:row>6</xdr:row>
      <xdr:rowOff>15240</xdr:rowOff>
    </xdr:to>
    <xdr:pic>
      <xdr:nvPicPr>
        <xdr:cNvPr id="308891" name="Picture 10" descr="leed-to-rate-energy-use">
          <a:extLst>
            <a:ext uri="{FF2B5EF4-FFF2-40B4-BE49-F238E27FC236}">
              <a16:creationId xmlns:a16="http://schemas.microsoft.com/office/drawing/2014/main" id="{00000000-0008-0000-0100-00009BB604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37520" y="251460"/>
          <a:ext cx="1043940" cy="103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1988820</xdr:colOff>
      <xdr:row>0</xdr:row>
      <xdr:rowOff>114300</xdr:rowOff>
    </xdr:from>
    <xdr:to>
      <xdr:col>4</xdr:col>
      <xdr:colOff>167640</xdr:colOff>
      <xdr:row>0</xdr:row>
      <xdr:rowOff>906780</xdr:rowOff>
    </xdr:to>
    <xdr:pic>
      <xdr:nvPicPr>
        <xdr:cNvPr id="2458" name="Picture 3" descr="DefenderNavyNOTAG-R.jpg">
          <a:extLst>
            <a:ext uri="{FF2B5EF4-FFF2-40B4-BE49-F238E27FC236}">
              <a16:creationId xmlns:a16="http://schemas.microsoft.com/office/drawing/2014/main" id="{00000000-0008-0000-0200-00009A09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40280" y="114300"/>
          <a:ext cx="4968240" cy="792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525780</xdr:colOff>
      <xdr:row>41</xdr:row>
      <xdr:rowOff>38100</xdr:rowOff>
    </xdr:from>
    <xdr:to>
      <xdr:col>4</xdr:col>
      <xdr:colOff>2072640</xdr:colOff>
      <xdr:row>43</xdr:row>
      <xdr:rowOff>190500</xdr:rowOff>
    </xdr:to>
    <xdr:pic>
      <xdr:nvPicPr>
        <xdr:cNvPr id="2459" name="Picture 1" descr="NB logo-Since1956 1x5.jpg">
          <a:extLst>
            <a:ext uri="{FF2B5EF4-FFF2-40B4-BE49-F238E27FC236}">
              <a16:creationId xmlns:a16="http://schemas.microsoft.com/office/drawing/2014/main" id="{00000000-0008-0000-0200-00009B09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63540" y="12054840"/>
          <a:ext cx="364998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388620</xdr:colOff>
      <xdr:row>0</xdr:row>
      <xdr:rowOff>182880</xdr:rowOff>
    </xdr:from>
    <xdr:to>
      <xdr:col>16</xdr:col>
      <xdr:colOff>353537</xdr:colOff>
      <xdr:row>0</xdr:row>
      <xdr:rowOff>967740</xdr:rowOff>
    </xdr:to>
    <xdr:pic>
      <xdr:nvPicPr>
        <xdr:cNvPr id="1335" name="Picture 3" descr="DefenderNavyNOTAG-R.jpg">
          <a:extLst>
            <a:ext uri="{FF2B5EF4-FFF2-40B4-BE49-F238E27FC236}">
              <a16:creationId xmlns:a16="http://schemas.microsoft.com/office/drawing/2014/main" id="{00000000-0008-0000-0300-00003705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76683" y="182880"/>
          <a:ext cx="5128260" cy="784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22860</xdr:colOff>
      <xdr:row>36</xdr:row>
      <xdr:rowOff>175260</xdr:rowOff>
    </xdr:from>
    <xdr:to>
      <xdr:col>15</xdr:col>
      <xdr:colOff>286067</xdr:colOff>
      <xdr:row>39</xdr:row>
      <xdr:rowOff>175260</xdr:rowOff>
    </xdr:to>
    <xdr:pic>
      <xdr:nvPicPr>
        <xdr:cNvPr id="1336" name="Picture 6" descr="NB logo-Since1956 .5x2.tif">
          <a:extLst>
            <a:ext uri="{FF2B5EF4-FFF2-40B4-BE49-F238E27FC236}">
              <a16:creationId xmlns:a16="http://schemas.microsoft.com/office/drawing/2014/main" id="{00000000-0008-0000-0300-00003805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30540" y="12176760"/>
          <a:ext cx="401574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b-pdc\mkt\Matthew%20Moriarty\Defender%20Cost%20Analysis\SEAWORLD%20-%20San%20Anton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sheetName val="Backup Data"/>
    </sheetNames>
    <sheetDataSet>
      <sheetData sheetId="0"/>
      <sheetData sheetId="1">
        <row r="2">
          <cell r="B2">
            <v>3.5000000000000003E-2</v>
          </cell>
        </row>
        <row r="18">
          <cell r="K18">
            <v>113600</v>
          </cell>
          <cell r="N18">
            <v>20350</v>
          </cell>
          <cell r="O18">
            <v>0</v>
          </cell>
          <cell r="P18">
            <v>5704.2</v>
          </cell>
          <cell r="Q18">
            <v>0</v>
          </cell>
          <cell r="S18">
            <v>55350.881250000006</v>
          </cell>
          <cell r="T18">
            <v>55350.881250000006</v>
          </cell>
          <cell r="U18">
            <v>47443.612499999996</v>
          </cell>
          <cell r="V18">
            <v>0</v>
          </cell>
          <cell r="X18">
            <v>63608.7842160945</v>
          </cell>
          <cell r="Z18">
            <v>137234.15999999997</v>
          </cell>
        </row>
        <row r="34">
          <cell r="L34">
            <v>0</v>
          </cell>
          <cell r="N34">
            <v>17200</v>
          </cell>
          <cell r="P34">
            <v>0</v>
          </cell>
          <cell r="Q34">
            <v>485.18099999999998</v>
          </cell>
          <cell r="S34">
            <v>6184.4641250000004</v>
          </cell>
          <cell r="T34">
            <v>6184.4641250000004</v>
          </cell>
          <cell r="U34">
            <v>5300.9692500000001</v>
          </cell>
          <cell r="V34">
            <v>0</v>
          </cell>
          <cell r="W34">
            <v>13419.900000000001</v>
          </cell>
          <cell r="X34">
            <v>12614.705999999998</v>
          </cell>
          <cell r="Y34">
            <v>124.47656740426868</v>
          </cell>
          <cell r="Z34">
            <v>49978.330455502823</v>
          </cell>
          <cell r="AA34">
            <v>140</v>
          </cell>
          <cell r="AB34">
            <v>109787.32799999998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defenderfilter.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8"/>
  <sheetViews>
    <sheetView zoomScaleNormal="100" workbookViewId="0">
      <pane ySplit="1" topLeftCell="A2" activePane="bottomLeft" state="frozen"/>
      <selection pane="bottomLeft" activeCell="A38" sqref="A38:L38"/>
    </sheetView>
  </sheetViews>
  <sheetFormatPr defaultColWidth="8.81640625" defaultRowHeight="12.5" x14ac:dyDescent="0.25"/>
  <cols>
    <col min="1" max="1" width="6.7265625" style="22" customWidth="1"/>
    <col min="2" max="2" width="11.7265625" style="21" customWidth="1"/>
    <col min="3" max="3" width="30.7265625" style="21" customWidth="1"/>
    <col min="4" max="4" width="4.7265625" style="21" customWidth="1"/>
    <col min="5" max="5" width="10.7265625" style="21" customWidth="1"/>
    <col min="6" max="6" width="2.7265625" style="21" customWidth="1"/>
    <col min="7" max="7" width="6.7265625" style="21" customWidth="1"/>
    <col min="8" max="8" width="18.7265625" style="21" customWidth="1"/>
    <col min="9" max="9" width="12.7265625" style="21" customWidth="1"/>
    <col min="10" max="10" width="10.7265625" style="21" customWidth="1"/>
    <col min="11" max="11" width="4.7265625" style="21" customWidth="1"/>
    <col min="12" max="12" width="10.7265625" style="21" customWidth="1"/>
    <col min="13" max="13" width="1.7265625" style="21" customWidth="1"/>
    <col min="14" max="16384" width="8.81640625" style="21"/>
  </cols>
  <sheetData>
    <row r="1" spans="1:12" s="23" customFormat="1" ht="84" customHeight="1" thickBot="1" x14ac:dyDescent="0.3">
      <c r="A1" s="273" t="s">
        <v>106</v>
      </c>
      <c r="B1" s="274"/>
      <c r="C1" s="274"/>
      <c r="D1" s="274"/>
      <c r="E1" s="274"/>
      <c r="F1" s="274"/>
      <c r="G1" s="274"/>
      <c r="H1" s="274"/>
      <c r="I1" s="274"/>
      <c r="J1" s="274"/>
      <c r="K1" s="274"/>
      <c r="L1" s="274"/>
    </row>
    <row r="2" spans="1:12" ht="21" customHeight="1" x14ac:dyDescent="0.25">
      <c r="A2" s="293" t="s">
        <v>40</v>
      </c>
      <c r="B2" s="294"/>
      <c r="C2" s="294"/>
      <c r="D2" s="294"/>
      <c r="E2" s="294"/>
      <c r="F2" s="294"/>
      <c r="G2" s="294"/>
      <c r="H2" s="294"/>
      <c r="I2" s="294"/>
      <c r="J2" s="294"/>
      <c r="K2" s="294"/>
      <c r="L2" s="295"/>
    </row>
    <row r="3" spans="1:12" ht="18" customHeight="1" x14ac:dyDescent="0.25">
      <c r="A3" s="238" t="s">
        <v>88</v>
      </c>
      <c r="B3" s="239"/>
      <c r="C3" s="268"/>
      <c r="D3" s="269"/>
      <c r="E3" s="269"/>
      <c r="F3" s="269"/>
      <c r="G3" s="270"/>
      <c r="H3" s="40" t="s">
        <v>100</v>
      </c>
      <c r="I3" s="279"/>
      <c r="J3" s="280"/>
      <c r="K3" s="281"/>
      <c r="L3" s="282"/>
    </row>
    <row r="4" spans="1:12" ht="18" customHeight="1" x14ac:dyDescent="0.25">
      <c r="A4" s="240" t="s">
        <v>89</v>
      </c>
      <c r="B4" s="241"/>
      <c r="C4" s="268"/>
      <c r="D4" s="269"/>
      <c r="E4" s="269"/>
      <c r="F4" s="269"/>
      <c r="G4" s="270"/>
      <c r="H4" s="114" t="s">
        <v>150</v>
      </c>
      <c r="I4" s="283"/>
      <c r="J4" s="284"/>
      <c r="K4" s="285"/>
      <c r="L4" s="286"/>
    </row>
    <row r="5" spans="1:12" ht="18" customHeight="1" thickBot="1" x14ac:dyDescent="0.3">
      <c r="A5" s="250"/>
      <c r="B5" s="251"/>
      <c r="C5" s="251"/>
      <c r="D5" s="251"/>
      <c r="E5" s="251"/>
      <c r="F5" s="251"/>
      <c r="G5" s="251"/>
      <c r="H5" s="115" t="s">
        <v>151</v>
      </c>
      <c r="I5" s="287"/>
      <c r="J5" s="288"/>
      <c r="K5" s="289"/>
      <c r="L5" s="290"/>
    </row>
    <row r="6" spans="1:12" ht="21" customHeight="1" x14ac:dyDescent="0.25"/>
    <row r="7" spans="1:12" ht="42" customHeight="1" thickBot="1" x14ac:dyDescent="0.3">
      <c r="A7" s="296" t="s">
        <v>153</v>
      </c>
      <c r="B7" s="296"/>
      <c r="C7" s="296"/>
      <c r="D7" s="296"/>
      <c r="E7" s="296"/>
      <c r="F7" s="296"/>
      <c r="G7" s="296"/>
      <c r="H7" s="296"/>
      <c r="I7" s="296"/>
      <c r="J7" s="296"/>
      <c r="K7" s="296"/>
      <c r="L7" s="296"/>
    </row>
    <row r="8" spans="1:12" ht="21" customHeight="1" x14ac:dyDescent="0.25">
      <c r="A8" s="291" t="s">
        <v>93</v>
      </c>
      <c r="B8" s="292"/>
      <c r="C8" s="292"/>
      <c r="D8" s="138" t="s">
        <v>200</v>
      </c>
      <c r="E8" s="42" t="s">
        <v>154</v>
      </c>
      <c r="F8" s="24"/>
      <c r="G8" s="291" t="s">
        <v>93</v>
      </c>
      <c r="H8" s="292"/>
      <c r="I8" s="292"/>
      <c r="J8" s="292"/>
      <c r="K8" s="138" t="s">
        <v>200</v>
      </c>
      <c r="L8" s="42" t="s">
        <v>154</v>
      </c>
    </row>
    <row r="9" spans="1:12" s="119" customFormat="1" ht="18" customHeight="1" x14ac:dyDescent="0.3">
      <c r="A9" s="141" t="s">
        <v>203</v>
      </c>
      <c r="B9" s="275"/>
      <c r="C9" s="276"/>
      <c r="D9" s="139" t="s">
        <v>239</v>
      </c>
      <c r="E9" s="117">
        <v>0</v>
      </c>
      <c r="F9" s="118"/>
      <c r="G9" s="144" t="s">
        <v>209</v>
      </c>
      <c r="H9" s="252"/>
      <c r="I9" s="252"/>
      <c r="J9" s="252"/>
      <c r="K9" s="139"/>
      <c r="L9" s="117"/>
    </row>
    <row r="10" spans="1:12" s="119" customFormat="1" ht="18" customHeight="1" x14ac:dyDescent="0.3">
      <c r="A10" s="141" t="s">
        <v>204</v>
      </c>
      <c r="B10" s="275"/>
      <c r="C10" s="276"/>
      <c r="D10" s="139"/>
      <c r="E10" s="117"/>
      <c r="F10" s="118"/>
      <c r="G10" s="141" t="s">
        <v>210</v>
      </c>
      <c r="H10" s="252"/>
      <c r="I10" s="252"/>
      <c r="J10" s="252"/>
      <c r="K10" s="139"/>
      <c r="L10" s="117"/>
    </row>
    <row r="11" spans="1:12" s="119" customFormat="1" ht="18" customHeight="1" x14ac:dyDescent="0.3">
      <c r="A11" s="142" t="s">
        <v>206</v>
      </c>
      <c r="B11" s="277"/>
      <c r="C11" s="278"/>
      <c r="D11" s="139"/>
      <c r="E11" s="120"/>
      <c r="F11" s="118"/>
      <c r="G11" s="141" t="s">
        <v>211</v>
      </c>
      <c r="H11" s="252"/>
      <c r="I11" s="252"/>
      <c r="J11" s="252"/>
      <c r="K11" s="139"/>
      <c r="L11" s="117"/>
    </row>
    <row r="12" spans="1:12" s="119" customFormat="1" ht="18" customHeight="1" x14ac:dyDescent="0.3">
      <c r="A12" s="141" t="s">
        <v>207</v>
      </c>
      <c r="B12" s="252"/>
      <c r="C12" s="252"/>
      <c r="D12" s="139"/>
      <c r="E12" s="117"/>
      <c r="F12" s="118"/>
      <c r="G12" s="141" t="s">
        <v>212</v>
      </c>
      <c r="H12" s="252"/>
      <c r="I12" s="252"/>
      <c r="J12" s="252"/>
      <c r="K12" s="139"/>
      <c r="L12" s="117"/>
    </row>
    <row r="13" spans="1:12" s="119" customFormat="1" ht="18" customHeight="1" thickBot="1" x14ac:dyDescent="0.35">
      <c r="A13" s="143" t="s">
        <v>208</v>
      </c>
      <c r="B13" s="263"/>
      <c r="C13" s="263"/>
      <c r="D13" s="140"/>
      <c r="E13" s="121"/>
      <c r="F13" s="118"/>
      <c r="G13" s="143" t="s">
        <v>205</v>
      </c>
      <c r="H13" s="263"/>
      <c r="I13" s="263"/>
      <c r="J13" s="263"/>
      <c r="K13" s="140"/>
      <c r="L13" s="121"/>
    </row>
    <row r="14" spans="1:12" ht="21" customHeight="1" x14ac:dyDescent="0.25"/>
    <row r="15" spans="1:12" ht="42" customHeight="1" thickBot="1" x14ac:dyDescent="0.3">
      <c r="A15" s="271" t="s">
        <v>152</v>
      </c>
      <c r="B15" s="271"/>
      <c r="C15" s="271"/>
      <c r="D15" s="271"/>
      <c r="E15" s="271"/>
      <c r="F15" s="271"/>
      <c r="G15" s="271"/>
      <c r="H15" s="271"/>
      <c r="I15" s="271"/>
      <c r="J15" s="271"/>
      <c r="K15" s="271"/>
      <c r="L15" s="271"/>
    </row>
    <row r="16" spans="1:12" s="119" customFormat="1" ht="21" customHeight="1" x14ac:dyDescent="0.3">
      <c r="A16" s="264" t="s">
        <v>35</v>
      </c>
      <c r="B16" s="265"/>
      <c r="C16" s="246" t="s">
        <v>168</v>
      </c>
      <c r="D16" s="272"/>
      <c r="E16" s="272"/>
      <c r="F16" s="272"/>
      <c r="G16" s="272"/>
      <c r="H16" s="272"/>
      <c r="I16" s="247"/>
      <c r="J16" s="246" t="s">
        <v>33</v>
      </c>
      <c r="K16" s="247"/>
      <c r="L16" s="122" t="s">
        <v>34</v>
      </c>
    </row>
    <row r="17" spans="1:12" ht="30" customHeight="1" x14ac:dyDescent="0.25">
      <c r="A17" s="332" t="s">
        <v>86</v>
      </c>
      <c r="B17" s="333"/>
      <c r="C17" s="325" t="s">
        <v>196</v>
      </c>
      <c r="D17" s="326"/>
      <c r="E17" s="326"/>
      <c r="F17" s="326"/>
      <c r="G17" s="326"/>
      <c r="H17" s="326"/>
      <c r="I17" s="327"/>
      <c r="J17" s="242">
        <v>120</v>
      </c>
      <c r="K17" s="243"/>
      <c r="L17" s="38" t="s">
        <v>197</v>
      </c>
    </row>
    <row r="18" spans="1:12" ht="30" customHeight="1" x14ac:dyDescent="0.25">
      <c r="A18" s="261" t="s">
        <v>15</v>
      </c>
      <c r="B18" s="262"/>
      <c r="C18" s="321" t="s">
        <v>158</v>
      </c>
      <c r="D18" s="322"/>
      <c r="E18" s="322"/>
      <c r="F18" s="322"/>
      <c r="G18" s="322"/>
      <c r="H18" s="322"/>
      <c r="I18" s="328"/>
      <c r="J18" s="244">
        <v>0.15</v>
      </c>
      <c r="K18" s="245"/>
      <c r="L18" s="39" t="s">
        <v>98</v>
      </c>
    </row>
    <row r="19" spans="1:12" ht="30" customHeight="1" x14ac:dyDescent="0.25">
      <c r="A19" s="261" t="s">
        <v>91</v>
      </c>
      <c r="B19" s="262"/>
      <c r="C19" s="258" t="s">
        <v>175</v>
      </c>
      <c r="D19" s="259"/>
      <c r="E19" s="259"/>
      <c r="F19" s="259"/>
      <c r="G19" s="259"/>
      <c r="H19" s="259"/>
      <c r="I19" s="260"/>
      <c r="J19" s="253">
        <v>3</v>
      </c>
      <c r="K19" s="254"/>
      <c r="L19" s="39" t="s">
        <v>17</v>
      </c>
    </row>
    <row r="20" spans="1:12" ht="30" customHeight="1" x14ac:dyDescent="0.25">
      <c r="A20" s="261" t="s">
        <v>90</v>
      </c>
      <c r="B20" s="262"/>
      <c r="C20" s="321" t="s">
        <v>170</v>
      </c>
      <c r="D20" s="322"/>
      <c r="E20" s="322"/>
      <c r="F20" s="322"/>
      <c r="G20" s="322"/>
      <c r="H20" s="322"/>
      <c r="I20" s="328"/>
      <c r="J20" s="253">
        <v>17.8</v>
      </c>
      <c r="K20" s="254"/>
      <c r="L20" s="39" t="s">
        <v>167</v>
      </c>
    </row>
    <row r="21" spans="1:12" ht="30" customHeight="1" x14ac:dyDescent="0.25">
      <c r="A21" s="313" t="s">
        <v>92</v>
      </c>
      <c r="B21" s="314"/>
      <c r="C21" s="329" t="s">
        <v>174</v>
      </c>
      <c r="D21" s="329"/>
      <c r="E21" s="329"/>
      <c r="F21" s="329"/>
      <c r="G21" s="329"/>
      <c r="H21" s="329"/>
      <c r="I21" s="329"/>
      <c r="J21" s="253">
        <v>0.94</v>
      </c>
      <c r="K21" s="254"/>
      <c r="L21" s="39" t="s">
        <v>155</v>
      </c>
    </row>
    <row r="22" spans="1:12" ht="15" customHeight="1" x14ac:dyDescent="0.25">
      <c r="A22" s="313" t="s">
        <v>156</v>
      </c>
      <c r="B22" s="330"/>
      <c r="C22" s="329" t="s">
        <v>184</v>
      </c>
      <c r="D22" s="329"/>
      <c r="E22" s="329"/>
      <c r="F22" s="329"/>
      <c r="G22" s="329"/>
      <c r="H22" s="329"/>
      <c r="I22" s="50" t="s">
        <v>161</v>
      </c>
      <c r="J22" s="266">
        <v>20</v>
      </c>
      <c r="K22" s="267"/>
      <c r="L22" s="39" t="s">
        <v>198</v>
      </c>
    </row>
    <row r="23" spans="1:12" ht="15" customHeight="1" x14ac:dyDescent="0.25">
      <c r="A23" s="331"/>
      <c r="B23" s="330"/>
      <c r="C23" s="329"/>
      <c r="D23" s="329"/>
      <c r="E23" s="329"/>
      <c r="F23" s="329"/>
      <c r="G23" s="329"/>
      <c r="H23" s="329"/>
      <c r="I23" s="50" t="s">
        <v>162</v>
      </c>
      <c r="J23" s="256" t="s">
        <v>169</v>
      </c>
      <c r="K23" s="257"/>
      <c r="L23" s="39" t="s">
        <v>199</v>
      </c>
    </row>
    <row r="24" spans="1:12" ht="15" customHeight="1" x14ac:dyDescent="0.25">
      <c r="A24" s="331"/>
      <c r="B24" s="330"/>
      <c r="C24" s="329"/>
      <c r="D24" s="329"/>
      <c r="E24" s="329"/>
      <c r="F24" s="329"/>
      <c r="G24" s="329"/>
      <c r="H24" s="329"/>
      <c r="I24" s="50" t="s">
        <v>159</v>
      </c>
      <c r="J24" s="266">
        <v>5</v>
      </c>
      <c r="K24" s="267"/>
      <c r="L24" s="39" t="s">
        <v>1</v>
      </c>
    </row>
    <row r="25" spans="1:12" ht="15" customHeight="1" x14ac:dyDescent="0.25">
      <c r="A25" s="331"/>
      <c r="B25" s="330"/>
      <c r="C25" s="329"/>
      <c r="D25" s="329"/>
      <c r="E25" s="329"/>
      <c r="F25" s="329"/>
      <c r="G25" s="329"/>
      <c r="H25" s="329"/>
      <c r="I25" s="50" t="s">
        <v>160</v>
      </c>
      <c r="J25" s="266">
        <v>104</v>
      </c>
      <c r="K25" s="267"/>
      <c r="L25" s="39" t="s">
        <v>97</v>
      </c>
    </row>
    <row r="26" spans="1:12" ht="15" customHeight="1" x14ac:dyDescent="0.25">
      <c r="A26" s="313" t="s">
        <v>157</v>
      </c>
      <c r="B26" s="314"/>
      <c r="C26" s="329" t="s">
        <v>183</v>
      </c>
      <c r="D26" s="329"/>
      <c r="E26" s="329"/>
      <c r="F26" s="329"/>
      <c r="G26" s="329"/>
      <c r="H26" s="329"/>
      <c r="I26" s="50" t="s">
        <v>163</v>
      </c>
      <c r="J26" s="256" t="s">
        <v>169</v>
      </c>
      <c r="K26" s="257"/>
      <c r="L26" s="39" t="s">
        <v>96</v>
      </c>
    </row>
    <row r="27" spans="1:12" ht="15" customHeight="1" x14ac:dyDescent="0.25">
      <c r="A27" s="313"/>
      <c r="B27" s="314"/>
      <c r="C27" s="329"/>
      <c r="D27" s="329"/>
      <c r="E27" s="329"/>
      <c r="F27" s="329"/>
      <c r="G27" s="329"/>
      <c r="H27" s="329"/>
      <c r="I27" s="50" t="s">
        <v>160</v>
      </c>
      <c r="J27" s="248">
        <v>12</v>
      </c>
      <c r="K27" s="249"/>
      <c r="L27" s="39" t="s">
        <v>97</v>
      </c>
    </row>
    <row r="28" spans="1:12" ht="30" customHeight="1" x14ac:dyDescent="0.25">
      <c r="A28" s="313" t="s">
        <v>201</v>
      </c>
      <c r="B28" s="314"/>
      <c r="C28" s="329" t="s">
        <v>182</v>
      </c>
      <c r="D28" s="329"/>
      <c r="E28" s="329"/>
      <c r="F28" s="329"/>
      <c r="G28" s="329"/>
      <c r="H28" s="329"/>
      <c r="I28" s="329"/>
      <c r="J28" s="253">
        <v>3.5</v>
      </c>
      <c r="K28" s="254"/>
      <c r="L28" s="39" t="s">
        <v>94</v>
      </c>
    </row>
    <row r="29" spans="1:12" ht="30" customHeight="1" x14ac:dyDescent="0.25">
      <c r="A29" s="313" t="s">
        <v>202</v>
      </c>
      <c r="B29" s="314"/>
      <c r="C29" s="255" t="s">
        <v>177</v>
      </c>
      <c r="D29" s="255"/>
      <c r="E29" s="255"/>
      <c r="F29" s="255"/>
      <c r="G29" s="255"/>
      <c r="H29" s="255"/>
      <c r="I29" s="255"/>
      <c r="J29" s="253">
        <v>3.5</v>
      </c>
      <c r="K29" s="254"/>
      <c r="L29" s="39" t="s">
        <v>94</v>
      </c>
    </row>
    <row r="30" spans="1:12" ht="30" customHeight="1" x14ac:dyDescent="0.25">
      <c r="A30" s="313" t="s">
        <v>171</v>
      </c>
      <c r="B30" s="314"/>
      <c r="C30" s="255" t="s">
        <v>178</v>
      </c>
      <c r="D30" s="255"/>
      <c r="E30" s="255"/>
      <c r="F30" s="255"/>
      <c r="G30" s="255"/>
      <c r="H30" s="255"/>
      <c r="I30" s="255"/>
      <c r="J30" s="253">
        <v>3</v>
      </c>
      <c r="K30" s="254"/>
      <c r="L30" s="39" t="s">
        <v>94</v>
      </c>
    </row>
    <row r="31" spans="1:12" ht="15" customHeight="1" x14ac:dyDescent="0.25">
      <c r="A31" s="313" t="s">
        <v>173</v>
      </c>
      <c r="B31" s="314"/>
      <c r="C31" s="299" t="s">
        <v>213</v>
      </c>
      <c r="D31" s="300"/>
      <c r="E31" s="300"/>
      <c r="F31" s="300"/>
      <c r="G31" s="300"/>
      <c r="H31" s="301"/>
      <c r="I31" s="50" t="s">
        <v>172</v>
      </c>
      <c r="J31" s="317">
        <v>30</v>
      </c>
      <c r="K31" s="318"/>
      <c r="L31" s="39" t="s">
        <v>14</v>
      </c>
    </row>
    <row r="32" spans="1:12" ht="15" customHeight="1" x14ac:dyDescent="0.25">
      <c r="A32" s="313"/>
      <c r="B32" s="314"/>
      <c r="C32" s="302"/>
      <c r="D32" s="303"/>
      <c r="E32" s="303"/>
      <c r="F32" s="303"/>
      <c r="G32" s="303"/>
      <c r="H32" s="304"/>
      <c r="I32" s="50" t="s">
        <v>164</v>
      </c>
      <c r="J32" s="253">
        <v>0.9</v>
      </c>
      <c r="K32" s="254"/>
      <c r="L32" s="39" t="s">
        <v>95</v>
      </c>
    </row>
    <row r="33" spans="1:12" ht="30" customHeight="1" x14ac:dyDescent="0.25">
      <c r="A33" s="261" t="s">
        <v>165</v>
      </c>
      <c r="B33" s="298"/>
      <c r="C33" s="255" t="s">
        <v>166</v>
      </c>
      <c r="D33" s="255"/>
      <c r="E33" s="255"/>
      <c r="F33" s="255"/>
      <c r="G33" s="255"/>
      <c r="H33" s="255"/>
      <c r="I33" s="255"/>
      <c r="J33" s="315">
        <v>365</v>
      </c>
      <c r="K33" s="316"/>
      <c r="L33" s="48" t="s">
        <v>99</v>
      </c>
    </row>
    <row r="34" spans="1:12" ht="30" customHeight="1" x14ac:dyDescent="0.25">
      <c r="A34" s="311" t="s">
        <v>27</v>
      </c>
      <c r="B34" s="312"/>
      <c r="C34" s="310" t="s">
        <v>179</v>
      </c>
      <c r="D34" s="310"/>
      <c r="E34" s="310"/>
      <c r="F34" s="310"/>
      <c r="G34" s="310"/>
      <c r="H34" s="310"/>
      <c r="I34" s="47" t="s">
        <v>28</v>
      </c>
      <c r="J34" s="253">
        <v>0.12</v>
      </c>
      <c r="K34" s="254"/>
      <c r="L34" s="48" t="s">
        <v>29</v>
      </c>
    </row>
    <row r="35" spans="1:12" s="46" customFormat="1" ht="30" customHeight="1" x14ac:dyDescent="0.25">
      <c r="A35" s="261" t="s">
        <v>111</v>
      </c>
      <c r="B35" s="298"/>
      <c r="C35" s="321" t="s">
        <v>176</v>
      </c>
      <c r="D35" s="322"/>
      <c r="E35" s="323"/>
      <c r="F35" s="323"/>
      <c r="G35" s="323"/>
      <c r="H35" s="323"/>
      <c r="I35" s="324"/>
      <c r="J35" s="319">
        <v>7.0000000000000007E-2</v>
      </c>
      <c r="K35" s="320"/>
      <c r="L35" s="51" t="s">
        <v>110</v>
      </c>
    </row>
    <row r="36" spans="1:12" s="46" customFormat="1" ht="30" customHeight="1" x14ac:dyDescent="0.25">
      <c r="A36" s="261" t="s">
        <v>124</v>
      </c>
      <c r="B36" s="298"/>
      <c r="C36" s="258" t="s">
        <v>180</v>
      </c>
      <c r="D36" s="259"/>
      <c r="E36" s="259"/>
      <c r="F36" s="259"/>
      <c r="G36" s="259"/>
      <c r="H36" s="259"/>
      <c r="I36" s="260"/>
      <c r="J36" s="234">
        <v>1</v>
      </c>
      <c r="K36" s="235"/>
      <c r="L36" s="52" t="s">
        <v>122</v>
      </c>
    </row>
    <row r="37" spans="1:12" s="46" customFormat="1" ht="30" customHeight="1" thickBot="1" x14ac:dyDescent="0.3">
      <c r="A37" s="305" t="s">
        <v>125</v>
      </c>
      <c r="B37" s="306"/>
      <c r="C37" s="307" t="s">
        <v>181</v>
      </c>
      <c r="D37" s="308"/>
      <c r="E37" s="308"/>
      <c r="F37" s="308"/>
      <c r="G37" s="308"/>
      <c r="H37" s="308"/>
      <c r="I37" s="309"/>
      <c r="J37" s="236">
        <v>1</v>
      </c>
      <c r="K37" s="237"/>
      <c r="L37" s="49" t="s">
        <v>122</v>
      </c>
    </row>
    <row r="38" spans="1:12" ht="94.9" customHeight="1" x14ac:dyDescent="0.25">
      <c r="A38" s="297"/>
      <c r="B38" s="297"/>
      <c r="C38" s="297"/>
      <c r="D38" s="297"/>
      <c r="E38" s="297"/>
      <c r="F38" s="297"/>
      <c r="G38" s="297"/>
      <c r="H38" s="297"/>
      <c r="I38" s="297"/>
      <c r="J38" s="297"/>
      <c r="K38" s="297"/>
      <c r="L38" s="297"/>
    </row>
  </sheetData>
  <protectedRanges>
    <protectedRange sqref="J17:K22 J24:K25 J27:K37" name="Variables"/>
    <protectedRange sqref="B9:E13 H9:L13" name="Input Data"/>
    <protectedRange sqref="B3:G4 I3:L5" name="Project Information"/>
  </protectedRanges>
  <mergeCells count="81">
    <mergeCell ref="C35:I35"/>
    <mergeCell ref="A19:B19"/>
    <mergeCell ref="C17:I17"/>
    <mergeCell ref="C18:I18"/>
    <mergeCell ref="A29:B29"/>
    <mergeCell ref="C22:H25"/>
    <mergeCell ref="A21:B21"/>
    <mergeCell ref="C26:H27"/>
    <mergeCell ref="C28:I28"/>
    <mergeCell ref="C21:I21"/>
    <mergeCell ref="A28:B28"/>
    <mergeCell ref="A30:B30"/>
    <mergeCell ref="A22:B25"/>
    <mergeCell ref="A17:B17"/>
    <mergeCell ref="C20:I20"/>
    <mergeCell ref="A26:B27"/>
    <mergeCell ref="A38:L38"/>
    <mergeCell ref="C33:I33"/>
    <mergeCell ref="A33:B33"/>
    <mergeCell ref="C31:H32"/>
    <mergeCell ref="A35:B35"/>
    <mergeCell ref="A36:B36"/>
    <mergeCell ref="A37:B37"/>
    <mergeCell ref="C36:I36"/>
    <mergeCell ref="C37:I37"/>
    <mergeCell ref="C34:H34"/>
    <mergeCell ref="A34:B34"/>
    <mergeCell ref="A31:B32"/>
    <mergeCell ref="J33:K33"/>
    <mergeCell ref="J31:K31"/>
    <mergeCell ref="J34:K34"/>
    <mergeCell ref="J35:K35"/>
    <mergeCell ref="A1:L1"/>
    <mergeCell ref="B9:C9"/>
    <mergeCell ref="B10:C10"/>
    <mergeCell ref="B11:C11"/>
    <mergeCell ref="I3:L3"/>
    <mergeCell ref="I4:L4"/>
    <mergeCell ref="I5:L5"/>
    <mergeCell ref="A8:C8"/>
    <mergeCell ref="C4:G4"/>
    <mergeCell ref="A2:L2"/>
    <mergeCell ref="A7:L7"/>
    <mergeCell ref="G8:J8"/>
    <mergeCell ref="B13:C13"/>
    <mergeCell ref="H12:J12"/>
    <mergeCell ref="C3:G3"/>
    <mergeCell ref="A15:L15"/>
    <mergeCell ref="C16:I16"/>
    <mergeCell ref="J19:K19"/>
    <mergeCell ref="B12:C12"/>
    <mergeCell ref="H9:J9"/>
    <mergeCell ref="C30:I30"/>
    <mergeCell ref="C19:I19"/>
    <mergeCell ref="A18:B18"/>
    <mergeCell ref="J26:K26"/>
    <mergeCell ref="H13:J13"/>
    <mergeCell ref="A16:B16"/>
    <mergeCell ref="J28:K28"/>
    <mergeCell ref="J29:K29"/>
    <mergeCell ref="J30:K30"/>
    <mergeCell ref="A20:B20"/>
    <mergeCell ref="J22:K22"/>
    <mergeCell ref="J24:K24"/>
    <mergeCell ref="J25:K25"/>
    <mergeCell ref="J36:K36"/>
    <mergeCell ref="J37:K37"/>
    <mergeCell ref="A3:B3"/>
    <mergeCell ref="A4:B4"/>
    <mergeCell ref="J17:K17"/>
    <mergeCell ref="J18:K18"/>
    <mergeCell ref="J16:K16"/>
    <mergeCell ref="J27:K27"/>
    <mergeCell ref="A5:G5"/>
    <mergeCell ref="H10:J10"/>
    <mergeCell ref="H11:J11"/>
    <mergeCell ref="J32:K32"/>
    <mergeCell ref="J21:K21"/>
    <mergeCell ref="J20:K20"/>
    <mergeCell ref="C29:I29"/>
    <mergeCell ref="J23:K23"/>
  </mergeCells>
  <dataValidations count="23">
    <dataValidation type="whole" allowBlank="1" showInputMessage="1" showErrorMessage="1" sqref="F9" xr:uid="{00000000-0002-0000-0000-000000000000}">
      <formula1>0</formula1>
      <formula2>1000</formula2>
    </dataValidation>
    <dataValidation type="decimal" operator="greaterThanOrEqual" allowBlank="1" showInputMessage="1" showErrorMessage="1" promptTitle="Mechanical Space Value" prompt="The current US average cost for indoor mechanical space construction is $120.00 per square foot." sqref="J17:K17" xr:uid="{00000000-0002-0000-0000-000001000000}">
      <formula1>0</formula1>
    </dataValidation>
    <dataValidation type="date" operator="greaterThan" allowBlank="1" showInputMessage="1" showErrorMessage="1" errorTitle="Data Input Error" error="Please insert a numerical date into this field only (00/00/00)." sqref="I3:L3" xr:uid="{00000000-0002-0000-0000-000002000000}">
      <formula1>36526</formula1>
    </dataValidation>
    <dataValidation type="decimal" allowBlank="1" showInputMessage="1" showErrorMessage="1" errorTitle="Data Input Error" error="This field will accept numerical flow rate values between 0 and 4,550 only.  Pools with flow rates above 4,550 will need to be analyzed separately." sqref="L9:L13 E9:E13" xr:uid="{00000000-0002-0000-0000-000003000000}">
      <formula1>0</formula1>
      <formula2>4550</formula2>
    </dataValidation>
    <dataValidation type="decimal" operator="greaterThanOrEqual" allowBlank="1" showInputMessage="1" showErrorMessage="1" promptTitle="Installation Labor Variance" prompt="Due to its simplified construction, Defender Filters have historically saved installation labor equal to 15% of the base cost of a comparable sand filter." sqref="J18:K18" xr:uid="{00000000-0002-0000-0000-000004000000}">
      <formula1>0</formula1>
    </dataValidation>
    <dataValidation type="decimal" operator="greaterThanOrEqual" allowBlank="1" showInputMessage="1" showErrorMessage="1" error=" " promptTitle="Media Loading Cost" prompt="The historical average manual labor cost for loading filter media into a sand filter is $3.00 US per 100 lb bag.  The estimated media loading cost for a Defender Filter is under $100 per year." sqref="J19:K19" xr:uid="{00000000-0002-0000-0000-000005000000}">
      <formula1>0</formula1>
    </dataValidation>
    <dataValidation type="decimal" operator="greaterThanOrEqual" allowBlank="1" showInputMessage="1" showErrorMessage="1" promptTitle="Sand Filter Media Cost" prompt="The current average combined cost for #20 Silica Sand and 1/8 X 1/4 Pea Gravel is $17.80 US per 100 pounds." sqref="J20:K20" xr:uid="{00000000-0002-0000-0000-000006000000}">
      <formula1>0</formula1>
    </dataValidation>
    <dataValidation type="decimal" operator="greaterThanOrEqual" allowBlank="1" showInputMessage="1" showErrorMessage="1" promptTitle="Defender Filter Media Cost" prompt="The current average cost for Perlite filter media is $0.94 US per pound." sqref="J21" xr:uid="{00000000-0002-0000-0000-000007000000}">
      <formula1>0</formula1>
    </dataValidation>
    <dataValidation type="decimal" operator="greaterThanOrEqual" allowBlank="1" showInputMessage="1" showErrorMessage="1" promptTitle="Sand Filter Backwash Flow Rate" prompt="Sand Filters are typically backwashed at a flow rate of 20 gallons per minute per square foot." sqref="J22" xr:uid="{00000000-0002-0000-0000-000008000000}">
      <formula1>0</formula1>
    </dataValidation>
    <dataValidation type="decimal" operator="greaterThanOrEqual" allowBlank="1" showInputMessage="1" showErrorMessage="1" promptTitle="Sand Filter Backwash Duration" prompt="Sand Filters are typically backwashed for a duration of 5 minutes per wash." sqref="J24" xr:uid="{00000000-0002-0000-0000-000009000000}">
      <formula1>0</formula1>
    </dataValidation>
    <dataValidation type="decimal" operator="greaterThanOrEqual" allowBlank="1" showInputMessage="1" showErrorMessage="1" promptTitle="Sand Filter Backwash Frequency" prompt="Sand Filters are typically backwashed every 3-4 days, equalling a total frequency of 104 times per season for a 365 day season." sqref="J25" xr:uid="{00000000-0002-0000-0000-00000A000000}">
      <formula1>0</formula1>
    </dataValidation>
    <dataValidation type="decimal" operator="greaterThanOrEqual" allowBlank="1" showInputMessage="1" showErrorMessage="1" promptTitle="Defender Backwash Frequency" prompt="The Perlite filter media in a Defender Filter &quot;saturates&quot; and requires backwash replacement at an average rate of once per month." sqref="J27" xr:uid="{00000000-0002-0000-0000-00000B000000}">
      <formula1>0</formula1>
    </dataValidation>
    <dataValidation type="decimal" operator="greaterThanOrEqual" allowBlank="1" showInputMessage="1" showErrorMessage="1" promptTitle="Potable Water Usage" prompt="The current average US national rate for potable water use is $3.50 per 1,000 gallons." sqref="J28" xr:uid="{00000000-0002-0000-0000-00000C000000}">
      <formula1>0</formula1>
    </dataValidation>
    <dataValidation type="decimal" operator="greaterThanOrEqual" allowBlank="1" showInputMessage="1" showErrorMessage="1" promptTitle="Sanitary Sewerage Fee" prompt="The current US national average for Sanitary Sewerage charges is $3.50 per 1,000 gallons." sqref="J29" xr:uid="{00000000-0002-0000-0000-00000D000000}">
      <formula1>0</formula1>
    </dataValidation>
    <dataValidation type="decimal" operator="greaterThanOrEqual" allowBlank="1" showInputMessage="1" showErrorMessage="1" promptTitle="Make-Up Water Chemicals" prompt="The current average cost for pool chemicals lost through sand filter backwash is $3.00 US per 1,000 gallons." sqref="J30" xr:uid="{00000000-0002-0000-0000-00000E000000}">
      <formula1>0</formula1>
    </dataValidation>
    <dataValidation type="decimal" operator="greaterThanOrEqual" allowBlank="1" showInputMessage="1" showErrorMessage="1" promptTitle="Make-Up Water Temperature Delta" prompt="The typical difference in temperature between backwash make-up water and a pool's normal operating temperature is 30° F." sqref="J31" xr:uid="{00000000-0002-0000-0000-00000F000000}">
      <formula1>0</formula1>
    </dataValidation>
    <dataValidation type="decimal" operator="greaterThanOrEqual" allowBlank="1" showInputMessage="1" showErrorMessage="1" promptTitle="Make-up Water Cost per Therm" prompt="The current average US cost to reheat make-up water is $0.90 per therm." sqref="J32" xr:uid="{00000000-0002-0000-0000-000010000000}">
      <formula1>0</formula1>
    </dataValidation>
    <dataValidation type="whole" allowBlank="1" showInputMessage="1" showErrorMessage="1" errorTitle="Data Input Error" error="This field accepts whole numbers only between 0 and 365" promptTitle="Operating Days per Season" prompt="The Defender Cost Savings Analysis assumes a full-year operating season of 365 days." sqref="J33" xr:uid="{00000000-0002-0000-0000-000011000000}">
      <formula1>0</formula1>
      <formula2>365</formula2>
    </dataValidation>
    <dataValidation type="decimal" operator="greaterThanOrEqual" allowBlank="1" showInputMessage="1" showErrorMessage="1" promptTitle="Electrical Costs" prompt="The current average US national cost for electricity is $0.12 per kilowatt." sqref="J34" xr:uid="{00000000-0002-0000-0000-000012000000}">
      <formula1>0</formula1>
    </dataValidation>
    <dataValidation type="decimal" operator="greaterThanOrEqual" allowBlank="1" showInputMessage="1" showErrorMessage="1" promptTitle="Annual Increase" prompt="Annual cost increases for labor, materials and maintenance expenses for aquatic facilities average roughly 7% overall." sqref="J35" xr:uid="{00000000-0002-0000-0000-000013000000}">
      <formula1>0</formula1>
    </dataValidation>
    <dataValidation type="whole" operator="greaterThanOrEqual" allowBlank="1" showInputMessage="1" showErrorMessage="1" promptTitle="Compressors" prompt="Defender Filters require compressed air for operation.  If there is already an accessible air compressor on-site, this number may be set to zero.  If this project requires more than 1 compressor, adjust this number accordingly." sqref="J36" xr:uid="{00000000-0002-0000-0000-000014000000}">
      <formula1>0</formula1>
    </dataValidation>
    <dataValidation type="whole" operator="greaterThanOrEqual" allowBlank="1" showInputMessage="1" showErrorMessage="1" promptTitle="Defender Tool Kits" prompt="It is recommended that Defender Filter operators aquire at least one Defender Tool Kit for the callibration of pneumatic valves, however it is not necessary to purchase one kit per Defender Filter." sqref="J37" xr:uid="{00000000-0002-0000-0000-000015000000}">
      <formula1>0</formula1>
    </dataValidation>
    <dataValidation type="list" allowBlank="1" showInputMessage="1" showErrorMessage="1" errorTitle="Indoor/Outdoor" error="Please select either I for an Indoor Pool or O for an Outdoor Pool" prompt="Indoor or Outdoor Pool?" sqref="D9:D13 K9:K13" xr:uid="{00000000-0002-0000-0000-000016000000}">
      <formula1>"I, O"</formula1>
    </dataValidation>
  </dataValidations>
  <printOptions horizontalCentered="1"/>
  <pageMargins left="0.5" right="0.5" top="0.5" bottom="0.25" header="0.3" footer="0.25"/>
  <pageSetup scale="73" orientation="portrait" r:id="rId1"/>
  <headerFooter>
    <oddFooter>&amp;L&amp;D    © Copyright Neptune-Benson,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42"/>
  <sheetViews>
    <sheetView tabSelected="1" zoomScaleNormal="100" workbookViewId="0">
      <selection activeCell="A8" sqref="A8:O8"/>
    </sheetView>
  </sheetViews>
  <sheetFormatPr defaultColWidth="8.81640625" defaultRowHeight="12.5" x14ac:dyDescent="0.25"/>
  <cols>
    <col min="1" max="1" width="4.7265625" style="6" customWidth="1"/>
    <col min="2" max="2" width="16.26953125" style="6" customWidth="1"/>
    <col min="3" max="13" width="10.7265625" style="6" customWidth="1"/>
    <col min="14" max="14" width="6.1796875" style="6" customWidth="1"/>
    <col min="15" max="15" width="30.54296875" style="6" customWidth="1"/>
    <col min="16" max="16384" width="8.81640625" style="6"/>
  </cols>
  <sheetData>
    <row r="1" spans="1:15" ht="15" customHeight="1" x14ac:dyDescent="0.25">
      <c r="A1" s="334"/>
      <c r="B1" s="334"/>
      <c r="C1" s="334"/>
      <c r="D1" s="334"/>
      <c r="E1" s="334"/>
      <c r="F1" s="334"/>
      <c r="G1" s="334"/>
      <c r="H1" s="334"/>
      <c r="I1" s="334"/>
      <c r="J1" s="334"/>
      <c r="K1" s="334"/>
      <c r="L1" s="334"/>
      <c r="M1" s="334"/>
      <c r="N1" s="334"/>
      <c r="O1" s="334"/>
    </row>
    <row r="2" spans="1:15" ht="13.15" customHeight="1" x14ac:dyDescent="0.25">
      <c r="A2" s="126"/>
      <c r="B2" s="123"/>
      <c r="C2" s="123"/>
      <c r="D2" s="123"/>
      <c r="E2" s="123"/>
      <c r="F2" s="123"/>
      <c r="G2" s="123"/>
      <c r="H2" s="123"/>
      <c r="I2" s="123"/>
      <c r="J2" s="123"/>
      <c r="K2" s="123"/>
      <c r="L2" s="123"/>
      <c r="M2" s="123"/>
      <c r="N2" s="123"/>
      <c r="O2" s="123"/>
    </row>
    <row r="3" spans="1:15" ht="18" customHeight="1" x14ac:dyDescent="0.25">
      <c r="A3" s="126"/>
      <c r="B3" s="130" t="s">
        <v>115</v>
      </c>
      <c r="C3" s="339">
        <f>INPUTS!C3</f>
        <v>0</v>
      </c>
      <c r="D3" s="339"/>
      <c r="E3" s="339"/>
      <c r="F3" s="339"/>
      <c r="G3" s="339"/>
      <c r="H3" s="123"/>
      <c r="I3" s="123"/>
      <c r="J3" s="123"/>
      <c r="K3" s="123"/>
      <c r="L3" s="131" t="s">
        <v>117</v>
      </c>
      <c r="M3" s="341">
        <f>INPUTS!I5</f>
        <v>0</v>
      </c>
      <c r="N3" s="341"/>
      <c r="O3" s="341"/>
    </row>
    <row r="4" spans="1:15" ht="18" customHeight="1" x14ac:dyDescent="0.25">
      <c r="A4" s="126"/>
      <c r="B4" s="130" t="s">
        <v>89</v>
      </c>
      <c r="C4" s="340">
        <f>INPUTS!C4</f>
        <v>0</v>
      </c>
      <c r="D4" s="340"/>
      <c r="E4" s="340"/>
      <c r="F4" s="340"/>
      <c r="G4" s="340"/>
      <c r="H4" s="123"/>
      <c r="I4" s="123"/>
      <c r="J4" s="123"/>
      <c r="K4" s="123"/>
      <c r="L4" s="131" t="s">
        <v>118</v>
      </c>
      <c r="M4" s="132" t="s">
        <v>63</v>
      </c>
      <c r="N4" s="132"/>
      <c r="O4" s="132"/>
    </row>
    <row r="5" spans="1:15" ht="18" customHeight="1" x14ac:dyDescent="0.25">
      <c r="A5" s="126"/>
      <c r="B5" s="130" t="s">
        <v>116</v>
      </c>
      <c r="C5" s="340">
        <f>INPUTS!I4</f>
        <v>0</v>
      </c>
      <c r="D5" s="340"/>
      <c r="E5" s="340"/>
      <c r="F5" s="340"/>
      <c r="G5" s="340"/>
      <c r="H5" s="123"/>
      <c r="I5" s="123"/>
      <c r="J5" s="123"/>
      <c r="K5" s="123"/>
      <c r="L5" s="131" t="s">
        <v>119</v>
      </c>
      <c r="M5" s="132" t="s">
        <v>42</v>
      </c>
      <c r="N5" s="132"/>
      <c r="O5" s="132"/>
    </row>
    <row r="6" spans="1:15" ht="18" customHeight="1" x14ac:dyDescent="0.25">
      <c r="A6" s="126"/>
      <c r="B6" s="130" t="s">
        <v>114</v>
      </c>
      <c r="C6" s="343">
        <f>INPUTS!I3</f>
        <v>0</v>
      </c>
      <c r="D6" s="343"/>
      <c r="E6" s="343"/>
      <c r="F6" s="343"/>
      <c r="G6" s="343"/>
      <c r="H6" s="123"/>
      <c r="I6" s="123"/>
      <c r="J6" s="123"/>
      <c r="K6" s="123"/>
      <c r="L6" s="131" t="s">
        <v>120</v>
      </c>
      <c r="M6" s="133" t="s">
        <v>62</v>
      </c>
      <c r="N6" s="132"/>
      <c r="O6" s="132"/>
    </row>
    <row r="7" spans="1:15" ht="13.15" customHeight="1" x14ac:dyDescent="0.25">
      <c r="A7" s="126"/>
      <c r="B7" s="124"/>
      <c r="C7" s="125"/>
      <c r="D7" s="123"/>
      <c r="E7" s="123"/>
      <c r="F7" s="123"/>
      <c r="G7" s="123"/>
      <c r="H7" s="123"/>
      <c r="I7" s="123"/>
      <c r="J7" s="123"/>
      <c r="K7" s="123"/>
      <c r="L7" s="123"/>
      <c r="M7" s="123"/>
      <c r="N7" s="123"/>
      <c r="O7" s="123"/>
    </row>
    <row r="8" spans="1:15" ht="15" customHeight="1" x14ac:dyDescent="0.25">
      <c r="A8" s="334"/>
      <c r="B8" s="334"/>
      <c r="C8" s="334"/>
      <c r="D8" s="334"/>
      <c r="E8" s="334"/>
      <c r="F8" s="334"/>
      <c r="G8" s="334"/>
      <c r="H8" s="334"/>
      <c r="I8" s="334"/>
      <c r="J8" s="334"/>
      <c r="K8" s="334"/>
      <c r="L8" s="334"/>
      <c r="M8" s="334"/>
      <c r="N8" s="334"/>
      <c r="O8" s="334"/>
    </row>
    <row r="9" spans="1:15" ht="36" customHeight="1" thickBot="1" x14ac:dyDescent="0.3">
      <c r="B9" s="87"/>
      <c r="C9" s="88"/>
      <c r="D9" s="88"/>
      <c r="E9" s="88"/>
      <c r="F9" s="88"/>
      <c r="G9" s="88"/>
      <c r="H9" s="88"/>
      <c r="I9" s="88"/>
      <c r="J9" s="88"/>
      <c r="K9" s="88"/>
      <c r="L9" s="88"/>
      <c r="M9" s="88"/>
      <c r="N9" s="88"/>
      <c r="O9" s="88"/>
    </row>
    <row r="10" spans="1:15" ht="25.9" customHeight="1" x14ac:dyDescent="0.4">
      <c r="A10" s="113"/>
      <c r="B10" s="337" t="s">
        <v>60</v>
      </c>
      <c r="C10" s="337"/>
      <c r="D10" s="337"/>
      <c r="E10" s="337"/>
      <c r="F10" s="337"/>
      <c r="G10" s="337"/>
      <c r="H10" s="337"/>
      <c r="I10" s="337"/>
      <c r="J10" s="337"/>
      <c r="K10" s="337"/>
      <c r="L10" s="337"/>
      <c r="M10" s="338"/>
      <c r="N10" s="346"/>
      <c r="O10" s="82" t="s">
        <v>53</v>
      </c>
    </row>
    <row r="11" spans="1:15" ht="10.15" customHeight="1" x14ac:dyDescent="0.4">
      <c r="A11" s="89"/>
      <c r="B11" s="111"/>
      <c r="C11" s="111"/>
      <c r="D11" s="111"/>
      <c r="E11" s="111"/>
      <c r="F11" s="111"/>
      <c r="G11" s="111"/>
      <c r="H11" s="111"/>
      <c r="I11" s="111"/>
      <c r="J11" s="111"/>
      <c r="K11" s="111"/>
      <c r="L11" s="111"/>
      <c r="M11" s="112"/>
      <c r="N11" s="346"/>
      <c r="O11" s="27"/>
    </row>
    <row r="12" spans="1:15" ht="21" customHeight="1" x14ac:dyDescent="0.25">
      <c r="A12" s="89"/>
      <c r="B12" s="28"/>
      <c r="C12" s="28"/>
      <c r="D12" s="28"/>
      <c r="E12" s="28"/>
      <c r="F12" s="28"/>
      <c r="G12" s="28"/>
      <c r="H12" s="28"/>
      <c r="I12" s="28"/>
      <c r="J12" s="28"/>
      <c r="K12" s="28"/>
      <c r="L12" s="28"/>
      <c r="M12" s="90"/>
      <c r="N12" s="346"/>
      <c r="O12" s="108" t="e">
        <f>1-DETAIL!O35/DETAIL!O17</f>
        <v>#DIV/0!</v>
      </c>
    </row>
    <row r="13" spans="1:15" ht="15" customHeight="1" x14ac:dyDescent="0.25">
      <c r="A13" s="89"/>
      <c r="B13" s="28"/>
      <c r="C13" s="28"/>
      <c r="D13" s="28"/>
      <c r="E13" s="28"/>
      <c r="F13" s="28"/>
      <c r="G13" s="28"/>
      <c r="H13" s="28"/>
      <c r="I13" s="28"/>
      <c r="J13" s="28"/>
      <c r="K13" s="28"/>
      <c r="L13" s="28"/>
      <c r="M13" s="90"/>
      <c r="N13" s="346"/>
      <c r="O13" s="109" t="s">
        <v>56</v>
      </c>
    </row>
    <row r="14" spans="1:15" ht="10.15" customHeight="1" x14ac:dyDescent="0.25">
      <c r="A14" s="89"/>
      <c r="B14" s="28"/>
      <c r="C14" s="28"/>
      <c r="D14" s="28"/>
      <c r="E14" s="28"/>
      <c r="F14" s="28"/>
      <c r="G14" s="28"/>
      <c r="H14" s="28"/>
      <c r="I14" s="28"/>
      <c r="J14" s="28"/>
      <c r="K14" s="28"/>
      <c r="L14" s="28"/>
      <c r="M14" s="90"/>
      <c r="N14" s="346"/>
      <c r="O14" s="27"/>
    </row>
    <row r="15" spans="1:15" ht="21" customHeight="1" x14ac:dyDescent="0.25">
      <c r="A15" s="89"/>
      <c r="B15" s="28"/>
      <c r="C15" s="28"/>
      <c r="D15" s="28"/>
      <c r="E15" s="28"/>
      <c r="F15" s="28"/>
      <c r="G15" s="28"/>
      <c r="H15" s="28"/>
      <c r="I15" s="28"/>
      <c r="J15" s="28"/>
      <c r="K15" s="28"/>
      <c r="L15" s="28"/>
      <c r="M15" s="90"/>
      <c r="N15" s="346"/>
      <c r="O15" s="107">
        <f>(DETAIL!O17-DETAIL!O35)*(10)</f>
        <v>0</v>
      </c>
    </row>
    <row r="16" spans="1:15" ht="15" customHeight="1" x14ac:dyDescent="0.25">
      <c r="A16" s="89"/>
      <c r="B16" s="28"/>
      <c r="C16" s="28"/>
      <c r="D16" s="28"/>
      <c r="E16" s="28"/>
      <c r="F16" s="28"/>
      <c r="G16" s="28"/>
      <c r="H16" s="28"/>
      <c r="I16" s="28"/>
      <c r="J16" s="28"/>
      <c r="K16" s="28"/>
      <c r="L16" s="28"/>
      <c r="M16" s="90"/>
      <c r="N16" s="346"/>
      <c r="O16" s="109" t="s">
        <v>54</v>
      </c>
    </row>
    <row r="17" spans="1:15" ht="10.15" customHeight="1" thickBot="1" x14ac:dyDescent="0.3">
      <c r="A17" s="89"/>
      <c r="B17" s="28"/>
      <c r="C17" s="28"/>
      <c r="D17" s="28"/>
      <c r="E17" s="28"/>
      <c r="F17" s="28"/>
      <c r="G17" s="28"/>
      <c r="H17" s="28"/>
      <c r="I17" s="28"/>
      <c r="J17" s="28"/>
      <c r="K17" s="28"/>
      <c r="L17" s="28"/>
      <c r="M17" s="90"/>
      <c r="N17" s="346"/>
      <c r="O17" s="91"/>
    </row>
    <row r="18" spans="1:15" ht="25.15" customHeight="1" thickBot="1" x14ac:dyDescent="0.3">
      <c r="A18" s="89"/>
      <c r="B18" s="28"/>
      <c r="C18" s="28"/>
      <c r="D18" s="28"/>
      <c r="E18" s="28"/>
      <c r="F18" s="28"/>
      <c r="G18" s="28"/>
      <c r="H18" s="28"/>
      <c r="I18" s="28"/>
      <c r="J18" s="28"/>
      <c r="K18" s="28"/>
      <c r="L18" s="28"/>
      <c r="M18" s="90"/>
      <c r="N18" s="346"/>
      <c r="O18" s="92"/>
    </row>
    <row r="19" spans="1:15" ht="25.9" customHeight="1" x14ac:dyDescent="0.25">
      <c r="A19" s="89"/>
      <c r="B19" s="28"/>
      <c r="C19" s="28"/>
      <c r="D19" s="28"/>
      <c r="E19" s="28"/>
      <c r="F19" s="28"/>
      <c r="G19" s="28"/>
      <c r="H19" s="28"/>
      <c r="I19" s="28"/>
      <c r="J19" s="28"/>
      <c r="K19" s="28"/>
      <c r="L19" s="28"/>
      <c r="M19" s="90"/>
      <c r="N19" s="346"/>
      <c r="O19" s="83" t="s">
        <v>189</v>
      </c>
    </row>
    <row r="20" spans="1:15" ht="10.15" customHeight="1" x14ac:dyDescent="0.25">
      <c r="A20" s="89"/>
      <c r="B20" s="28"/>
      <c r="C20" s="28"/>
      <c r="D20" s="28"/>
      <c r="E20" s="28"/>
      <c r="F20" s="28"/>
      <c r="G20" s="28"/>
      <c r="H20" s="28"/>
      <c r="I20" s="28"/>
      <c r="J20" s="28"/>
      <c r="K20" s="28"/>
      <c r="L20" s="28"/>
      <c r="M20" s="90"/>
      <c r="N20" s="346"/>
      <c r="O20" s="27"/>
    </row>
    <row r="21" spans="1:15" ht="27" customHeight="1" x14ac:dyDescent="0.25">
      <c r="A21" s="89"/>
      <c r="B21" s="28"/>
      <c r="C21" s="28"/>
      <c r="D21" s="28"/>
      <c r="E21" s="28"/>
      <c r="F21" s="28"/>
      <c r="G21" s="28"/>
      <c r="H21" s="28"/>
      <c r="I21" s="28"/>
      <c r="J21" s="28"/>
      <c r="K21" s="28"/>
      <c r="L21" s="28"/>
      <c r="M21" s="90"/>
      <c r="N21" s="346"/>
      <c r="O21" s="106" t="e">
        <f>VLOOKUP(0,'GRAPH DATA'!A27:H266,8)</f>
        <v>#N/A</v>
      </c>
    </row>
    <row r="22" spans="1:15" ht="15" customHeight="1" x14ac:dyDescent="0.25">
      <c r="A22" s="89"/>
      <c r="B22" s="28"/>
      <c r="C22" s="28"/>
      <c r="D22" s="28"/>
      <c r="E22" s="28"/>
      <c r="F22" s="28"/>
      <c r="G22" s="28"/>
      <c r="H22" s="28"/>
      <c r="I22" s="28"/>
      <c r="J22" s="28"/>
      <c r="K22" s="28"/>
      <c r="L22" s="28"/>
      <c r="M22" s="90"/>
      <c r="N22" s="346"/>
      <c r="O22" s="134">
        <f>INPUTS!J33</f>
        <v>365</v>
      </c>
    </row>
    <row r="23" spans="1:15" ht="10.15" customHeight="1" thickBot="1" x14ac:dyDescent="0.3">
      <c r="A23" s="89"/>
      <c r="B23" s="28"/>
      <c r="C23" s="28"/>
      <c r="D23" s="28"/>
      <c r="E23" s="28"/>
      <c r="F23" s="28"/>
      <c r="G23" s="28"/>
      <c r="H23" s="28"/>
      <c r="I23" s="28"/>
      <c r="J23" s="28"/>
      <c r="K23" s="28"/>
      <c r="L23" s="28"/>
      <c r="M23" s="90"/>
      <c r="N23" s="346"/>
      <c r="O23" s="93"/>
    </row>
    <row r="24" spans="1:15" ht="25.15" customHeight="1" thickBot="1" x14ac:dyDescent="0.3">
      <c r="A24" s="89"/>
      <c r="B24" s="28"/>
      <c r="C24" s="28"/>
      <c r="D24" s="28"/>
      <c r="E24" s="28"/>
      <c r="F24" s="28"/>
      <c r="G24" s="28"/>
      <c r="H24" s="28"/>
      <c r="I24" s="28"/>
      <c r="J24" s="28"/>
      <c r="K24" s="28"/>
      <c r="L24" s="28"/>
      <c r="M24" s="90"/>
      <c r="N24" s="346"/>
      <c r="O24" s="94"/>
    </row>
    <row r="25" spans="1:15" ht="25.9" customHeight="1" thickBot="1" x14ac:dyDescent="0.3">
      <c r="A25" s="89"/>
      <c r="B25" s="28"/>
      <c r="C25" s="28"/>
      <c r="D25" s="28"/>
      <c r="E25" s="28"/>
      <c r="F25" s="28"/>
      <c r="G25" s="28"/>
      <c r="H25" s="28"/>
      <c r="I25" s="28"/>
      <c r="J25" s="28"/>
      <c r="K25" s="28"/>
      <c r="L25" s="28"/>
      <c r="M25" s="90"/>
      <c r="N25" s="346"/>
      <c r="O25" s="84" t="s">
        <v>61</v>
      </c>
    </row>
    <row r="26" spans="1:15" ht="10.15" customHeight="1" x14ac:dyDescent="0.25">
      <c r="A26" s="89"/>
      <c r="B26" s="28"/>
      <c r="C26" s="28"/>
      <c r="D26" s="28"/>
      <c r="E26" s="28"/>
      <c r="F26" s="28"/>
      <c r="G26" s="28"/>
      <c r="H26" s="28"/>
      <c r="I26" s="28"/>
      <c r="J26" s="28"/>
      <c r="K26" s="28"/>
      <c r="L26" s="28"/>
      <c r="M26" s="90"/>
      <c r="N26" s="346"/>
      <c r="O26" s="95"/>
    </row>
    <row r="27" spans="1:15" ht="21" customHeight="1" x14ac:dyDescent="0.25">
      <c r="A27" s="89"/>
      <c r="B27" s="28"/>
      <c r="C27" s="28"/>
      <c r="D27" s="28"/>
      <c r="E27" s="28"/>
      <c r="F27" s="28"/>
      <c r="G27" s="28"/>
      <c r="H27" s="28"/>
      <c r="I27" s="28"/>
      <c r="J27" s="28"/>
      <c r="K27" s="28"/>
      <c r="L27" s="28"/>
      <c r="M27" s="90"/>
      <c r="N27" s="346"/>
      <c r="O27" s="105" t="e">
        <f>1-DETAIL!W35/DETAIL!W17</f>
        <v>#DIV/0!</v>
      </c>
    </row>
    <row r="28" spans="1:15" ht="15" customHeight="1" x14ac:dyDescent="0.25">
      <c r="A28" s="89"/>
      <c r="B28" s="28"/>
      <c r="C28" s="28"/>
      <c r="D28" s="28"/>
      <c r="E28" s="28"/>
      <c r="F28" s="28"/>
      <c r="G28" s="28"/>
      <c r="H28" s="28"/>
      <c r="I28" s="28"/>
      <c r="J28" s="28"/>
      <c r="K28" s="28"/>
      <c r="L28" s="28"/>
      <c r="M28" s="90"/>
      <c r="N28" s="346"/>
      <c r="O28" s="109" t="s">
        <v>55</v>
      </c>
    </row>
    <row r="29" spans="1:15" ht="10.15" customHeight="1" x14ac:dyDescent="0.25">
      <c r="A29" s="89"/>
      <c r="B29" s="28"/>
      <c r="C29" s="28"/>
      <c r="D29" s="28"/>
      <c r="E29" s="28"/>
      <c r="F29" s="28"/>
      <c r="G29" s="28"/>
      <c r="H29" s="28"/>
      <c r="I29" s="28"/>
      <c r="J29" s="28"/>
      <c r="K29" s="28"/>
      <c r="L29" s="28"/>
      <c r="M29" s="90"/>
      <c r="N29" s="346"/>
      <c r="O29" s="96"/>
    </row>
    <row r="30" spans="1:15" ht="21" customHeight="1" x14ac:dyDescent="0.25">
      <c r="A30" s="89"/>
      <c r="B30" s="28"/>
      <c r="C30" s="28"/>
      <c r="D30" s="28"/>
      <c r="E30" s="28"/>
      <c r="F30" s="28"/>
      <c r="G30" s="28"/>
      <c r="H30" s="28"/>
      <c r="I30" s="28"/>
      <c r="J30" s="28"/>
      <c r="K30" s="28"/>
      <c r="L30" s="28"/>
      <c r="M30" s="90"/>
      <c r="N30" s="346"/>
      <c r="O30" s="104">
        <f>SUMMARY!E24/0.1</f>
        <v>0</v>
      </c>
    </row>
    <row r="31" spans="1:15" ht="15" customHeight="1" x14ac:dyDescent="0.25">
      <c r="A31" s="89"/>
      <c r="B31" s="28"/>
      <c r="C31" s="28"/>
      <c r="D31" s="28"/>
      <c r="E31" s="28"/>
      <c r="F31" s="28"/>
      <c r="G31" s="28"/>
      <c r="H31" s="28"/>
      <c r="I31" s="28"/>
      <c r="J31" s="28"/>
      <c r="K31" s="28"/>
      <c r="L31" s="28"/>
      <c r="M31" s="90"/>
      <c r="N31" s="346"/>
      <c r="O31" s="110" t="s">
        <v>147</v>
      </c>
    </row>
    <row r="32" spans="1:15" ht="10.15" customHeight="1" thickBot="1" x14ac:dyDescent="0.3">
      <c r="A32" s="97"/>
      <c r="B32" s="98"/>
      <c r="C32" s="98"/>
      <c r="D32" s="98"/>
      <c r="E32" s="98"/>
      <c r="F32" s="98"/>
      <c r="G32" s="98"/>
      <c r="H32" s="98"/>
      <c r="I32" s="98"/>
      <c r="J32" s="98"/>
      <c r="K32" s="98"/>
      <c r="L32" s="98"/>
      <c r="M32" s="99"/>
      <c r="N32" s="346"/>
      <c r="O32" s="93"/>
    </row>
    <row r="33" spans="1:15" ht="36" customHeight="1" x14ac:dyDescent="0.25">
      <c r="B33" s="345"/>
      <c r="C33" s="345"/>
      <c r="D33" s="345"/>
      <c r="E33" s="345"/>
      <c r="F33" s="345"/>
      <c r="G33" s="345"/>
      <c r="H33" s="345"/>
      <c r="I33" s="345"/>
      <c r="J33" s="345"/>
      <c r="K33" s="345"/>
      <c r="L33" s="345"/>
      <c r="M33" s="345"/>
      <c r="N33" s="345"/>
      <c r="O33" s="345"/>
    </row>
    <row r="34" spans="1:15" ht="15" customHeight="1" x14ac:dyDescent="0.25">
      <c r="A34" s="334"/>
      <c r="B34" s="334"/>
      <c r="C34" s="334"/>
      <c r="D34" s="334"/>
      <c r="E34" s="334"/>
      <c r="F34" s="334"/>
      <c r="G34" s="334"/>
      <c r="H34" s="334"/>
      <c r="I34" s="334"/>
      <c r="J34" s="334"/>
      <c r="K34" s="334"/>
      <c r="L34" s="334"/>
      <c r="M34" s="334"/>
      <c r="N34" s="334"/>
      <c r="O34" s="334"/>
    </row>
    <row r="35" spans="1:15" ht="24" customHeight="1" x14ac:dyDescent="0.25">
      <c r="A35" s="126"/>
      <c r="B35" s="127"/>
      <c r="C35" s="128" t="s">
        <v>149</v>
      </c>
      <c r="D35" s="128" t="s">
        <v>43</v>
      </c>
      <c r="E35" s="128" t="s">
        <v>44</v>
      </c>
      <c r="F35" s="128" t="s">
        <v>45</v>
      </c>
      <c r="G35" s="128" t="s">
        <v>46</v>
      </c>
      <c r="H35" s="128" t="s">
        <v>47</v>
      </c>
      <c r="I35" s="128" t="s">
        <v>48</v>
      </c>
      <c r="J35" s="128" t="s">
        <v>49</v>
      </c>
      <c r="K35" s="128" t="s">
        <v>50</v>
      </c>
      <c r="L35" s="128" t="s">
        <v>51</v>
      </c>
      <c r="M35" s="128" t="s">
        <v>52</v>
      </c>
      <c r="N35" s="123"/>
      <c r="O35" s="126"/>
    </row>
    <row r="36" spans="1:15" ht="21" customHeight="1" x14ac:dyDescent="0.25">
      <c r="A36" s="126"/>
      <c r="B36" s="85" t="s">
        <v>145</v>
      </c>
      <c r="C36" s="100">
        <f>SUMMARY!D9</f>
        <v>1710.0015504</v>
      </c>
      <c r="D36" s="100">
        <f>'GRAPH DATA'!B23</f>
        <v>1710.0015504</v>
      </c>
      <c r="E36" s="100">
        <f>'GRAPH DATA'!C23</f>
        <v>1710.0015504</v>
      </c>
      <c r="F36" s="100">
        <f>'GRAPH DATA'!D23</f>
        <v>1710.0015504</v>
      </c>
      <c r="G36" s="100">
        <f>'GRAPH DATA'!E23</f>
        <v>1710.0015504</v>
      </c>
      <c r="H36" s="100">
        <f>'GRAPH DATA'!F23</f>
        <v>1710.0015504</v>
      </c>
      <c r="I36" s="100">
        <f>'GRAPH DATA'!G23</f>
        <v>1710.0015504</v>
      </c>
      <c r="J36" s="100">
        <f>'GRAPH DATA'!H23</f>
        <v>1710.0015504</v>
      </c>
      <c r="K36" s="100">
        <f>'GRAPH DATA'!I23</f>
        <v>1710.0015504</v>
      </c>
      <c r="L36" s="100">
        <f>'GRAPH DATA'!J23</f>
        <v>1710.0015504</v>
      </c>
      <c r="M36" s="101">
        <f>'GRAPH DATA'!K23</f>
        <v>1710.0015504</v>
      </c>
      <c r="N36" s="123"/>
      <c r="O36" s="126"/>
    </row>
    <row r="37" spans="1:15" ht="21" customHeight="1" x14ac:dyDescent="0.25">
      <c r="A37" s="126"/>
      <c r="B37" s="86" t="s">
        <v>146</v>
      </c>
      <c r="C37" s="102">
        <f>SUMMARY!C9</f>
        <v>0</v>
      </c>
      <c r="D37" s="102">
        <f>+'GRAPH DATA'!B11</f>
        <v>0</v>
      </c>
      <c r="E37" s="102">
        <f>+'GRAPH DATA'!C11</f>
        <v>0</v>
      </c>
      <c r="F37" s="102">
        <f>+'GRAPH DATA'!D11</f>
        <v>0</v>
      </c>
      <c r="G37" s="102">
        <f>+'GRAPH DATA'!E11</f>
        <v>0</v>
      </c>
      <c r="H37" s="102">
        <f>+'GRAPH DATA'!F11</f>
        <v>0</v>
      </c>
      <c r="I37" s="102">
        <f>+'GRAPH DATA'!G11</f>
        <v>0</v>
      </c>
      <c r="J37" s="102">
        <f>+'GRAPH DATA'!H11</f>
        <v>0</v>
      </c>
      <c r="K37" s="102">
        <f>+'GRAPH DATA'!I11</f>
        <v>0</v>
      </c>
      <c r="L37" s="102">
        <f>+'GRAPH DATA'!J11</f>
        <v>0</v>
      </c>
      <c r="M37" s="103">
        <f>+'GRAPH DATA'!K11</f>
        <v>0</v>
      </c>
      <c r="N37" s="129"/>
      <c r="O37" s="126"/>
    </row>
    <row r="38" spans="1:15" ht="54" customHeight="1" x14ac:dyDescent="0.25">
      <c r="A38" s="126"/>
      <c r="B38" s="336" t="s">
        <v>148</v>
      </c>
      <c r="C38" s="336"/>
      <c r="D38" s="336"/>
      <c r="E38" s="336"/>
      <c r="F38" s="336"/>
      <c r="G38" s="336"/>
      <c r="H38" s="336"/>
      <c r="I38" s="336"/>
      <c r="J38" s="336"/>
      <c r="K38" s="335">
        <f>M37-M36</f>
        <v>-1710.0015504</v>
      </c>
      <c r="L38" s="335"/>
      <c r="M38" s="335"/>
      <c r="N38" s="123"/>
      <c r="O38" s="126"/>
    </row>
    <row r="39" spans="1:15" ht="15" customHeight="1" x14ac:dyDescent="0.25">
      <c r="A39" s="334"/>
      <c r="B39" s="334"/>
      <c r="C39" s="334"/>
      <c r="D39" s="334"/>
      <c r="E39" s="334"/>
      <c r="F39" s="334"/>
      <c r="G39" s="334"/>
      <c r="H39" s="334"/>
      <c r="I39" s="334"/>
      <c r="J39" s="334"/>
      <c r="K39" s="334"/>
      <c r="L39" s="334"/>
      <c r="M39" s="334"/>
      <c r="N39" s="334"/>
      <c r="O39" s="334"/>
    </row>
    <row r="40" spans="1:15" ht="43.15" customHeight="1" x14ac:dyDescent="0.25">
      <c r="B40" s="19"/>
      <c r="C40" s="344"/>
      <c r="D40" s="344"/>
      <c r="E40" s="344"/>
      <c r="F40" s="344"/>
      <c r="G40" s="344"/>
      <c r="H40" s="344"/>
      <c r="I40" s="344"/>
      <c r="J40" s="344"/>
      <c r="K40" s="344"/>
      <c r="L40" s="344"/>
      <c r="M40" s="344"/>
      <c r="N40" s="344"/>
      <c r="O40" s="344"/>
    </row>
    <row r="42" spans="1:15" ht="13" x14ac:dyDescent="0.25">
      <c r="I42" s="342"/>
      <c r="J42" s="342"/>
      <c r="K42" s="342"/>
      <c r="L42" s="342"/>
      <c r="M42" s="342"/>
      <c r="N42" s="342"/>
    </row>
  </sheetData>
  <sheetProtection selectLockedCells="1" selectUnlockedCells="1"/>
  <mergeCells count="16">
    <mergeCell ref="I42:N42"/>
    <mergeCell ref="C6:G6"/>
    <mergeCell ref="C40:O40"/>
    <mergeCell ref="B33:O33"/>
    <mergeCell ref="N10:N32"/>
    <mergeCell ref="A34:O34"/>
    <mergeCell ref="A39:O39"/>
    <mergeCell ref="A8:O8"/>
    <mergeCell ref="A1:O1"/>
    <mergeCell ref="K38:M38"/>
    <mergeCell ref="B38:J38"/>
    <mergeCell ref="B10:M10"/>
    <mergeCell ref="C3:G3"/>
    <mergeCell ref="C4:G4"/>
    <mergeCell ref="C5:G5"/>
    <mergeCell ref="M3:O3"/>
  </mergeCells>
  <phoneticPr fontId="13" type="noConversion"/>
  <hyperlinks>
    <hyperlink ref="M6" r:id="rId1" xr:uid="{00000000-0004-0000-0100-000000000000}"/>
  </hyperlinks>
  <printOptions horizontalCentered="1"/>
  <pageMargins left="0.25" right="0.25" top="0.35" bottom="0.24" header="0.24" footer="0.25"/>
  <pageSetup scale="77" orientation="landscape" r:id="rId2"/>
  <headerFooter>
    <oddFooter>&amp;L   &amp;D    © Copyright Neptune-Benson, Inc.  All rights reserved.</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72"/>
  <sheetViews>
    <sheetView zoomScaleNormal="100" workbookViewId="0">
      <selection activeCell="C5" sqref="C5"/>
    </sheetView>
  </sheetViews>
  <sheetFormatPr defaultColWidth="8.81640625" defaultRowHeight="12.5" x14ac:dyDescent="0.25"/>
  <cols>
    <col min="1" max="1" width="3.7265625" style="6" customWidth="1"/>
    <col min="2" max="2" width="37.7265625" style="6" customWidth="1"/>
    <col min="3" max="5" width="30.7265625" style="6" customWidth="1"/>
    <col min="6" max="6" width="8.81640625" style="6"/>
    <col min="7" max="7" width="14" style="6" bestFit="1" customWidth="1"/>
    <col min="8" max="8" width="11.453125" style="6" customWidth="1"/>
    <col min="9" max="17" width="11.54296875" style="6" bestFit="1" customWidth="1"/>
    <col min="18" max="16384" width="8.81640625" style="6"/>
  </cols>
  <sheetData>
    <row r="1" spans="1:16" s="72" customFormat="1" ht="102" customHeight="1" x14ac:dyDescent="0.85">
      <c r="A1" s="71"/>
      <c r="B1" s="347" t="s">
        <v>143</v>
      </c>
      <c r="C1" s="347"/>
      <c r="D1" s="347"/>
      <c r="E1" s="347"/>
      <c r="F1" s="71"/>
      <c r="G1" s="71"/>
      <c r="H1" s="71"/>
      <c r="I1" s="71"/>
      <c r="J1" s="71"/>
      <c r="K1" s="71"/>
      <c r="L1" s="71"/>
      <c r="M1" s="71"/>
      <c r="N1" s="71"/>
      <c r="O1" s="71"/>
      <c r="P1" s="71"/>
    </row>
    <row r="2" spans="1:16" s="72" customFormat="1" ht="20.5" customHeight="1" x14ac:dyDescent="0.85">
      <c r="A2" s="71"/>
      <c r="B2" s="74"/>
      <c r="C2" s="74"/>
      <c r="D2" s="74"/>
      <c r="E2" s="74"/>
      <c r="F2" s="71"/>
      <c r="G2" s="71"/>
      <c r="H2" s="71"/>
      <c r="I2" s="71"/>
      <c r="J2" s="71"/>
      <c r="K2" s="71"/>
      <c r="L2" s="71"/>
      <c r="M2" s="71"/>
      <c r="N2" s="71"/>
      <c r="O2" s="71"/>
      <c r="P2" s="71"/>
    </row>
    <row r="3" spans="1:16" s="73" customFormat="1" ht="36" customHeight="1" x14ac:dyDescent="0.25">
      <c r="B3" s="351" t="s">
        <v>128</v>
      </c>
      <c r="C3" s="351"/>
      <c r="D3" s="351"/>
      <c r="E3" s="351"/>
    </row>
    <row r="4" spans="1:16" ht="36" customHeight="1" x14ac:dyDescent="0.25">
      <c r="B4" s="37" t="s">
        <v>5</v>
      </c>
      <c r="C4" s="26" t="s">
        <v>22</v>
      </c>
      <c r="D4" s="25" t="s">
        <v>23</v>
      </c>
      <c r="E4" s="45" t="s">
        <v>101</v>
      </c>
    </row>
    <row r="5" spans="1:16" ht="18" customHeight="1" x14ac:dyDescent="0.25">
      <c r="B5" s="11" t="s">
        <v>7</v>
      </c>
      <c r="C5" s="56">
        <f>DETAIL!I17</f>
        <v>0</v>
      </c>
      <c r="D5" s="56">
        <f>DETAIL!I35</f>
        <v>1710.0015504</v>
      </c>
      <c r="E5" s="57">
        <f>C5-D5</f>
        <v>-1710.0015504</v>
      </c>
    </row>
    <row r="6" spans="1:16" ht="18" customHeight="1" x14ac:dyDescent="0.25">
      <c r="B6" s="11" t="s">
        <v>2</v>
      </c>
      <c r="C6" s="56">
        <f>DETAIL!K17</f>
        <v>0</v>
      </c>
      <c r="D6" s="56">
        <f>DETAIL!K35</f>
        <v>0</v>
      </c>
      <c r="E6" s="57">
        <f>C6-D6</f>
        <v>0</v>
      </c>
    </row>
    <row r="7" spans="1:16" ht="18" customHeight="1" x14ac:dyDescent="0.25">
      <c r="B7" s="11" t="s">
        <v>15</v>
      </c>
      <c r="C7" s="56">
        <f>DETAIL!L17</f>
        <v>0</v>
      </c>
      <c r="D7" s="56">
        <v>0</v>
      </c>
      <c r="E7" s="57">
        <f>C7-D7</f>
        <v>0</v>
      </c>
    </row>
    <row r="8" spans="1:16" ht="18" customHeight="1" thickBot="1" x14ac:dyDescent="0.3">
      <c r="B8" s="33" t="s">
        <v>6</v>
      </c>
      <c r="C8" s="58">
        <f>DETAIL!N17</f>
        <v>0</v>
      </c>
      <c r="D8" s="58">
        <f>DETAIL!N35</f>
        <v>0</v>
      </c>
      <c r="E8" s="59">
        <f>C8-D8</f>
        <v>0</v>
      </c>
    </row>
    <row r="9" spans="1:16" ht="18" customHeight="1" thickBot="1" x14ac:dyDescent="0.3">
      <c r="B9" s="44" t="s">
        <v>105</v>
      </c>
      <c r="C9" s="60">
        <f>SUM(C5:C8)</f>
        <v>0</v>
      </c>
      <c r="D9" s="61">
        <f>SUM(D5:D8)</f>
        <v>1710.0015504</v>
      </c>
      <c r="E9" s="62">
        <f>C9-D9</f>
        <v>-1710.0015504</v>
      </c>
    </row>
    <row r="10" spans="1:16" ht="18" customHeight="1" x14ac:dyDescent="0.25">
      <c r="B10" s="53"/>
      <c r="C10" s="54"/>
      <c r="D10" s="54"/>
      <c r="E10" s="55"/>
    </row>
    <row r="11" spans="1:16" s="30" customFormat="1" ht="36" customHeight="1" x14ac:dyDescent="0.25">
      <c r="B11" s="352" t="s">
        <v>127</v>
      </c>
      <c r="C11" s="353"/>
      <c r="D11" s="353"/>
      <c r="E11" s="353"/>
    </row>
    <row r="12" spans="1:16" ht="36" customHeight="1" x14ac:dyDescent="0.25">
      <c r="B12" s="37" t="s">
        <v>5</v>
      </c>
      <c r="C12" s="26" t="s">
        <v>22</v>
      </c>
      <c r="D12" s="25" t="s">
        <v>23</v>
      </c>
      <c r="E12" s="45" t="s">
        <v>101</v>
      </c>
    </row>
    <row r="13" spans="1:16" ht="18" customHeight="1" x14ac:dyDescent="0.25">
      <c r="B13" s="11" t="s">
        <v>27</v>
      </c>
      <c r="C13" s="56">
        <f>DETAIL!W17</f>
        <v>0</v>
      </c>
      <c r="D13" s="56">
        <f>DETAIL!W35</f>
        <v>0</v>
      </c>
      <c r="E13" s="57">
        <f t="shared" ref="E13:E18" si="0">C13-D13</f>
        <v>0</v>
      </c>
    </row>
    <row r="14" spans="1:16" ht="18" customHeight="1" x14ac:dyDescent="0.25">
      <c r="B14" s="11" t="s">
        <v>8</v>
      </c>
      <c r="C14" s="56">
        <f>DETAIL!P17</f>
        <v>0</v>
      </c>
      <c r="D14" s="56">
        <f>DETAIL!P35</f>
        <v>0</v>
      </c>
      <c r="E14" s="57">
        <f t="shared" si="0"/>
        <v>0</v>
      </c>
    </row>
    <row r="15" spans="1:16" ht="18" customHeight="1" x14ac:dyDescent="0.25">
      <c r="B15" s="11" t="s">
        <v>134</v>
      </c>
      <c r="C15" s="56">
        <f>DETAIL!R17</f>
        <v>0</v>
      </c>
      <c r="D15" s="56">
        <f>DETAIL!R35</f>
        <v>0</v>
      </c>
      <c r="E15" s="57">
        <f t="shared" si="0"/>
        <v>0</v>
      </c>
    </row>
    <row r="16" spans="1:16" ht="18" customHeight="1" x14ac:dyDescent="0.25">
      <c r="B16" s="11" t="s">
        <v>135</v>
      </c>
      <c r="C16" s="56">
        <f>DETAIL!S17</f>
        <v>0</v>
      </c>
      <c r="D16" s="56">
        <f>DETAIL!S35</f>
        <v>0</v>
      </c>
      <c r="E16" s="57">
        <f t="shared" si="0"/>
        <v>0</v>
      </c>
    </row>
    <row r="17" spans="2:7" ht="18" customHeight="1" x14ac:dyDescent="0.25">
      <c r="B17" s="11" t="s">
        <v>138</v>
      </c>
      <c r="C17" s="56">
        <f>DETAIL!Q17</f>
        <v>0</v>
      </c>
      <c r="D17" s="56">
        <f>DETAIL!Q35</f>
        <v>0</v>
      </c>
      <c r="E17" s="57">
        <f t="shared" si="0"/>
        <v>0</v>
      </c>
    </row>
    <row r="18" spans="2:7" ht="18" customHeight="1" thickBot="1" x14ac:dyDescent="0.3">
      <c r="B18" s="34" t="s">
        <v>140</v>
      </c>
      <c r="C18" s="63">
        <v>0</v>
      </c>
      <c r="D18" s="63">
        <f>DETAIL!U35</f>
        <v>0</v>
      </c>
      <c r="E18" s="57">
        <f t="shared" si="0"/>
        <v>0</v>
      </c>
    </row>
    <row r="19" spans="2:7" ht="19.899999999999999" customHeight="1" thickBot="1" x14ac:dyDescent="0.3">
      <c r="B19" s="44" t="s">
        <v>104</v>
      </c>
      <c r="C19" s="60">
        <f>SUM(C13:C18)</f>
        <v>0</v>
      </c>
      <c r="D19" s="61">
        <f>SUM(D13:D18)</f>
        <v>0</v>
      </c>
      <c r="E19" s="62">
        <f>C19-D19</f>
        <v>0</v>
      </c>
    </row>
    <row r="20" spans="2:7" s="28" customFormat="1" ht="19.899999999999999" customHeight="1" x14ac:dyDescent="0.25">
      <c r="B20" s="32"/>
      <c r="C20" s="32"/>
      <c r="D20" s="32"/>
      <c r="E20" s="32"/>
    </row>
    <row r="21" spans="2:7" s="30" customFormat="1" ht="36" customHeight="1" thickBot="1" x14ac:dyDescent="0.3">
      <c r="B21" s="352" t="s">
        <v>39</v>
      </c>
      <c r="C21" s="353"/>
      <c r="D21" s="353"/>
      <c r="E21" s="353"/>
    </row>
    <row r="22" spans="2:7" ht="36" customHeight="1" x14ac:dyDescent="0.25">
      <c r="B22" s="41" t="s">
        <v>5</v>
      </c>
      <c r="C22" s="35" t="s">
        <v>22</v>
      </c>
      <c r="D22" s="36" t="s">
        <v>23</v>
      </c>
      <c r="E22" s="43" t="s">
        <v>101</v>
      </c>
    </row>
    <row r="23" spans="2:7" ht="18" customHeight="1" x14ac:dyDescent="0.25">
      <c r="B23" s="11" t="s">
        <v>102</v>
      </c>
      <c r="C23" s="56">
        <f>C9</f>
        <v>0</v>
      </c>
      <c r="D23" s="56">
        <f>D9</f>
        <v>1710.0015504</v>
      </c>
      <c r="E23" s="57">
        <f t="shared" ref="E23:E31" si="1">C23-D23</f>
        <v>-1710.0015504</v>
      </c>
    </row>
    <row r="24" spans="2:7" ht="18" customHeight="1" x14ac:dyDescent="0.25">
      <c r="B24" s="11" t="s">
        <v>132</v>
      </c>
      <c r="C24" s="56">
        <f>'GRAPH DATA'!K4</f>
        <v>0</v>
      </c>
      <c r="D24" s="56">
        <f>'GRAPH DATA'!K16</f>
        <v>0</v>
      </c>
      <c r="E24" s="57">
        <f t="shared" si="1"/>
        <v>0</v>
      </c>
    </row>
    <row r="25" spans="2:7" ht="18" customHeight="1" x14ac:dyDescent="0.25">
      <c r="B25" s="11" t="s">
        <v>20</v>
      </c>
      <c r="C25" s="56">
        <f>'GRAPH DATA'!K5</f>
        <v>0</v>
      </c>
      <c r="D25" s="56">
        <f>'GRAPH DATA'!K17</f>
        <v>0</v>
      </c>
      <c r="E25" s="57">
        <f t="shared" si="1"/>
        <v>0</v>
      </c>
    </row>
    <row r="26" spans="2:7" ht="18" customHeight="1" x14ac:dyDescent="0.25">
      <c r="B26" s="11" t="s">
        <v>136</v>
      </c>
      <c r="C26" s="56">
        <f>'GRAPH DATA'!K6</f>
        <v>0</v>
      </c>
      <c r="D26" s="56">
        <f>'GRAPH DATA'!K18</f>
        <v>0</v>
      </c>
      <c r="E26" s="57">
        <f t="shared" si="1"/>
        <v>0</v>
      </c>
    </row>
    <row r="27" spans="2:7" ht="18" customHeight="1" x14ac:dyDescent="0.25">
      <c r="B27" s="11" t="s">
        <v>137</v>
      </c>
      <c r="C27" s="56">
        <f>'GRAPH DATA'!K7</f>
        <v>0</v>
      </c>
      <c r="D27" s="56">
        <f>'GRAPH DATA'!K19</f>
        <v>0</v>
      </c>
      <c r="E27" s="57">
        <f t="shared" si="1"/>
        <v>0</v>
      </c>
    </row>
    <row r="28" spans="2:7" ht="18" customHeight="1" x14ac:dyDescent="0.25">
      <c r="B28" s="11" t="s">
        <v>139</v>
      </c>
      <c r="C28" s="56">
        <f>'GRAPH DATA'!K8</f>
        <v>0</v>
      </c>
      <c r="D28" s="56">
        <f>'GRAPH DATA'!K20</f>
        <v>0</v>
      </c>
      <c r="E28" s="57">
        <f t="shared" si="1"/>
        <v>0</v>
      </c>
    </row>
    <row r="29" spans="2:7" ht="18" customHeight="1" x14ac:dyDescent="0.25">
      <c r="B29" s="11" t="s">
        <v>133</v>
      </c>
      <c r="C29" s="56">
        <v>0</v>
      </c>
      <c r="D29" s="56">
        <f>'GRAPH DATA'!K21</f>
        <v>0</v>
      </c>
      <c r="E29" s="57">
        <f t="shared" si="1"/>
        <v>0</v>
      </c>
    </row>
    <row r="30" spans="2:7" ht="18" customHeight="1" x14ac:dyDescent="0.25">
      <c r="B30" s="11" t="s">
        <v>141</v>
      </c>
      <c r="C30" s="56">
        <f>'GRAPH DATA'!K9</f>
        <v>0</v>
      </c>
      <c r="D30" s="56">
        <v>0</v>
      </c>
      <c r="E30" s="57">
        <f t="shared" si="1"/>
        <v>0</v>
      </c>
    </row>
    <row r="31" spans="2:7" ht="18" customHeight="1" x14ac:dyDescent="0.25">
      <c r="B31" s="11" t="s">
        <v>21</v>
      </c>
      <c r="C31" s="56">
        <f>'GRAPH DATA'!K10</f>
        <v>0</v>
      </c>
      <c r="D31" s="56">
        <v>0</v>
      </c>
      <c r="E31" s="57">
        <f t="shared" si="1"/>
        <v>0</v>
      </c>
    </row>
    <row r="32" spans="2:7" s="65" customFormat="1" ht="30" customHeight="1" thickBot="1" x14ac:dyDescent="0.3">
      <c r="B32" s="355" t="s">
        <v>103</v>
      </c>
      <c r="C32" s="356"/>
      <c r="D32" s="356"/>
      <c r="E32" s="81">
        <f>SUM(E23:E31)</f>
        <v>-1710.0015504</v>
      </c>
      <c r="G32" s="66"/>
    </row>
    <row r="33" spans="2:16" ht="10.5" customHeight="1" thickBot="1" x14ac:dyDescent="0.3"/>
    <row r="34" spans="2:16" ht="18" customHeight="1" x14ac:dyDescent="0.25">
      <c r="B34" s="357" t="s">
        <v>188</v>
      </c>
      <c r="C34" s="67" t="s">
        <v>185</v>
      </c>
      <c r="D34" s="67" t="s">
        <v>186</v>
      </c>
      <c r="E34" s="68" t="s">
        <v>38</v>
      </c>
    </row>
    <row r="35" spans="2:16" ht="18" customHeight="1" thickBot="1" x14ac:dyDescent="0.3">
      <c r="B35" s="358"/>
      <c r="C35" s="69">
        <f>E9</f>
        <v>-1710.0015504</v>
      </c>
      <c r="D35" s="69">
        <f>E19</f>
        <v>0</v>
      </c>
      <c r="E35" s="70" t="e">
        <f>(-C35/D35*12)</f>
        <v>#DIV/0!</v>
      </c>
    </row>
    <row r="36" spans="2:16" ht="19.899999999999999" customHeight="1" x14ac:dyDescent="0.25">
      <c r="G36" s="31"/>
      <c r="H36" s="31"/>
      <c r="I36" s="31"/>
      <c r="J36" s="31"/>
      <c r="K36" s="31"/>
      <c r="L36" s="31"/>
      <c r="M36" s="31"/>
      <c r="N36" s="31"/>
      <c r="O36" s="31"/>
      <c r="P36" s="31"/>
    </row>
    <row r="37" spans="2:16" s="75" customFormat="1" ht="15" customHeight="1" x14ac:dyDescent="0.25">
      <c r="B37" s="354" t="s">
        <v>129</v>
      </c>
      <c r="C37" s="354"/>
      <c r="D37" s="354"/>
      <c r="E37" s="354"/>
    </row>
    <row r="38" spans="2:16" s="75" customFormat="1" ht="15" customHeight="1" x14ac:dyDescent="0.25">
      <c r="B38" s="354" t="s">
        <v>142</v>
      </c>
      <c r="C38" s="354"/>
      <c r="D38" s="354"/>
      <c r="E38" s="354"/>
    </row>
    <row r="39" spans="2:16" s="75" customFormat="1" ht="15" customHeight="1" x14ac:dyDescent="0.25">
      <c r="B39" s="354" t="s">
        <v>130</v>
      </c>
      <c r="C39" s="354"/>
      <c r="D39" s="354"/>
      <c r="E39" s="354"/>
    </row>
    <row r="40" spans="2:16" ht="28.15" customHeight="1" x14ac:dyDescent="0.25"/>
    <row r="41" spans="2:16" ht="21" customHeight="1" x14ac:dyDescent="0.25">
      <c r="B41" s="76" t="s">
        <v>115</v>
      </c>
      <c r="C41" s="348">
        <f>INPUTS!C3</f>
        <v>0</v>
      </c>
      <c r="D41" s="348"/>
      <c r="E41" s="28"/>
    </row>
    <row r="42" spans="2:16" ht="21" customHeight="1" x14ac:dyDescent="0.25">
      <c r="B42" s="76" t="s">
        <v>89</v>
      </c>
      <c r="C42" s="349">
        <f>INPUTS!C4</f>
        <v>0</v>
      </c>
      <c r="D42" s="349"/>
      <c r="E42" s="28"/>
    </row>
    <row r="43" spans="2:16" ht="21" customHeight="1" x14ac:dyDescent="0.25">
      <c r="B43" s="76" t="s">
        <v>131</v>
      </c>
      <c r="C43" s="349">
        <f>INPUTS!I4</f>
        <v>0</v>
      </c>
      <c r="D43" s="349"/>
      <c r="E43" s="28"/>
    </row>
    <row r="44" spans="2:16" ht="21" customHeight="1" x14ac:dyDescent="0.25">
      <c r="B44" s="76" t="s">
        <v>117</v>
      </c>
      <c r="C44" s="349">
        <f>INPUTS!I5</f>
        <v>0</v>
      </c>
      <c r="D44" s="349"/>
      <c r="E44" s="28"/>
    </row>
    <row r="45" spans="2:16" ht="21" customHeight="1" x14ac:dyDescent="0.25">
      <c r="B45" s="76" t="s">
        <v>114</v>
      </c>
      <c r="C45" s="350">
        <f>INPUTS!I3</f>
        <v>0</v>
      </c>
      <c r="D45" s="350"/>
      <c r="E45" s="28"/>
    </row>
    <row r="60" spans="7:8" ht="50.15" customHeight="1" x14ac:dyDescent="0.25">
      <c r="G60" s="29"/>
    </row>
    <row r="61" spans="7:8" ht="50.15" customHeight="1" x14ac:dyDescent="0.25"/>
    <row r="62" spans="7:8" ht="50.15" customHeight="1" x14ac:dyDescent="0.25">
      <c r="G62" s="6" t="s">
        <v>59</v>
      </c>
    </row>
    <row r="63" spans="7:8" ht="50.15" customHeight="1" x14ac:dyDescent="0.25">
      <c r="G63" s="6">
        <v>1</v>
      </c>
      <c r="H63" s="6">
        <f>+G63+1</f>
        <v>2</v>
      </c>
    </row>
    <row r="64" spans="7:8" ht="50.15" customHeight="1" x14ac:dyDescent="0.25">
      <c r="G64" s="31" t="e">
        <f>+'GRAPH DATA'!#REF!</f>
        <v>#REF!</v>
      </c>
      <c r="H64" s="31" t="e">
        <f>+G64</f>
        <v>#REF!</v>
      </c>
    </row>
    <row r="65" spans="7:8" ht="50.15" customHeight="1" x14ac:dyDescent="0.25">
      <c r="G65" s="31"/>
      <c r="H65" s="31"/>
    </row>
    <row r="66" spans="7:8" ht="50.15" customHeight="1" x14ac:dyDescent="0.25">
      <c r="G66" s="31"/>
      <c r="H66" s="31"/>
    </row>
    <row r="67" spans="7:8" ht="50.15" customHeight="1" x14ac:dyDescent="0.25">
      <c r="G67" s="31" t="e">
        <f>+'GRAPH DATA'!#REF!+D79</f>
        <v>#REF!</v>
      </c>
      <c r="H67" s="31" t="e">
        <f>+(G67+'GRAPH DATA'!#REF!)*1.07</f>
        <v>#REF!</v>
      </c>
    </row>
    <row r="68" spans="7:8" ht="50.15" customHeight="1" x14ac:dyDescent="0.25">
      <c r="G68" s="31"/>
      <c r="H68" s="31"/>
    </row>
    <row r="69" spans="7:8" ht="50.15" customHeight="1" x14ac:dyDescent="0.25">
      <c r="G69" s="31" t="e">
        <f>SUM(G64:G67)</f>
        <v>#REF!</v>
      </c>
      <c r="H69" s="31" t="e">
        <f>SUM(H64:H67)</f>
        <v>#REF!</v>
      </c>
    </row>
    <row r="70" spans="7:8" ht="50.15" customHeight="1" x14ac:dyDescent="0.25"/>
    <row r="71" spans="7:8" ht="50.15" customHeight="1" x14ac:dyDescent="0.25"/>
    <row r="72" spans="7:8" ht="50.15" customHeight="1" x14ac:dyDescent="0.25"/>
  </sheetData>
  <sheetProtection selectLockedCells="1" selectUnlockedCells="1"/>
  <mergeCells count="14">
    <mergeCell ref="B1:E1"/>
    <mergeCell ref="C41:D41"/>
    <mergeCell ref="C42:D42"/>
    <mergeCell ref="C45:D45"/>
    <mergeCell ref="C43:D43"/>
    <mergeCell ref="C44:D44"/>
    <mergeCell ref="B3:E3"/>
    <mergeCell ref="B21:E21"/>
    <mergeCell ref="B39:E39"/>
    <mergeCell ref="B37:E37"/>
    <mergeCell ref="B38:E38"/>
    <mergeCell ref="B11:E11"/>
    <mergeCell ref="B32:D32"/>
    <mergeCell ref="B34:B35"/>
  </mergeCells>
  <phoneticPr fontId="0" type="noConversion"/>
  <printOptions horizontalCentered="1"/>
  <pageMargins left="0.5" right="0.5" top="0.25" bottom="0.5" header="0.17" footer="0.25"/>
  <pageSetup scale="75" orientation="portrait" r:id="rId1"/>
  <headerFooter>
    <oddFooter xml:space="preserve">&amp;L   &amp;D    © Copyright Neptune-Benson, Inc.  All rights reserved.&amp;C
</oddFooter>
  </headerFooter>
  <ignoredErrors>
    <ignoredError sqref="E24"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47"/>
  <sheetViews>
    <sheetView topLeftCell="A16" zoomScale="80" zoomScaleNormal="80" workbookViewId="0">
      <selection activeCell="J35" sqref="J35"/>
    </sheetView>
  </sheetViews>
  <sheetFormatPr defaultColWidth="9.1796875" defaultRowHeight="12.5" x14ac:dyDescent="0.25"/>
  <cols>
    <col min="1" max="1" width="30.1796875" style="6" bestFit="1" customWidth="1"/>
    <col min="2" max="2" width="6.1796875" style="7" bestFit="1" customWidth="1"/>
    <col min="3" max="3" width="3.7265625" style="7" bestFit="1" customWidth="1"/>
    <col min="4" max="4" width="13.54296875" style="7" bestFit="1" customWidth="1"/>
    <col min="5" max="5" width="7.1796875" style="7" bestFit="1" customWidth="1"/>
    <col min="6" max="6" width="7.81640625" style="7" bestFit="1" customWidth="1"/>
    <col min="7" max="7" width="11.453125" style="7" bestFit="1" customWidth="1"/>
    <col min="8" max="8" width="7.26953125" style="7" bestFit="1" customWidth="1"/>
    <col min="9" max="9" width="11.7265625" style="7" customWidth="1"/>
    <col min="10" max="10" width="12" style="7" bestFit="1" customWidth="1"/>
    <col min="11" max="11" width="9.1796875" style="7" bestFit="1" customWidth="1"/>
    <col min="12" max="12" width="7.81640625" style="7" bestFit="1" customWidth="1"/>
    <col min="13" max="13" width="7.453125" style="7" bestFit="1" customWidth="1"/>
    <col min="14" max="14" width="7.26953125" style="7" bestFit="1" customWidth="1"/>
    <col min="15" max="15" width="11" style="7" bestFit="1" customWidth="1"/>
    <col min="16" max="16" width="7.26953125" style="7" bestFit="1" customWidth="1"/>
    <col min="17" max="17" width="9.1796875" style="7" bestFit="1" customWidth="1"/>
    <col min="18" max="19" width="7.81640625" style="7" bestFit="1" customWidth="1"/>
    <col min="20" max="20" width="9.7265625" style="7" bestFit="1" customWidth="1"/>
    <col min="21" max="21" width="10.453125" style="7" bestFit="1" customWidth="1"/>
    <col min="22" max="22" width="8.7265625" style="7" bestFit="1" customWidth="1"/>
    <col min="23" max="23" width="12.453125" style="7" customWidth="1"/>
    <col min="24" max="24" width="23.453125" style="7" customWidth="1"/>
    <col min="25" max="25" width="25.1796875" style="7" customWidth="1"/>
    <col min="26" max="28" width="15.7265625" style="6" customWidth="1"/>
    <col min="29" max="16384" width="9.1796875" style="6"/>
  </cols>
  <sheetData>
    <row r="1" spans="1:25" s="79" customFormat="1" ht="108.65" customHeight="1" x14ac:dyDescent="0.6">
      <c r="A1" s="362" t="s">
        <v>144</v>
      </c>
      <c r="B1" s="362"/>
      <c r="C1" s="362"/>
      <c r="D1" s="362"/>
      <c r="E1" s="362"/>
      <c r="F1" s="362"/>
      <c r="G1" s="362"/>
      <c r="H1" s="362"/>
      <c r="I1" s="362"/>
      <c r="J1" s="362"/>
      <c r="K1" s="362"/>
      <c r="L1" s="362"/>
      <c r="M1" s="362"/>
      <c r="N1" s="362"/>
      <c r="O1" s="362"/>
      <c r="P1" s="362"/>
      <c r="Q1" s="362"/>
      <c r="R1" s="362"/>
      <c r="S1" s="362"/>
      <c r="T1" s="362"/>
      <c r="U1" s="362"/>
      <c r="V1" s="362"/>
      <c r="W1" s="362"/>
      <c r="X1" s="78"/>
      <c r="Y1" s="78"/>
    </row>
    <row r="2" spans="1:25" s="80" customFormat="1" ht="19.899999999999999" customHeight="1" x14ac:dyDescent="0.25">
      <c r="A2" s="77"/>
      <c r="B2" s="77"/>
      <c r="C2" s="77"/>
      <c r="D2" s="77"/>
      <c r="E2" s="77"/>
      <c r="F2" s="77"/>
      <c r="G2" s="77"/>
      <c r="H2" s="77"/>
      <c r="I2" s="77"/>
      <c r="J2" s="77"/>
      <c r="K2" s="77"/>
      <c r="L2" s="77"/>
      <c r="M2" s="77"/>
      <c r="N2" s="77"/>
      <c r="O2" s="77"/>
      <c r="P2" s="77"/>
      <c r="Q2" s="77"/>
      <c r="R2" s="77"/>
      <c r="S2" s="77"/>
      <c r="T2" s="77"/>
      <c r="U2" s="77"/>
      <c r="V2" s="77"/>
      <c r="W2" s="77"/>
      <c r="X2" s="77"/>
      <c r="Y2" s="77"/>
    </row>
    <row r="3" spans="1:25" s="9" customFormat="1" ht="29.5" customHeight="1" x14ac:dyDescent="0.25">
      <c r="A3" s="363" t="s">
        <v>84</v>
      </c>
      <c r="B3" s="364"/>
      <c r="C3" s="364"/>
      <c r="D3" s="364"/>
      <c r="E3" s="364"/>
      <c r="F3" s="364"/>
      <c r="G3" s="364"/>
      <c r="H3" s="364"/>
      <c r="I3" s="364"/>
      <c r="J3" s="364"/>
      <c r="K3" s="364"/>
      <c r="L3" s="364"/>
      <c r="M3" s="364"/>
      <c r="N3" s="364"/>
      <c r="O3" s="364"/>
      <c r="P3" s="364"/>
      <c r="Q3" s="364"/>
      <c r="R3" s="364"/>
      <c r="S3" s="364"/>
      <c r="T3" s="364"/>
      <c r="U3" s="364"/>
      <c r="V3" s="364"/>
      <c r="W3" s="364"/>
      <c r="X3" s="8"/>
      <c r="Y3" s="8"/>
    </row>
    <row r="4" spans="1:25" s="10" customFormat="1" ht="20.5" customHeight="1" x14ac:dyDescent="0.25">
      <c r="A4" s="374" t="s">
        <v>16</v>
      </c>
      <c r="B4" s="374"/>
      <c r="C4" s="365" t="s">
        <v>4</v>
      </c>
      <c r="D4" s="365"/>
      <c r="E4" s="365"/>
      <c r="F4" s="365"/>
      <c r="G4" s="365"/>
      <c r="H4" s="365"/>
      <c r="I4" s="365" t="s">
        <v>18</v>
      </c>
      <c r="J4" s="365"/>
      <c r="K4" s="365"/>
      <c r="L4" s="365"/>
      <c r="M4" s="365"/>
      <c r="N4" s="365"/>
      <c r="O4" s="365" t="s">
        <v>57</v>
      </c>
      <c r="P4" s="370"/>
      <c r="Q4" s="370"/>
      <c r="R4" s="370"/>
      <c r="S4" s="370"/>
      <c r="T4" s="370"/>
      <c r="U4" s="370"/>
      <c r="V4" s="370"/>
      <c r="W4" s="370"/>
    </row>
    <row r="5" spans="1:25" ht="21" customHeight="1" x14ac:dyDescent="0.25">
      <c r="A5" s="368" t="s">
        <v>87</v>
      </c>
      <c r="B5" s="368" t="s">
        <v>240</v>
      </c>
      <c r="C5" s="367" t="s">
        <v>64</v>
      </c>
      <c r="D5" s="368" t="s">
        <v>250</v>
      </c>
      <c r="E5" s="368" t="s">
        <v>251</v>
      </c>
      <c r="F5" s="368" t="s">
        <v>259</v>
      </c>
      <c r="G5" s="368" t="s">
        <v>241</v>
      </c>
      <c r="H5" s="368" t="s">
        <v>243</v>
      </c>
      <c r="I5" s="368" t="s">
        <v>244</v>
      </c>
      <c r="J5" s="367" t="s">
        <v>2</v>
      </c>
      <c r="K5" s="367"/>
      <c r="L5" s="368" t="s">
        <v>246</v>
      </c>
      <c r="M5" s="368" t="s">
        <v>247</v>
      </c>
      <c r="N5" s="368" t="s">
        <v>248</v>
      </c>
      <c r="O5" s="367" t="s">
        <v>3</v>
      </c>
      <c r="P5" s="367"/>
      <c r="Q5" s="367"/>
      <c r="R5" s="367"/>
      <c r="S5" s="367"/>
      <c r="T5" s="367"/>
      <c r="U5" s="375"/>
      <c r="V5" s="367" t="s">
        <v>26</v>
      </c>
      <c r="W5" s="367"/>
      <c r="X5" s="6"/>
      <c r="Y5" s="6"/>
    </row>
    <row r="6" spans="1:25" ht="45" customHeight="1" x14ac:dyDescent="0.25">
      <c r="A6" s="368"/>
      <c r="B6" s="368"/>
      <c r="C6" s="367"/>
      <c r="D6" s="368"/>
      <c r="E6" s="368"/>
      <c r="F6" s="368"/>
      <c r="G6" s="368"/>
      <c r="H6" s="368"/>
      <c r="I6" s="367"/>
      <c r="J6" s="205" t="s">
        <v>245</v>
      </c>
      <c r="K6" s="206" t="s">
        <v>37</v>
      </c>
      <c r="L6" s="367"/>
      <c r="M6" s="367"/>
      <c r="N6" s="368"/>
      <c r="O6" s="205" t="s">
        <v>252</v>
      </c>
      <c r="P6" s="205" t="s">
        <v>253</v>
      </c>
      <c r="Q6" s="205" t="s">
        <v>255</v>
      </c>
      <c r="R6" s="205" t="s">
        <v>256</v>
      </c>
      <c r="S6" s="205" t="s">
        <v>257</v>
      </c>
      <c r="T6" s="205"/>
      <c r="U6" s="205"/>
      <c r="V6" s="205" t="s">
        <v>30</v>
      </c>
      <c r="W6" s="205" t="s">
        <v>258</v>
      </c>
      <c r="X6" s="6"/>
      <c r="Y6" s="6"/>
    </row>
    <row r="7" spans="1:25" ht="15" customHeight="1" x14ac:dyDescent="0.25">
      <c r="A7" s="159">
        <f>INPUTS!B9</f>
        <v>0</v>
      </c>
      <c r="B7" s="160">
        <f>INPUTS!E9</f>
        <v>0</v>
      </c>
      <c r="C7" s="161">
        <f>VLOOKUP(INPUTS!E9, TABLE!A4:R37, 2)</f>
        <v>0</v>
      </c>
      <c r="D7" s="161">
        <f>VLOOKUP(INPUTS!E9, TABLE!A4:R37, 3)</f>
        <v>0</v>
      </c>
      <c r="E7" s="162">
        <f>VLOOKUP(INPUTS!E9, TABLE!A4:R37, 4)</f>
        <v>0</v>
      </c>
      <c r="F7" s="163">
        <f>IF(E7=0,0,INPUTS!E9/E7)</f>
        <v>0</v>
      </c>
      <c r="G7" s="164">
        <f>E7*INPUTS!J22</f>
        <v>0</v>
      </c>
      <c r="H7" s="165">
        <f>VLOOKUP(INPUTS!E9, TABLE!A4:R37, 5)</f>
        <v>0</v>
      </c>
      <c r="I7" s="166">
        <f>VLOOKUP(INPUTS!E9, TABLE!A4:R37, 10)</f>
        <v>0</v>
      </c>
      <c r="J7" s="161">
        <f>VLOOKUP(INPUTS!E9, TABLE!A4:R37, 6)</f>
        <v>0</v>
      </c>
      <c r="K7" s="167">
        <f>INPUTS!$J$17*J7</f>
        <v>0</v>
      </c>
      <c r="L7" s="167">
        <f>I7*INPUTS!$J$18</f>
        <v>0</v>
      </c>
      <c r="M7" s="167">
        <f>H7*INPUTS!$J$19/100</f>
        <v>0</v>
      </c>
      <c r="N7" s="167">
        <f>H7*INPUTS!$J$20/100</f>
        <v>0</v>
      </c>
      <c r="O7" s="165">
        <f>E7*INPUTS!J22*INPUTS!J24*INPUTS!J25</f>
        <v>0</v>
      </c>
      <c r="P7" s="167">
        <f>O7*INPUTS!$J$28/1000</f>
        <v>0</v>
      </c>
      <c r="Q7" s="167">
        <f>O7/1000*INPUTS!J29</f>
        <v>0</v>
      </c>
      <c r="R7" s="167">
        <f>O7*INPUTS!J30/1000</f>
        <v>0</v>
      </c>
      <c r="S7" s="167">
        <f>O7*8.33*1.2*INPUTS!$J$31/100000*INPUTS!$J$32</f>
        <v>0</v>
      </c>
      <c r="T7" s="168"/>
      <c r="U7" s="169"/>
      <c r="V7" s="170">
        <f>SUM((INPUTS!E9*70)/3960)/0.8</f>
        <v>0</v>
      </c>
      <c r="W7" s="167">
        <f>SUM(V7*0.746)*INPUTS!$J$34*24*INPUTS!$J$33*0.512</f>
        <v>0</v>
      </c>
      <c r="X7" s="6"/>
      <c r="Y7" s="6"/>
    </row>
    <row r="8" spans="1:25" ht="15" customHeight="1" x14ac:dyDescent="0.25">
      <c r="A8" s="159">
        <f>INPUTS!B10</f>
        <v>0</v>
      </c>
      <c r="B8" s="160">
        <f>INPUTS!E10</f>
        <v>0</v>
      </c>
      <c r="C8" s="161">
        <f>VLOOKUP(INPUTS!E10, TABLE!A4:R37, 2)</f>
        <v>0</v>
      </c>
      <c r="D8" s="171">
        <f>VLOOKUP(INPUTS!E10, TABLE!A4:R37, 3)</f>
        <v>0</v>
      </c>
      <c r="E8" s="162">
        <f>VLOOKUP(INPUTS!E10, TABLE!A4:R37, 4)</f>
        <v>0</v>
      </c>
      <c r="F8" s="163">
        <f>IF(E8=0,0,INPUTS!E10/E8)</f>
        <v>0</v>
      </c>
      <c r="G8" s="164">
        <f>E8*INPUTS!J22</f>
        <v>0</v>
      </c>
      <c r="H8" s="165">
        <f>VLOOKUP(INPUTS!E10, TABLE!A4:R37, 5)</f>
        <v>0</v>
      </c>
      <c r="I8" s="166">
        <f>VLOOKUP(INPUTS!E10, TABLE!A4:R37, 10)</f>
        <v>0</v>
      </c>
      <c r="J8" s="161">
        <f>VLOOKUP(INPUTS!E10, TABLE!A4:R37, 6)</f>
        <v>0</v>
      </c>
      <c r="K8" s="167">
        <f>INPUTS!$J$17*J8</f>
        <v>0</v>
      </c>
      <c r="L8" s="167">
        <f>I8*INPUTS!$J$18</f>
        <v>0</v>
      </c>
      <c r="M8" s="167">
        <f>H8*INPUTS!$J$19/100</f>
        <v>0</v>
      </c>
      <c r="N8" s="167">
        <f>H8*INPUTS!$J$20/100</f>
        <v>0</v>
      </c>
      <c r="O8" s="165">
        <f>E8*INPUTS!J22*INPUTS!J24*INPUTS!J25</f>
        <v>0</v>
      </c>
      <c r="P8" s="167">
        <f>O8*INPUTS!$J$28/1000</f>
        <v>0</v>
      </c>
      <c r="Q8" s="167">
        <f>O8/1000*INPUTS!J29</f>
        <v>0</v>
      </c>
      <c r="R8" s="167">
        <f>O8*INPUTS!J30/1000</f>
        <v>0</v>
      </c>
      <c r="S8" s="167">
        <f>O8*8.33*1.2*INPUTS!$J$31/100000*INPUTS!$J$32</f>
        <v>0</v>
      </c>
      <c r="T8" s="168"/>
      <c r="U8" s="169"/>
      <c r="V8" s="170">
        <f>SUM((INPUTS!E10*70)/3960)/0.8</f>
        <v>0</v>
      </c>
      <c r="W8" s="167">
        <f>SUM(V8*0.746)*INPUTS!$J$34*24*INPUTS!$J$33*0.512</f>
        <v>0</v>
      </c>
      <c r="X8" s="6"/>
      <c r="Y8" s="6"/>
    </row>
    <row r="9" spans="1:25" ht="15" customHeight="1" x14ac:dyDescent="0.25">
      <c r="A9" s="159">
        <f>INPUTS!B11</f>
        <v>0</v>
      </c>
      <c r="B9" s="160">
        <f>INPUTS!E11</f>
        <v>0</v>
      </c>
      <c r="C9" s="161">
        <f>VLOOKUP(INPUTS!E11, TABLE!A4:R37, 2)</f>
        <v>0</v>
      </c>
      <c r="D9" s="171">
        <f>VLOOKUP(INPUTS!E11, TABLE!A4:R37, 3)</f>
        <v>0</v>
      </c>
      <c r="E9" s="162">
        <f>VLOOKUP(INPUTS!E11, TABLE!A4:R37, 4)</f>
        <v>0</v>
      </c>
      <c r="F9" s="163">
        <f>IF(E9=0,0,INPUTS!E11/E9)</f>
        <v>0</v>
      </c>
      <c r="G9" s="164">
        <f>E9*INPUTS!J22</f>
        <v>0</v>
      </c>
      <c r="H9" s="165">
        <f>VLOOKUP(INPUTS!E11, TABLE!A4:R37, 5)</f>
        <v>0</v>
      </c>
      <c r="I9" s="166">
        <f>VLOOKUP(INPUTS!E11, TABLE!A4:R37, 10)</f>
        <v>0</v>
      </c>
      <c r="J9" s="161">
        <f>VLOOKUP(INPUTS!E11, TABLE!A4:R37, 6)</f>
        <v>0</v>
      </c>
      <c r="K9" s="167">
        <f>INPUTS!$J$17*J9</f>
        <v>0</v>
      </c>
      <c r="L9" s="167">
        <f>I9*INPUTS!$J$18</f>
        <v>0</v>
      </c>
      <c r="M9" s="167">
        <f>H9*INPUTS!$J$19/100</f>
        <v>0</v>
      </c>
      <c r="N9" s="167">
        <f>H9*INPUTS!$J$20/100</f>
        <v>0</v>
      </c>
      <c r="O9" s="165">
        <f>E9*INPUTS!J22*INPUTS!J24*INPUTS!J25</f>
        <v>0</v>
      </c>
      <c r="P9" s="167">
        <f>O9*INPUTS!$J$28/1000</f>
        <v>0</v>
      </c>
      <c r="Q9" s="167">
        <f>O9/1000*INPUTS!J29</f>
        <v>0</v>
      </c>
      <c r="R9" s="167">
        <f>O9*INPUTS!J30/1000</f>
        <v>0</v>
      </c>
      <c r="S9" s="167">
        <f>O9*8.33*1.2*INPUTS!$J$31/100000*INPUTS!$J$32</f>
        <v>0</v>
      </c>
      <c r="T9" s="168"/>
      <c r="U9" s="169"/>
      <c r="V9" s="170">
        <f>SUM((INPUTS!E11*70)/3960)/0.8</f>
        <v>0</v>
      </c>
      <c r="W9" s="167">
        <f>SUM(V9*0.746)*INPUTS!$J$34*24*INPUTS!$J$33*0.512</f>
        <v>0</v>
      </c>
      <c r="X9" s="6"/>
      <c r="Y9" s="6"/>
    </row>
    <row r="10" spans="1:25" ht="15" customHeight="1" x14ac:dyDescent="0.25">
      <c r="A10" s="159">
        <f>INPUTS!B12</f>
        <v>0</v>
      </c>
      <c r="B10" s="160">
        <f>INPUTS!E12</f>
        <v>0</v>
      </c>
      <c r="C10" s="161">
        <f>VLOOKUP(INPUTS!E12, TABLE!A4:R37, 2)</f>
        <v>0</v>
      </c>
      <c r="D10" s="171">
        <f>VLOOKUP(INPUTS!E12, TABLE!A4:R37, 3)</f>
        <v>0</v>
      </c>
      <c r="E10" s="162">
        <f>VLOOKUP(INPUTS!E12, TABLE!A4:R37, 4)</f>
        <v>0</v>
      </c>
      <c r="F10" s="163">
        <f>IF(E10=0,0,INPUTS!E12/E10)</f>
        <v>0</v>
      </c>
      <c r="G10" s="164">
        <f>E10*INPUTS!J22</f>
        <v>0</v>
      </c>
      <c r="H10" s="165">
        <f>VLOOKUP(INPUTS!E12, TABLE!A4:R37, 5)</f>
        <v>0</v>
      </c>
      <c r="I10" s="166">
        <f>VLOOKUP(INPUTS!E12, TABLE!A4:R37, 10)</f>
        <v>0</v>
      </c>
      <c r="J10" s="161">
        <f>VLOOKUP(INPUTS!E12, TABLE!A4:R37, 6)</f>
        <v>0</v>
      </c>
      <c r="K10" s="167">
        <f>INPUTS!$J$17*J10</f>
        <v>0</v>
      </c>
      <c r="L10" s="167">
        <f>I10*INPUTS!$J$18</f>
        <v>0</v>
      </c>
      <c r="M10" s="167">
        <f>H10*INPUTS!$J$19/100</f>
        <v>0</v>
      </c>
      <c r="N10" s="167">
        <f>H10*INPUTS!$J$20/100</f>
        <v>0</v>
      </c>
      <c r="O10" s="165">
        <f>E10*INPUTS!J22*INPUTS!J24*INPUTS!J25</f>
        <v>0</v>
      </c>
      <c r="P10" s="167">
        <f>O10*INPUTS!$J$28/1000</f>
        <v>0</v>
      </c>
      <c r="Q10" s="167">
        <f>O10/1000*INPUTS!J29</f>
        <v>0</v>
      </c>
      <c r="R10" s="167">
        <f>O10*INPUTS!J30/1000</f>
        <v>0</v>
      </c>
      <c r="S10" s="167">
        <f>O10*8.33*1.2*INPUTS!$J$31/100000*INPUTS!$J$32</f>
        <v>0</v>
      </c>
      <c r="T10" s="168"/>
      <c r="U10" s="169"/>
      <c r="V10" s="170">
        <f>SUM((INPUTS!E12*70)/3960)/0.8</f>
        <v>0</v>
      </c>
      <c r="W10" s="167">
        <f>SUM(V10*0.746)*INPUTS!$J$34*24*INPUTS!$J$33*0.512</f>
        <v>0</v>
      </c>
      <c r="X10" s="6"/>
      <c r="Y10" s="6"/>
    </row>
    <row r="11" spans="1:25" ht="15" customHeight="1" x14ac:dyDescent="0.25">
      <c r="A11" s="159">
        <f>INPUTS!B13</f>
        <v>0</v>
      </c>
      <c r="B11" s="160">
        <f>INPUTS!E13</f>
        <v>0</v>
      </c>
      <c r="C11" s="161">
        <f>VLOOKUP(INPUTS!E13, TABLE!A4:R37, 2)</f>
        <v>0</v>
      </c>
      <c r="D11" s="171">
        <f>VLOOKUP(INPUTS!E13, TABLE!A4:R37, 3)</f>
        <v>0</v>
      </c>
      <c r="E11" s="162">
        <f>VLOOKUP(INPUTS!E13, TABLE!A4:R37, 4)</f>
        <v>0</v>
      </c>
      <c r="F11" s="163">
        <f>IF(E11=0,0,INPUTS!E13/E11)</f>
        <v>0</v>
      </c>
      <c r="G11" s="164">
        <f>E11*INPUTS!J22</f>
        <v>0</v>
      </c>
      <c r="H11" s="165">
        <f>VLOOKUP(INPUTS!E13, TABLE!A4:R37, 5)</f>
        <v>0</v>
      </c>
      <c r="I11" s="166">
        <f>VLOOKUP(INPUTS!E13, TABLE!A4:R37, 10)</f>
        <v>0</v>
      </c>
      <c r="J11" s="161">
        <f>VLOOKUP(INPUTS!E13, TABLE!A4:R37, 6)</f>
        <v>0</v>
      </c>
      <c r="K11" s="167">
        <f>INPUTS!$J$17*J11</f>
        <v>0</v>
      </c>
      <c r="L11" s="167">
        <f>I11*INPUTS!$J$18</f>
        <v>0</v>
      </c>
      <c r="M11" s="167">
        <f>H11*INPUTS!$J$19/100</f>
        <v>0</v>
      </c>
      <c r="N11" s="167">
        <f>H11*INPUTS!$J$20/100</f>
        <v>0</v>
      </c>
      <c r="O11" s="165">
        <f>E11*INPUTS!J22*INPUTS!J24*INPUTS!J25</f>
        <v>0</v>
      </c>
      <c r="P11" s="167">
        <f>O11*INPUTS!$J$28/1000</f>
        <v>0</v>
      </c>
      <c r="Q11" s="167">
        <f>O11/1000*INPUTS!J29</f>
        <v>0</v>
      </c>
      <c r="R11" s="167">
        <f>O11*INPUTS!J30/1000</f>
        <v>0</v>
      </c>
      <c r="S11" s="167">
        <f>O11*8.33*1.2*INPUTS!$J$31/100000*INPUTS!$J$32</f>
        <v>0</v>
      </c>
      <c r="T11" s="168"/>
      <c r="U11" s="169"/>
      <c r="V11" s="170">
        <f>SUM((INPUTS!E13*70)/3960)/0.8</f>
        <v>0</v>
      </c>
      <c r="W11" s="167">
        <f>SUM(V11*0.746)*INPUTS!$J$34*24*INPUTS!$J$33*0.512</f>
        <v>0</v>
      </c>
      <c r="X11" s="6"/>
      <c r="Y11" s="6"/>
    </row>
    <row r="12" spans="1:25" ht="15" customHeight="1" x14ac:dyDescent="0.25">
      <c r="A12" s="159">
        <f>INPUTS!H9</f>
        <v>0</v>
      </c>
      <c r="B12" s="160">
        <f>INPUTS!L9</f>
        <v>0</v>
      </c>
      <c r="C12" s="161">
        <f>VLOOKUP(INPUTS!L9, TABLE!A4:R37, 2)</f>
        <v>0</v>
      </c>
      <c r="D12" s="171">
        <f>VLOOKUP(INPUTS!L9, TABLE!A4:R37, 3)</f>
        <v>0</v>
      </c>
      <c r="E12" s="162">
        <f>VLOOKUP(INPUTS!L9, TABLE!A4:R37, 4)</f>
        <v>0</v>
      </c>
      <c r="F12" s="163">
        <f>IF(E12=0,0,INPUTS!L9/E12)</f>
        <v>0</v>
      </c>
      <c r="G12" s="164">
        <f>E12*INPUTS!J22</f>
        <v>0</v>
      </c>
      <c r="H12" s="165">
        <f>VLOOKUP(INPUTS!L9, TABLE!A4:R37, 5)</f>
        <v>0</v>
      </c>
      <c r="I12" s="166">
        <f>VLOOKUP(INPUTS!L9, TABLE!A4:R37, 10)</f>
        <v>0</v>
      </c>
      <c r="J12" s="161">
        <f>VLOOKUP(INPUTS!L9, TABLE!A4:R37, 6)</f>
        <v>0</v>
      </c>
      <c r="K12" s="167">
        <f>INPUTS!$J$17*J12</f>
        <v>0</v>
      </c>
      <c r="L12" s="167">
        <f>I12*INPUTS!$J$18</f>
        <v>0</v>
      </c>
      <c r="M12" s="167">
        <f>H12*INPUTS!$J$19/100</f>
        <v>0</v>
      </c>
      <c r="N12" s="167">
        <f>H12*INPUTS!$J$20/100</f>
        <v>0</v>
      </c>
      <c r="O12" s="165">
        <f>E12*INPUTS!J22*INPUTS!J24*INPUTS!J25</f>
        <v>0</v>
      </c>
      <c r="P12" s="167">
        <f>O12*INPUTS!$J$28/1000</f>
        <v>0</v>
      </c>
      <c r="Q12" s="167">
        <f>O12/1000*INPUTS!J29</f>
        <v>0</v>
      </c>
      <c r="R12" s="167">
        <f>O12*INPUTS!J30/1000</f>
        <v>0</v>
      </c>
      <c r="S12" s="167">
        <f>O12*8.33*1.2*INPUTS!$J$31/100000*INPUTS!$J$32</f>
        <v>0</v>
      </c>
      <c r="T12" s="168"/>
      <c r="U12" s="169"/>
      <c r="V12" s="170">
        <f>SUM((INPUTS!L9*70)/3960)/0.8</f>
        <v>0</v>
      </c>
      <c r="W12" s="167">
        <f>SUM(V12*0.746)*INPUTS!$J$34*24*INPUTS!$J$33*0.512</f>
        <v>0</v>
      </c>
      <c r="X12" s="6"/>
      <c r="Y12" s="6"/>
    </row>
    <row r="13" spans="1:25" ht="15" customHeight="1" x14ac:dyDescent="0.25">
      <c r="A13" s="159">
        <f>INPUTS!H10</f>
        <v>0</v>
      </c>
      <c r="B13" s="160">
        <f>INPUTS!L10</f>
        <v>0</v>
      </c>
      <c r="C13" s="161">
        <f>VLOOKUP(INPUTS!L10, TABLE!A4:R37, 2)</f>
        <v>0</v>
      </c>
      <c r="D13" s="171">
        <f>VLOOKUP(INPUTS!L10, TABLE!A4:R37, 3)</f>
        <v>0</v>
      </c>
      <c r="E13" s="162">
        <f>VLOOKUP(INPUTS!L10, TABLE!A4:R37, 4)</f>
        <v>0</v>
      </c>
      <c r="F13" s="163">
        <f>IF(E13=0,0,INPUTS!L10/E13)</f>
        <v>0</v>
      </c>
      <c r="G13" s="164">
        <f>E13*INPUTS!J22</f>
        <v>0</v>
      </c>
      <c r="H13" s="165">
        <f>VLOOKUP(INPUTS!L10, TABLE!A4:R37, 5)</f>
        <v>0</v>
      </c>
      <c r="I13" s="166">
        <f>VLOOKUP(INPUTS!L10, TABLE!A4:R37, 10)</f>
        <v>0</v>
      </c>
      <c r="J13" s="161">
        <f>VLOOKUP(INPUTS!L10, TABLE!A4:R37, 6)</f>
        <v>0</v>
      </c>
      <c r="K13" s="167">
        <f>INPUTS!$J$17*J13</f>
        <v>0</v>
      </c>
      <c r="L13" s="167">
        <f>I13*INPUTS!$J$18</f>
        <v>0</v>
      </c>
      <c r="M13" s="167">
        <f>H13*INPUTS!$J$19/100</f>
        <v>0</v>
      </c>
      <c r="N13" s="167">
        <f>H13*INPUTS!$J$20/100</f>
        <v>0</v>
      </c>
      <c r="O13" s="165">
        <f>E13*INPUTS!J22*INPUTS!J24*INPUTS!J25</f>
        <v>0</v>
      </c>
      <c r="P13" s="167">
        <f>O13*INPUTS!$J$28/1000</f>
        <v>0</v>
      </c>
      <c r="Q13" s="167">
        <f>O13/1000*INPUTS!J29</f>
        <v>0</v>
      </c>
      <c r="R13" s="167">
        <f>O13*INPUTS!J30/1000</f>
        <v>0</v>
      </c>
      <c r="S13" s="167">
        <f>O13*8.33*1.2*INPUTS!$J$31/100000*INPUTS!$J$32</f>
        <v>0</v>
      </c>
      <c r="T13" s="168"/>
      <c r="U13" s="169"/>
      <c r="V13" s="170">
        <f>SUM((INPUTS!L10*70)/3960)/0.8</f>
        <v>0</v>
      </c>
      <c r="W13" s="167">
        <f>SUM(V13*0.746)*INPUTS!$J$34*24*INPUTS!$J$33*0.512</f>
        <v>0</v>
      </c>
      <c r="X13" s="6"/>
      <c r="Y13" s="6"/>
    </row>
    <row r="14" spans="1:25" ht="15" customHeight="1" x14ac:dyDescent="0.25">
      <c r="A14" s="159">
        <f>INPUTS!H11</f>
        <v>0</v>
      </c>
      <c r="B14" s="160">
        <f>INPUTS!L11</f>
        <v>0</v>
      </c>
      <c r="C14" s="161">
        <f>VLOOKUP(INPUTS!L11, TABLE!A4:R37, 2)</f>
        <v>0</v>
      </c>
      <c r="D14" s="171">
        <f>VLOOKUP(INPUTS!L11, TABLE!A4:R37, 3)</f>
        <v>0</v>
      </c>
      <c r="E14" s="162">
        <f>VLOOKUP(INPUTS!L11, TABLE!A4:R37, 4)</f>
        <v>0</v>
      </c>
      <c r="F14" s="163">
        <f>IF(E14=0,0,INPUTS!L11/E14)</f>
        <v>0</v>
      </c>
      <c r="G14" s="164">
        <f>E14*INPUTS!J22</f>
        <v>0</v>
      </c>
      <c r="H14" s="165">
        <f>VLOOKUP(INPUTS!L11, TABLE!A4:R37, 5)</f>
        <v>0</v>
      </c>
      <c r="I14" s="166">
        <f>VLOOKUP(INPUTS!L11, TABLE!A4:R37, 10)</f>
        <v>0</v>
      </c>
      <c r="J14" s="161">
        <f>VLOOKUP(INPUTS!L11, TABLE!A4:R37, 6)</f>
        <v>0</v>
      </c>
      <c r="K14" s="167">
        <f>INPUTS!$J$17*J14</f>
        <v>0</v>
      </c>
      <c r="L14" s="167">
        <f>I14*INPUTS!$J$18</f>
        <v>0</v>
      </c>
      <c r="M14" s="167">
        <f>H14*INPUTS!$J$19/100</f>
        <v>0</v>
      </c>
      <c r="N14" s="167">
        <f>H14*INPUTS!$J$20/100</f>
        <v>0</v>
      </c>
      <c r="O14" s="165">
        <f>E14*INPUTS!J22*INPUTS!J24*INPUTS!J25</f>
        <v>0</v>
      </c>
      <c r="P14" s="167">
        <f>O14*INPUTS!$J$28/1000</f>
        <v>0</v>
      </c>
      <c r="Q14" s="167">
        <f>O14/1000*INPUTS!J29</f>
        <v>0</v>
      </c>
      <c r="R14" s="167">
        <f>O14*INPUTS!J30/1000</f>
        <v>0</v>
      </c>
      <c r="S14" s="167">
        <f>O14*8.33*1.2*INPUTS!$J$31/100000*INPUTS!$J$32</f>
        <v>0</v>
      </c>
      <c r="T14" s="168"/>
      <c r="U14" s="169"/>
      <c r="V14" s="170">
        <f>SUM((INPUTS!L11*70)/3960)/0.8</f>
        <v>0</v>
      </c>
      <c r="W14" s="167">
        <f>SUM(V14*0.746)*INPUTS!$J$34*24*INPUTS!$J$33*0.512</f>
        <v>0</v>
      </c>
      <c r="X14" s="6"/>
      <c r="Y14" s="6"/>
    </row>
    <row r="15" spans="1:25" ht="15" customHeight="1" x14ac:dyDescent="0.25">
      <c r="A15" s="159">
        <f>INPUTS!H12</f>
        <v>0</v>
      </c>
      <c r="B15" s="160">
        <f>INPUTS!L12</f>
        <v>0</v>
      </c>
      <c r="C15" s="161">
        <f>VLOOKUP(INPUTS!L12, TABLE!A4:R37, 2)</f>
        <v>0</v>
      </c>
      <c r="D15" s="171">
        <f>VLOOKUP(INPUTS!L12, TABLE!A4:R37, 3)</f>
        <v>0</v>
      </c>
      <c r="E15" s="162">
        <f>VLOOKUP(INPUTS!L12, TABLE!A4:R37, 4)</f>
        <v>0</v>
      </c>
      <c r="F15" s="163">
        <f>IF(E15=0,0,INPUTS!L12/E15)</f>
        <v>0</v>
      </c>
      <c r="G15" s="164">
        <f>E15*INPUTS!J22</f>
        <v>0</v>
      </c>
      <c r="H15" s="165">
        <f>VLOOKUP(INPUTS!L12, TABLE!A4:R37, 5)</f>
        <v>0</v>
      </c>
      <c r="I15" s="166">
        <f>VLOOKUP(INPUTS!L12, TABLE!A4:R37, 10)</f>
        <v>0</v>
      </c>
      <c r="J15" s="161">
        <f>VLOOKUP(INPUTS!L12, TABLE!A4:R37, 6)</f>
        <v>0</v>
      </c>
      <c r="K15" s="167">
        <f>INPUTS!$J$17*J15</f>
        <v>0</v>
      </c>
      <c r="L15" s="167">
        <f>I15*INPUTS!$J$18</f>
        <v>0</v>
      </c>
      <c r="M15" s="167">
        <f>H15*INPUTS!$J$19/100</f>
        <v>0</v>
      </c>
      <c r="N15" s="167">
        <f>H15*INPUTS!$J$20/100</f>
        <v>0</v>
      </c>
      <c r="O15" s="165">
        <f>E15*INPUTS!J22*INPUTS!J24*INPUTS!J25</f>
        <v>0</v>
      </c>
      <c r="P15" s="167">
        <f>O15*INPUTS!$J$28/1000</f>
        <v>0</v>
      </c>
      <c r="Q15" s="167">
        <f>O15/1000*INPUTS!J29</f>
        <v>0</v>
      </c>
      <c r="R15" s="167">
        <f>O15*INPUTS!J30/1000</f>
        <v>0</v>
      </c>
      <c r="S15" s="167">
        <f>O15*8.33*1.2*INPUTS!$J$31/100000*INPUTS!$J$32</f>
        <v>0</v>
      </c>
      <c r="T15" s="168"/>
      <c r="U15" s="169"/>
      <c r="V15" s="170">
        <f>SUM((INPUTS!L12*70)/3960)/0.8</f>
        <v>0</v>
      </c>
      <c r="W15" s="167">
        <f>SUM(V15*0.746)*INPUTS!$J$34*24*INPUTS!$J$33*0.512</f>
        <v>0</v>
      </c>
      <c r="X15" s="6"/>
      <c r="Y15" s="6"/>
    </row>
    <row r="16" spans="1:25" ht="15" customHeight="1" x14ac:dyDescent="0.25">
      <c r="A16" s="159">
        <f>INPUTS!H13</f>
        <v>0</v>
      </c>
      <c r="B16" s="160">
        <f>INPUTS!L13</f>
        <v>0</v>
      </c>
      <c r="C16" s="161">
        <f>VLOOKUP(INPUTS!L13, TABLE!A4:R37, 2)</f>
        <v>0</v>
      </c>
      <c r="D16" s="171">
        <f>VLOOKUP(INPUTS!L13, TABLE!A4:R37, 3)</f>
        <v>0</v>
      </c>
      <c r="E16" s="162">
        <f>VLOOKUP(INPUTS!L13, TABLE!A4:R37, 4)</f>
        <v>0</v>
      </c>
      <c r="F16" s="162">
        <f>IF(E16=0,0,INPUTS!L13/E16)</f>
        <v>0</v>
      </c>
      <c r="G16" s="164">
        <f>E16*INPUTS!J22</f>
        <v>0</v>
      </c>
      <c r="H16" s="165">
        <f>VLOOKUP(INPUTS!L13, TABLE!A4:R37, 5)</f>
        <v>0</v>
      </c>
      <c r="I16" s="166">
        <f>VLOOKUP(INPUTS!L13, TABLE!A4:R37, 10)</f>
        <v>0</v>
      </c>
      <c r="J16" s="161">
        <f>VLOOKUP(INPUTS!L13, TABLE!A4:R37, 6)</f>
        <v>0</v>
      </c>
      <c r="K16" s="167">
        <f>INPUTS!$J$17*J16</f>
        <v>0</v>
      </c>
      <c r="L16" s="167">
        <f>I16*INPUTS!$J$18</f>
        <v>0</v>
      </c>
      <c r="M16" s="167">
        <f>H16*INPUTS!$J$19/100</f>
        <v>0</v>
      </c>
      <c r="N16" s="167">
        <f>H16*INPUTS!$J$20/100</f>
        <v>0</v>
      </c>
      <c r="O16" s="165">
        <f>E16*INPUTS!J22*INPUTS!J24*INPUTS!J25</f>
        <v>0</v>
      </c>
      <c r="P16" s="167">
        <f>O16*INPUTS!$J$28/1000</f>
        <v>0</v>
      </c>
      <c r="Q16" s="167">
        <f>O16/1000*INPUTS!J29</f>
        <v>0</v>
      </c>
      <c r="R16" s="167">
        <f>O16*INPUTS!J30/1000</f>
        <v>0</v>
      </c>
      <c r="S16" s="167">
        <f>O16*8.33*1.2*INPUTS!$J$31/100000*INPUTS!$J$32</f>
        <v>0</v>
      </c>
      <c r="T16" s="172"/>
      <c r="U16" s="169"/>
      <c r="V16" s="170">
        <f>SUM((INPUTS!L13*70)/3960)/0.8</f>
        <v>0</v>
      </c>
      <c r="W16" s="167">
        <f>SUM(V16*0.746)*INPUTS!$J$34*24*INPUTS!$J$33*0.512</f>
        <v>0</v>
      </c>
      <c r="X16" s="6"/>
      <c r="Y16" s="6"/>
    </row>
    <row r="17" spans="1:25" s="12" customFormat="1" ht="15" customHeight="1" x14ac:dyDescent="0.25">
      <c r="A17" s="158" t="s">
        <v>0</v>
      </c>
      <c r="B17" s="173">
        <f>SUM(B7:B14)</f>
        <v>0</v>
      </c>
      <c r="C17" s="174">
        <f>SUM(C7:C14)</f>
        <v>0</v>
      </c>
      <c r="D17" s="158" t="s">
        <v>19</v>
      </c>
      <c r="E17" s="175">
        <f>SUM(E7:E14)</f>
        <v>0</v>
      </c>
      <c r="F17" s="175"/>
      <c r="G17" s="176">
        <f>SUM(G7:G14)</f>
        <v>0</v>
      </c>
      <c r="H17" s="173">
        <f t="shared" ref="H17:R17" si="0">SUM(H7:H14)</f>
        <v>0</v>
      </c>
      <c r="I17" s="177">
        <f t="shared" si="0"/>
        <v>0</v>
      </c>
      <c r="J17" s="178">
        <f t="shared" si="0"/>
        <v>0</v>
      </c>
      <c r="K17" s="177">
        <f t="shared" si="0"/>
        <v>0</v>
      </c>
      <c r="L17" s="177">
        <f t="shared" si="0"/>
        <v>0</v>
      </c>
      <c r="M17" s="177">
        <f t="shared" si="0"/>
        <v>0</v>
      </c>
      <c r="N17" s="179">
        <f t="shared" si="0"/>
        <v>0</v>
      </c>
      <c r="O17" s="173">
        <f t="shared" si="0"/>
        <v>0</v>
      </c>
      <c r="P17" s="179">
        <f t="shared" si="0"/>
        <v>0</v>
      </c>
      <c r="Q17" s="179">
        <f t="shared" si="0"/>
        <v>0</v>
      </c>
      <c r="R17" s="179">
        <f t="shared" si="0"/>
        <v>0</v>
      </c>
      <c r="S17" s="179">
        <f>SUM(S7:S14)</f>
        <v>0</v>
      </c>
      <c r="T17" s="168"/>
      <c r="U17" s="180"/>
      <c r="V17" s="181">
        <f>SUM(V7:V14)</f>
        <v>0</v>
      </c>
      <c r="W17" s="179">
        <f>SUM(W7:W14)</f>
        <v>0</v>
      </c>
    </row>
    <row r="18" spans="1:25" ht="20.149999999999999" customHeight="1" x14ac:dyDescent="0.25">
      <c r="A18" s="13"/>
      <c r="B18" s="14"/>
      <c r="C18" s="14"/>
      <c r="D18" s="14"/>
      <c r="E18" s="15"/>
      <c r="F18" s="14"/>
      <c r="G18" s="16"/>
      <c r="H18" s="16"/>
      <c r="I18" s="16"/>
      <c r="J18" s="16"/>
      <c r="K18" s="17"/>
      <c r="L18" s="18"/>
      <c r="M18" s="18"/>
      <c r="N18" s="18"/>
      <c r="O18" s="18"/>
      <c r="P18" s="18"/>
      <c r="Q18" s="18"/>
      <c r="R18" s="18"/>
      <c r="S18" s="19"/>
      <c r="T18" s="19"/>
      <c r="U18" s="19"/>
      <c r="V18" s="19"/>
      <c r="W18" s="19"/>
      <c r="X18" s="19"/>
      <c r="Y18" s="20"/>
    </row>
    <row r="19" spans="1:25" s="9" customFormat="1" ht="29.5" customHeight="1" x14ac:dyDescent="0.25">
      <c r="A19" s="366" t="s">
        <v>32</v>
      </c>
      <c r="B19" s="366"/>
      <c r="C19" s="366"/>
      <c r="D19" s="366"/>
      <c r="E19" s="366"/>
      <c r="F19" s="366"/>
      <c r="G19" s="366"/>
      <c r="H19" s="366"/>
      <c r="I19" s="366"/>
      <c r="J19" s="366"/>
      <c r="K19" s="366"/>
      <c r="L19" s="366"/>
      <c r="M19" s="366"/>
      <c r="N19" s="366"/>
      <c r="O19" s="366"/>
      <c r="P19" s="366"/>
      <c r="Q19" s="366"/>
      <c r="R19" s="366"/>
      <c r="S19" s="366"/>
      <c r="T19" s="366"/>
      <c r="U19" s="366"/>
      <c r="V19" s="366"/>
      <c r="W19" s="366"/>
      <c r="X19" s="8"/>
      <c r="Y19" s="8"/>
    </row>
    <row r="20" spans="1:25" s="10" customFormat="1" ht="21" customHeight="1" x14ac:dyDescent="0.25">
      <c r="A20" s="373" t="s">
        <v>16</v>
      </c>
      <c r="B20" s="373"/>
      <c r="C20" s="372" t="s">
        <v>24</v>
      </c>
      <c r="D20" s="372"/>
      <c r="E20" s="372"/>
      <c r="F20" s="372"/>
      <c r="G20" s="372"/>
      <c r="H20" s="372"/>
      <c r="I20" s="372" t="s">
        <v>18</v>
      </c>
      <c r="J20" s="372"/>
      <c r="K20" s="372"/>
      <c r="L20" s="372"/>
      <c r="M20" s="372"/>
      <c r="N20" s="372"/>
      <c r="O20" s="372" t="s">
        <v>58</v>
      </c>
      <c r="P20" s="372"/>
      <c r="Q20" s="372"/>
      <c r="R20" s="372"/>
      <c r="S20" s="372"/>
      <c r="T20" s="372"/>
      <c r="U20" s="372"/>
      <c r="V20" s="372"/>
      <c r="W20" s="372"/>
    </row>
    <row r="21" spans="1:25" ht="21" customHeight="1" x14ac:dyDescent="0.25">
      <c r="A21" s="369" t="s">
        <v>87</v>
      </c>
      <c r="B21" s="369" t="s">
        <v>240</v>
      </c>
      <c r="C21" s="371" t="s">
        <v>64</v>
      </c>
      <c r="D21" s="369" t="s">
        <v>250</v>
      </c>
      <c r="E21" s="369" t="s">
        <v>251</v>
      </c>
      <c r="F21" s="369" t="s">
        <v>259</v>
      </c>
      <c r="G21" s="369" t="s">
        <v>242</v>
      </c>
      <c r="H21" s="369" t="s">
        <v>243</v>
      </c>
      <c r="I21" s="369" t="s">
        <v>244</v>
      </c>
      <c r="J21" s="371" t="s">
        <v>2</v>
      </c>
      <c r="K21" s="371"/>
      <c r="L21" s="369" t="s">
        <v>19</v>
      </c>
      <c r="M21" s="369" t="s">
        <v>19</v>
      </c>
      <c r="N21" s="369" t="s">
        <v>249</v>
      </c>
      <c r="O21" s="371" t="s">
        <v>3</v>
      </c>
      <c r="P21" s="371"/>
      <c r="Q21" s="371"/>
      <c r="R21" s="371"/>
      <c r="S21" s="371"/>
      <c r="T21" s="371" t="s">
        <v>25</v>
      </c>
      <c r="U21" s="371"/>
      <c r="V21" s="371" t="s">
        <v>26</v>
      </c>
      <c r="W21" s="371"/>
      <c r="X21" s="6"/>
      <c r="Y21" s="6"/>
    </row>
    <row r="22" spans="1:25" ht="45" customHeight="1" x14ac:dyDescent="0.25">
      <c r="A22" s="369"/>
      <c r="B22" s="369"/>
      <c r="C22" s="371"/>
      <c r="D22" s="369"/>
      <c r="E22" s="369"/>
      <c r="F22" s="369"/>
      <c r="G22" s="369"/>
      <c r="H22" s="369"/>
      <c r="I22" s="369"/>
      <c r="J22" s="183" t="s">
        <v>245</v>
      </c>
      <c r="K22" s="183" t="s">
        <v>37</v>
      </c>
      <c r="L22" s="369"/>
      <c r="M22" s="369"/>
      <c r="N22" s="369"/>
      <c r="O22" s="182" t="s">
        <v>85</v>
      </c>
      <c r="P22" s="182" t="s">
        <v>253</v>
      </c>
      <c r="Q22" s="182" t="s">
        <v>254</v>
      </c>
      <c r="R22" s="182" t="s">
        <v>256</v>
      </c>
      <c r="S22" s="182" t="s">
        <v>257</v>
      </c>
      <c r="T22" s="182" t="s">
        <v>11</v>
      </c>
      <c r="U22" s="182" t="s">
        <v>36</v>
      </c>
      <c r="V22" s="182" t="s">
        <v>41</v>
      </c>
      <c r="W22" s="182" t="s">
        <v>258</v>
      </c>
      <c r="X22" s="6"/>
      <c r="Y22" s="6"/>
    </row>
    <row r="23" spans="1:25" ht="15" customHeight="1" x14ac:dyDescent="0.25">
      <c r="A23" s="184">
        <f>INPUTS!B9</f>
        <v>0</v>
      </c>
      <c r="B23" s="185">
        <f>INPUTS!E9</f>
        <v>0</v>
      </c>
      <c r="C23" s="185">
        <f>VLOOKUP(INPUTS!E9, TABLE!A4:R37, 11)</f>
        <v>0</v>
      </c>
      <c r="D23" s="185">
        <f>VLOOKUP(INPUTS!E9, TABLE!A4:R37, 12)</f>
        <v>0</v>
      </c>
      <c r="E23" s="186">
        <f>VLOOKUP(INPUTS!E9, TABLE!A4:R37, 13)</f>
        <v>0</v>
      </c>
      <c r="F23" s="187">
        <f t="shared" ref="F23:F30" si="1">IF(E23=0,0,B23/E23)</f>
        <v>0</v>
      </c>
      <c r="G23" s="188">
        <f>VLOOKUP(INPUTS!E9, TABLE!A4:R37, 14)</f>
        <v>0</v>
      </c>
      <c r="H23" s="189">
        <f t="shared" ref="H23:H30" si="2">0.075*E23</f>
        <v>0</v>
      </c>
      <c r="I23" s="190">
        <f>VLOOKUP(INPUTS!E9, TABLE!A4:R37, 18)</f>
        <v>0</v>
      </c>
      <c r="J23" s="191">
        <f>VLOOKUP(INPUTS!E9, TABLE!A4:R37, 15)</f>
        <v>0</v>
      </c>
      <c r="K23" s="192">
        <f>INPUTS!$J$17*J23</f>
        <v>0</v>
      </c>
      <c r="L23" s="193"/>
      <c r="M23" s="193"/>
      <c r="N23" s="192">
        <f>H23*INPUTS!$J$21</f>
        <v>0</v>
      </c>
      <c r="O23" s="189">
        <f>IF(INPUTS!D9="I",(G23*2*INPUTS!J27+0.1*O7),(G23*2*INPUTS!J27))</f>
        <v>0</v>
      </c>
      <c r="P23" s="192">
        <f>O23*INPUTS!$J$28/1000</f>
        <v>0</v>
      </c>
      <c r="Q23" s="192">
        <f>O23*INPUTS!J29/1000</f>
        <v>0</v>
      </c>
      <c r="R23" s="192">
        <f t="shared" ref="R23:R30" si="3">O23*0.003</f>
        <v>0</v>
      </c>
      <c r="S23" s="192">
        <f>O23*8.33*1.2*INPUTS!$J$31/100000*INPUTS!$J$32</f>
        <v>0</v>
      </c>
      <c r="T23" s="189">
        <f>H23*INPUTS!$J$27</f>
        <v>0</v>
      </c>
      <c r="U23" s="192">
        <f>T23*INPUTS!$J$21</f>
        <v>0</v>
      </c>
      <c r="V23" s="194">
        <f t="shared" ref="V23:V30" si="4">SUM((B23*55)/3960)/0.8</f>
        <v>0</v>
      </c>
      <c r="W23" s="192">
        <f>(SUM(V23*0.746)*INPUTS!$J$34*24*INPUTS!$J$33)*0.512</f>
        <v>0</v>
      </c>
      <c r="X23" s="6"/>
      <c r="Y23" s="6"/>
    </row>
    <row r="24" spans="1:25" ht="15" customHeight="1" x14ac:dyDescent="0.25">
      <c r="A24" s="184">
        <f>INPUTS!B10</f>
        <v>0</v>
      </c>
      <c r="B24" s="185">
        <f>INPUTS!E10</f>
        <v>0</v>
      </c>
      <c r="C24" s="185">
        <f>VLOOKUP(INPUTS!E10, TABLE!A4:R37, 11)</f>
        <v>0</v>
      </c>
      <c r="D24" s="185">
        <f>VLOOKUP(INPUTS!E10, TABLE!A4:R37, 12)</f>
        <v>0</v>
      </c>
      <c r="E24" s="186">
        <f>VLOOKUP(INPUTS!E10, TABLE!A4:R37, 13)</f>
        <v>0</v>
      </c>
      <c r="F24" s="187">
        <f t="shared" si="1"/>
        <v>0</v>
      </c>
      <c r="G24" s="188">
        <f>VLOOKUP(INPUTS!E10, TABLE!A4:R37, 14)</f>
        <v>0</v>
      </c>
      <c r="H24" s="189">
        <f t="shared" si="2"/>
        <v>0</v>
      </c>
      <c r="I24" s="190">
        <f>VLOOKUP(INPUTS!E10, TABLE!A4:R37, 18)</f>
        <v>0</v>
      </c>
      <c r="J24" s="191">
        <f>VLOOKUP(INPUTS!E10, TABLE!A4:R37, 15)</f>
        <v>0</v>
      </c>
      <c r="K24" s="192">
        <f>INPUTS!$J$17*J24</f>
        <v>0</v>
      </c>
      <c r="L24" s="193"/>
      <c r="M24" s="193"/>
      <c r="N24" s="192">
        <f>H24*INPUTS!$J$21</f>
        <v>0</v>
      </c>
      <c r="O24" s="189">
        <f>IF(INPUTS!D10="I",(G24*2*INPUTS!J27+0.1*O8),(G24*2*INPUTS!J27))</f>
        <v>0</v>
      </c>
      <c r="P24" s="192">
        <f>O24*INPUTS!$J$28/1000</f>
        <v>0</v>
      </c>
      <c r="Q24" s="192">
        <f>O24*INPUTS!J29/1000</f>
        <v>0</v>
      </c>
      <c r="R24" s="192">
        <f t="shared" si="3"/>
        <v>0</v>
      </c>
      <c r="S24" s="192">
        <f>O24*8.33*1.2*INPUTS!$J$31/100000*INPUTS!$J$32</f>
        <v>0</v>
      </c>
      <c r="T24" s="189">
        <f>H24*INPUTS!$J$27</f>
        <v>0</v>
      </c>
      <c r="U24" s="192">
        <f>T24*INPUTS!$J$21</f>
        <v>0</v>
      </c>
      <c r="V24" s="194">
        <f t="shared" si="4"/>
        <v>0</v>
      </c>
      <c r="W24" s="192">
        <f>(SUM(V24*0.746)*INPUTS!$J$34*24*INPUTS!$J$33)*0.512</f>
        <v>0</v>
      </c>
      <c r="X24" s="6"/>
      <c r="Y24" s="6"/>
    </row>
    <row r="25" spans="1:25" ht="15" customHeight="1" x14ac:dyDescent="0.25">
      <c r="A25" s="184">
        <f>INPUTS!B11</f>
        <v>0</v>
      </c>
      <c r="B25" s="185">
        <f>INPUTS!E11</f>
        <v>0</v>
      </c>
      <c r="C25" s="185">
        <f>VLOOKUP(INPUTS!E11, TABLE!A4:R37, 11)</f>
        <v>0</v>
      </c>
      <c r="D25" s="185">
        <f>VLOOKUP(INPUTS!E11, TABLE!A4:R37, 12)</f>
        <v>0</v>
      </c>
      <c r="E25" s="186">
        <f>VLOOKUP(INPUTS!E11, TABLE!A4:R37, 13)</f>
        <v>0</v>
      </c>
      <c r="F25" s="187">
        <f t="shared" si="1"/>
        <v>0</v>
      </c>
      <c r="G25" s="188">
        <f>VLOOKUP(INPUTS!E11, TABLE!A4:R37, 14)</f>
        <v>0</v>
      </c>
      <c r="H25" s="189">
        <f t="shared" si="2"/>
        <v>0</v>
      </c>
      <c r="I25" s="190">
        <f>VLOOKUP(INPUTS!E11, TABLE!A4:R37, 18)</f>
        <v>0</v>
      </c>
      <c r="J25" s="191">
        <f>VLOOKUP(INPUTS!E11, TABLE!A4:R37, 15)</f>
        <v>0</v>
      </c>
      <c r="K25" s="192">
        <f>INPUTS!$J$17*J25</f>
        <v>0</v>
      </c>
      <c r="L25" s="193"/>
      <c r="M25" s="193"/>
      <c r="N25" s="192">
        <f>H25*INPUTS!$J$21</f>
        <v>0</v>
      </c>
      <c r="O25" s="189">
        <f>IF(INPUTS!D11="I",(G25*2*INPUTS!J27+0.1*O9),(G25*2*INPUTS!J27))</f>
        <v>0</v>
      </c>
      <c r="P25" s="192">
        <f>O25*INPUTS!$J$28/1000</f>
        <v>0</v>
      </c>
      <c r="Q25" s="192">
        <f>O25*INPUTS!J29/1000</f>
        <v>0</v>
      </c>
      <c r="R25" s="192">
        <f t="shared" si="3"/>
        <v>0</v>
      </c>
      <c r="S25" s="192">
        <f>O25*8.33*1.2*INPUTS!$J$31/100000*INPUTS!$J$32</f>
        <v>0</v>
      </c>
      <c r="T25" s="189">
        <f>H25*INPUTS!$J$27</f>
        <v>0</v>
      </c>
      <c r="U25" s="192">
        <f>T25*INPUTS!$J$21</f>
        <v>0</v>
      </c>
      <c r="V25" s="194">
        <f t="shared" si="4"/>
        <v>0</v>
      </c>
      <c r="W25" s="192">
        <f>(SUM(V25*0.746)*INPUTS!$J$34*24*INPUTS!$J$33)*0.512</f>
        <v>0</v>
      </c>
      <c r="X25" s="6"/>
      <c r="Y25" s="6"/>
    </row>
    <row r="26" spans="1:25" ht="15" customHeight="1" x14ac:dyDescent="0.25">
      <c r="A26" s="184">
        <f>INPUTS!B12</f>
        <v>0</v>
      </c>
      <c r="B26" s="185">
        <f>INPUTS!E12</f>
        <v>0</v>
      </c>
      <c r="C26" s="185">
        <f>VLOOKUP(INPUTS!E12, TABLE!A4:R37, 11)</f>
        <v>0</v>
      </c>
      <c r="D26" s="185">
        <f>VLOOKUP(INPUTS!E12, TABLE!A4:R37, 12)</f>
        <v>0</v>
      </c>
      <c r="E26" s="186">
        <f>VLOOKUP(INPUTS!E12, TABLE!A4:R37, 13)</f>
        <v>0</v>
      </c>
      <c r="F26" s="187">
        <f>IF(E26=0,0,B26/E26)</f>
        <v>0</v>
      </c>
      <c r="G26" s="188">
        <f>VLOOKUP(INPUTS!E12, TABLE!A4:R37, 14)</f>
        <v>0</v>
      </c>
      <c r="H26" s="189">
        <f>0.075*E26</f>
        <v>0</v>
      </c>
      <c r="I26" s="190">
        <f>VLOOKUP(INPUTS!E12, TABLE!A4:R37, 18)</f>
        <v>0</v>
      </c>
      <c r="J26" s="191">
        <f>VLOOKUP(INPUTS!E12, TABLE!A4:R37, 15)</f>
        <v>0</v>
      </c>
      <c r="K26" s="192">
        <f>INPUTS!$J$17*J26</f>
        <v>0</v>
      </c>
      <c r="L26" s="193"/>
      <c r="M26" s="193"/>
      <c r="N26" s="192">
        <f>H26*INPUTS!$J$21</f>
        <v>0</v>
      </c>
      <c r="O26" s="189">
        <f>IF(INPUTS!D12="I",(G26*2*INPUTS!J27+0.1*O10),(G26*2*INPUTS!J27))</f>
        <v>0</v>
      </c>
      <c r="P26" s="192">
        <f>O26*INPUTS!$J$28/1000</f>
        <v>0</v>
      </c>
      <c r="Q26" s="192">
        <f>O26*INPUTS!J29/1000</f>
        <v>0</v>
      </c>
      <c r="R26" s="192">
        <f>O26*0.003</f>
        <v>0</v>
      </c>
      <c r="S26" s="192">
        <f>O26*8.33*1.2*INPUTS!$J$31/100000*INPUTS!$J$32</f>
        <v>0</v>
      </c>
      <c r="T26" s="189">
        <f>H26*INPUTS!$J$27</f>
        <v>0</v>
      </c>
      <c r="U26" s="192">
        <f>T26*INPUTS!$J$21</f>
        <v>0</v>
      </c>
      <c r="V26" s="194">
        <f>SUM((B26*55)/3960)/0.8</f>
        <v>0</v>
      </c>
      <c r="W26" s="192">
        <f>(SUM(V26*0.746)*INPUTS!$J$34*24*INPUTS!$J$33)*0.512</f>
        <v>0</v>
      </c>
      <c r="X26" s="6"/>
      <c r="Y26" s="6"/>
    </row>
    <row r="27" spans="1:25" ht="15" customHeight="1" x14ac:dyDescent="0.25">
      <c r="A27" s="184">
        <f>INPUTS!B13</f>
        <v>0</v>
      </c>
      <c r="B27" s="185">
        <f>INPUTS!E13</f>
        <v>0</v>
      </c>
      <c r="C27" s="185">
        <f>VLOOKUP(INPUTS!E13, TABLE!A4:R37, 11)</f>
        <v>0</v>
      </c>
      <c r="D27" s="185">
        <f>VLOOKUP(INPUTS!E13, TABLE!A4:R37, 12)</f>
        <v>0</v>
      </c>
      <c r="E27" s="186">
        <f>VLOOKUP(INPUTS!E13, TABLE!A4:R37, 13)</f>
        <v>0</v>
      </c>
      <c r="F27" s="187">
        <f>IF(E27=0,0,B27/E27)</f>
        <v>0</v>
      </c>
      <c r="G27" s="188">
        <f>VLOOKUP(INPUTS!E13, TABLE!A4:R37, 14)</f>
        <v>0</v>
      </c>
      <c r="H27" s="189">
        <f>0.075*E27</f>
        <v>0</v>
      </c>
      <c r="I27" s="190">
        <f>VLOOKUP(INPUTS!E13, TABLE!A4:R37, 18)</f>
        <v>0</v>
      </c>
      <c r="J27" s="191">
        <f>VLOOKUP(INPUTS!E13, TABLE!A4:R37, 15)</f>
        <v>0</v>
      </c>
      <c r="K27" s="192">
        <f>INPUTS!$J$17*J27</f>
        <v>0</v>
      </c>
      <c r="L27" s="193"/>
      <c r="M27" s="193"/>
      <c r="N27" s="192">
        <f>H27*INPUTS!$J$21</f>
        <v>0</v>
      </c>
      <c r="O27" s="189">
        <f>IF(INPUTS!D13="I",(G27*2*INPUTS!J27+0.1*O11),(G27*2*INPUTS!J27))</f>
        <v>0</v>
      </c>
      <c r="P27" s="192">
        <f>O27*INPUTS!$J$28/1000</f>
        <v>0</v>
      </c>
      <c r="Q27" s="192">
        <f>O27*INPUTS!J29/1000</f>
        <v>0</v>
      </c>
      <c r="R27" s="192">
        <f>O27*0.003</f>
        <v>0</v>
      </c>
      <c r="S27" s="192">
        <f>O27*8.33*1.2*INPUTS!$J$31/100000*INPUTS!$J$32</f>
        <v>0</v>
      </c>
      <c r="T27" s="189">
        <f>H27*INPUTS!$J$27</f>
        <v>0</v>
      </c>
      <c r="U27" s="192">
        <f>T27*INPUTS!$J$21</f>
        <v>0</v>
      </c>
      <c r="V27" s="194">
        <f>SUM((B27*55)/3960)/0.8</f>
        <v>0</v>
      </c>
      <c r="W27" s="192">
        <f>(SUM(V27*0.746)*INPUTS!$J$34*24*INPUTS!$J$33)*0.512</f>
        <v>0</v>
      </c>
      <c r="X27" s="6"/>
      <c r="Y27" s="6"/>
    </row>
    <row r="28" spans="1:25" ht="15" customHeight="1" x14ac:dyDescent="0.25">
      <c r="A28" s="184">
        <f>INPUTS!H9</f>
        <v>0</v>
      </c>
      <c r="B28" s="185">
        <f>INPUTS!L9</f>
        <v>0</v>
      </c>
      <c r="C28" s="185">
        <f>VLOOKUP(INPUTS!L9, TABLE!A4:R37, 11)</f>
        <v>0</v>
      </c>
      <c r="D28" s="185">
        <f>VLOOKUP(INPUTS!L9, TABLE!A4:R37, 12)</f>
        <v>0</v>
      </c>
      <c r="E28" s="186">
        <f>VLOOKUP(INPUTS!L9, TABLE!A4:R37, 13)</f>
        <v>0</v>
      </c>
      <c r="F28" s="187">
        <f t="shared" si="1"/>
        <v>0</v>
      </c>
      <c r="G28" s="188">
        <f>VLOOKUP(INPUTS!L9, TABLE!A4:R37, 14)</f>
        <v>0</v>
      </c>
      <c r="H28" s="189">
        <f t="shared" si="2"/>
        <v>0</v>
      </c>
      <c r="I28" s="190">
        <f>VLOOKUP(INPUTS!L9, TABLE!A4:R37, 18)</f>
        <v>0</v>
      </c>
      <c r="J28" s="191">
        <f>VLOOKUP(INPUTS!L9, TABLE!A4:R37, 15)</f>
        <v>0</v>
      </c>
      <c r="K28" s="192">
        <f>INPUTS!$J$17*J28</f>
        <v>0</v>
      </c>
      <c r="L28" s="193"/>
      <c r="M28" s="193"/>
      <c r="N28" s="192">
        <f>H28*INPUTS!$J$21</f>
        <v>0</v>
      </c>
      <c r="O28" s="189">
        <f>IF(INPUTS!K9="I",(G28*2*INPUTS!J27+0.1*O12),(G28*2*INPUTS!J27))</f>
        <v>0</v>
      </c>
      <c r="P28" s="192">
        <f>O28*INPUTS!$J$28/1000</f>
        <v>0</v>
      </c>
      <c r="Q28" s="192">
        <f>O28*INPUTS!J29/1000</f>
        <v>0</v>
      </c>
      <c r="R28" s="192">
        <f t="shared" si="3"/>
        <v>0</v>
      </c>
      <c r="S28" s="192">
        <f>O28*8.33*1.2*INPUTS!$J$31/100000*INPUTS!$J$32</f>
        <v>0</v>
      </c>
      <c r="T28" s="189">
        <f>H28*INPUTS!$J$27</f>
        <v>0</v>
      </c>
      <c r="U28" s="192">
        <f>T28*INPUTS!$J$21</f>
        <v>0</v>
      </c>
      <c r="V28" s="194">
        <f t="shared" si="4"/>
        <v>0</v>
      </c>
      <c r="W28" s="192">
        <f>(SUM(V28*0.746)*INPUTS!$J$34*24*INPUTS!$J$33)*0.512</f>
        <v>0</v>
      </c>
      <c r="X28" s="6"/>
      <c r="Y28" s="6"/>
    </row>
    <row r="29" spans="1:25" ht="15" customHeight="1" x14ac:dyDescent="0.25">
      <c r="A29" s="184">
        <f>INPUTS!H10</f>
        <v>0</v>
      </c>
      <c r="B29" s="185">
        <f>INPUTS!L10</f>
        <v>0</v>
      </c>
      <c r="C29" s="185">
        <f>VLOOKUP(INPUTS!L10, TABLE!A4:R37, 11)</f>
        <v>0</v>
      </c>
      <c r="D29" s="185">
        <f>VLOOKUP(INPUTS!L10, TABLE!A4:R37, 12)</f>
        <v>0</v>
      </c>
      <c r="E29" s="186">
        <f>VLOOKUP(INPUTS!L10, TABLE!A4:R37, 13)</f>
        <v>0</v>
      </c>
      <c r="F29" s="187">
        <f t="shared" si="1"/>
        <v>0</v>
      </c>
      <c r="G29" s="188">
        <f>VLOOKUP(INPUTS!L10, TABLE!A4:R37, 14)</f>
        <v>0</v>
      </c>
      <c r="H29" s="189">
        <f t="shared" si="2"/>
        <v>0</v>
      </c>
      <c r="I29" s="190">
        <f>VLOOKUP(INPUTS!L10, TABLE!A4:R37, 18)</f>
        <v>0</v>
      </c>
      <c r="J29" s="191">
        <f>VLOOKUP(INPUTS!L10, TABLE!A4:R37, 15)</f>
        <v>0</v>
      </c>
      <c r="K29" s="192">
        <f>INPUTS!$J$17*J29</f>
        <v>0</v>
      </c>
      <c r="L29" s="193"/>
      <c r="M29" s="193"/>
      <c r="N29" s="192">
        <f>H29*INPUTS!$J$21</f>
        <v>0</v>
      </c>
      <c r="O29" s="189">
        <f>IF(INPUTS!K10="I",(G29*2*INPUTS!J27+0.1*O13),(G29*2*INPUTS!J27))</f>
        <v>0</v>
      </c>
      <c r="P29" s="192">
        <f>O29*INPUTS!$J$28/1000</f>
        <v>0</v>
      </c>
      <c r="Q29" s="192">
        <f>O29*INPUTS!J29/1000</f>
        <v>0</v>
      </c>
      <c r="R29" s="192">
        <f t="shared" si="3"/>
        <v>0</v>
      </c>
      <c r="S29" s="192">
        <f>O29*8.33*1.2*INPUTS!$J$31/100000*INPUTS!$J$32</f>
        <v>0</v>
      </c>
      <c r="T29" s="189">
        <f>H29*INPUTS!$J$27</f>
        <v>0</v>
      </c>
      <c r="U29" s="192">
        <f>T29*INPUTS!$J$21</f>
        <v>0</v>
      </c>
      <c r="V29" s="194">
        <f t="shared" si="4"/>
        <v>0</v>
      </c>
      <c r="W29" s="192">
        <f>(SUM(V29*0.746)*INPUTS!$J$34*24*INPUTS!$J$33)*0.512</f>
        <v>0</v>
      </c>
      <c r="X29" s="6"/>
      <c r="Y29" s="6"/>
    </row>
    <row r="30" spans="1:25" ht="15" customHeight="1" x14ac:dyDescent="0.25">
      <c r="A30" s="184">
        <f>INPUTS!H11</f>
        <v>0</v>
      </c>
      <c r="B30" s="185">
        <f>INPUTS!L11</f>
        <v>0</v>
      </c>
      <c r="C30" s="185">
        <f>VLOOKUP(INPUTS!L11, TABLE!A4:R37, 11)</f>
        <v>0</v>
      </c>
      <c r="D30" s="185">
        <f>VLOOKUP(INPUTS!L11, TABLE!A4:R37, 12)</f>
        <v>0</v>
      </c>
      <c r="E30" s="186">
        <f>VLOOKUP(INPUTS!L11, TABLE!A4:R37, 13)</f>
        <v>0</v>
      </c>
      <c r="F30" s="187">
        <f t="shared" si="1"/>
        <v>0</v>
      </c>
      <c r="G30" s="188">
        <f>VLOOKUP(INPUTS!L11, TABLE!A4:R37, 14)</f>
        <v>0</v>
      </c>
      <c r="H30" s="189">
        <f t="shared" si="2"/>
        <v>0</v>
      </c>
      <c r="I30" s="190">
        <f>VLOOKUP(INPUTS!L11, TABLE!A4:R37, 18)</f>
        <v>0</v>
      </c>
      <c r="J30" s="191">
        <f>VLOOKUP(INPUTS!L11, TABLE!A4:R37, 15)</f>
        <v>0</v>
      </c>
      <c r="K30" s="192">
        <f>INPUTS!$J$17*J30</f>
        <v>0</v>
      </c>
      <c r="L30" s="193"/>
      <c r="M30" s="193"/>
      <c r="N30" s="192">
        <f>H30*INPUTS!$J$21</f>
        <v>0</v>
      </c>
      <c r="O30" s="189">
        <f>IF(INPUTS!K11="I",(G30*2*INPUTS!J27+0.1*O14),(G30*2*INPUTS!J27))</f>
        <v>0</v>
      </c>
      <c r="P30" s="192">
        <f>O30*INPUTS!$J$28/1000</f>
        <v>0</v>
      </c>
      <c r="Q30" s="192">
        <f>O30*INPUTS!J29/1000</f>
        <v>0</v>
      </c>
      <c r="R30" s="192">
        <f t="shared" si="3"/>
        <v>0</v>
      </c>
      <c r="S30" s="192">
        <f>O30*8.33*1.2*INPUTS!$J$31/100000*INPUTS!$J$32</f>
        <v>0</v>
      </c>
      <c r="T30" s="189">
        <f>H30*INPUTS!$J$27</f>
        <v>0</v>
      </c>
      <c r="U30" s="192">
        <f>T30*INPUTS!$J$21</f>
        <v>0</v>
      </c>
      <c r="V30" s="194">
        <f t="shared" si="4"/>
        <v>0</v>
      </c>
      <c r="W30" s="192">
        <f>(SUM(V30*0.746)*INPUTS!$J$34*24*INPUTS!$J$33)*0.512</f>
        <v>0</v>
      </c>
      <c r="X30" s="6"/>
      <c r="Y30" s="6"/>
    </row>
    <row r="31" spans="1:25" ht="15" customHeight="1" x14ac:dyDescent="0.25">
      <c r="A31" s="184">
        <f>INPUTS!H12</f>
        <v>0</v>
      </c>
      <c r="B31" s="185">
        <f>INPUTS!L12</f>
        <v>0</v>
      </c>
      <c r="C31" s="185">
        <f>VLOOKUP(INPUTS!L12, TABLE!A4:R37, 11)</f>
        <v>0</v>
      </c>
      <c r="D31" s="185">
        <f>VLOOKUP(INPUTS!L12, TABLE!A4:R37, 12)</f>
        <v>0</v>
      </c>
      <c r="E31" s="186">
        <f>VLOOKUP(INPUTS!L12, TABLE!A4:R37, 13)</f>
        <v>0</v>
      </c>
      <c r="F31" s="187">
        <f>IF(E31=0,0,B31/E31)</f>
        <v>0</v>
      </c>
      <c r="G31" s="188">
        <f>VLOOKUP(INPUTS!L12, TABLE!A4:R37, 14)</f>
        <v>0</v>
      </c>
      <c r="H31" s="189">
        <f>0.075*E31</f>
        <v>0</v>
      </c>
      <c r="I31" s="190">
        <f>VLOOKUP(INPUTS!L12, TABLE!A4:R37, 18)</f>
        <v>0</v>
      </c>
      <c r="J31" s="191">
        <f>VLOOKUP(INPUTS!L12, TABLE!A4:R37, 15)</f>
        <v>0</v>
      </c>
      <c r="K31" s="192">
        <f>INPUTS!$J$17*J31</f>
        <v>0</v>
      </c>
      <c r="L31" s="193"/>
      <c r="M31" s="193"/>
      <c r="N31" s="192">
        <f>H31*INPUTS!$J$21</f>
        <v>0</v>
      </c>
      <c r="O31" s="189">
        <f>IF(INPUTS!K12="I",(G31*2*INPUTS!J27+0.1*O15),(G31*2*INPUTS!J27))</f>
        <v>0</v>
      </c>
      <c r="P31" s="192">
        <f>O31*INPUTS!$J$28/1000</f>
        <v>0</v>
      </c>
      <c r="Q31" s="192">
        <f>O31*INPUTS!J29/1000</f>
        <v>0</v>
      </c>
      <c r="R31" s="192">
        <f>O31*0.003</f>
        <v>0</v>
      </c>
      <c r="S31" s="192">
        <f>O31*8.33*1.2*INPUTS!$J$31/100000*INPUTS!$J$32</f>
        <v>0</v>
      </c>
      <c r="T31" s="189">
        <f>H31*INPUTS!$J$27</f>
        <v>0</v>
      </c>
      <c r="U31" s="192">
        <f>T31*INPUTS!$J$21</f>
        <v>0</v>
      </c>
      <c r="V31" s="194">
        <f>SUM((B31*55)/3960)/0.8</f>
        <v>0</v>
      </c>
      <c r="W31" s="192">
        <f>(SUM(V31*0.746)*INPUTS!$J$34*24*INPUTS!$J$33)*0.512</f>
        <v>0</v>
      </c>
      <c r="X31" s="6"/>
      <c r="Y31" s="6"/>
    </row>
    <row r="32" spans="1:25" ht="15" customHeight="1" x14ac:dyDescent="0.25">
      <c r="A32" s="184">
        <f>INPUTS!H13</f>
        <v>0</v>
      </c>
      <c r="B32" s="185">
        <f>INPUTS!L13</f>
        <v>0</v>
      </c>
      <c r="C32" s="185">
        <f>VLOOKUP(INPUTS!L13, TABLE!A4:R37, 11)</f>
        <v>0</v>
      </c>
      <c r="D32" s="185">
        <f>VLOOKUP(INPUTS!L13, TABLE!A4:R37, 12)</f>
        <v>0</v>
      </c>
      <c r="E32" s="186">
        <f>VLOOKUP(INPUTS!L13, TABLE!A4:R37, 13)</f>
        <v>0</v>
      </c>
      <c r="F32" s="187">
        <f>IF(E32=0,0,B32/E32)</f>
        <v>0</v>
      </c>
      <c r="G32" s="188">
        <f>VLOOKUP(INPUTS!L13, TABLE!A4:R37, 14)</f>
        <v>0</v>
      </c>
      <c r="H32" s="189">
        <f>0.075*E32</f>
        <v>0</v>
      </c>
      <c r="I32" s="190">
        <f>VLOOKUP(INPUTS!L13, TABLE!A4:R37, 18)</f>
        <v>0</v>
      </c>
      <c r="J32" s="191">
        <f>VLOOKUP(INPUTS!L13, TABLE!A4:R37, 15)</f>
        <v>0</v>
      </c>
      <c r="K32" s="192">
        <f>INPUTS!$J$17*J32</f>
        <v>0</v>
      </c>
      <c r="L32" s="193"/>
      <c r="M32" s="193"/>
      <c r="N32" s="192">
        <f>H32*INPUTS!$J$21</f>
        <v>0</v>
      </c>
      <c r="O32" s="189">
        <f>IF(INPUTS!K13="I",(G32*2*INPUTS!J27+0.1*O16),(G32*2*INPUTS!J27))</f>
        <v>0</v>
      </c>
      <c r="P32" s="192">
        <f>O32*INPUTS!$J$28/1000</f>
        <v>0</v>
      </c>
      <c r="Q32" s="192">
        <f>O32*INPUTS!J29/1000</f>
        <v>0</v>
      </c>
      <c r="R32" s="192">
        <f>O32*0.003</f>
        <v>0</v>
      </c>
      <c r="S32" s="192">
        <f>O32*8.33*1.2*INPUTS!$J$31/100000*INPUTS!$J$32</f>
        <v>0</v>
      </c>
      <c r="T32" s="189">
        <f>H32*INPUTS!$J$27</f>
        <v>0</v>
      </c>
      <c r="U32" s="192">
        <f>T32*INPUTS!$J$21</f>
        <v>0</v>
      </c>
      <c r="V32" s="194">
        <f>SUM((B32*55)/3960)/0.8</f>
        <v>0</v>
      </c>
      <c r="W32" s="192">
        <f>(SUM(V32*0.746)*INPUTS!$J$34*24*INPUTS!$J$33)*0.512</f>
        <v>0</v>
      </c>
      <c r="X32" s="6"/>
      <c r="Y32" s="6"/>
    </row>
    <row r="33" spans="1:25" ht="15" customHeight="1" x14ac:dyDescent="0.25">
      <c r="A33" s="184" t="s">
        <v>123</v>
      </c>
      <c r="B33" s="185"/>
      <c r="C33" s="191">
        <f>INPUTS!J36</f>
        <v>1</v>
      </c>
      <c r="D33" s="185"/>
      <c r="E33" s="186"/>
      <c r="F33" s="187"/>
      <c r="G33" s="188"/>
      <c r="H33" s="189"/>
      <c r="I33" s="190">
        <f>C33*TABLE!R39</f>
        <v>1379.9541184</v>
      </c>
      <c r="J33" s="191"/>
      <c r="K33" s="192"/>
      <c r="L33" s="193"/>
      <c r="M33" s="193"/>
      <c r="N33" s="192"/>
      <c r="O33" s="189"/>
      <c r="P33" s="192"/>
      <c r="Q33" s="192"/>
      <c r="R33" s="192"/>
      <c r="S33" s="192"/>
      <c r="T33" s="189"/>
      <c r="U33" s="192"/>
      <c r="V33" s="194"/>
      <c r="W33" s="192"/>
      <c r="X33" s="6"/>
      <c r="Y33" s="6"/>
    </row>
    <row r="34" spans="1:25" ht="15" customHeight="1" x14ac:dyDescent="0.25">
      <c r="A34" s="184" t="s">
        <v>126</v>
      </c>
      <c r="B34" s="185"/>
      <c r="C34" s="191">
        <f>INPUTS!J37</f>
        <v>1</v>
      </c>
      <c r="D34" s="185"/>
      <c r="E34" s="186"/>
      <c r="F34" s="187"/>
      <c r="G34" s="188"/>
      <c r="H34" s="189"/>
      <c r="I34" s="190">
        <f>C34*TABLE!R40</f>
        <v>330.04743200000007</v>
      </c>
      <c r="J34" s="191"/>
      <c r="K34" s="192"/>
      <c r="L34" s="193"/>
      <c r="M34" s="193"/>
      <c r="N34" s="192"/>
      <c r="O34" s="189"/>
      <c r="P34" s="192"/>
      <c r="Q34" s="192"/>
      <c r="R34" s="192"/>
      <c r="S34" s="192"/>
      <c r="T34" s="189"/>
      <c r="U34" s="192"/>
      <c r="V34" s="194"/>
      <c r="W34" s="192"/>
      <c r="X34" s="6"/>
      <c r="Y34" s="6"/>
    </row>
    <row r="35" spans="1:25" s="10" customFormat="1" ht="15" customHeight="1" x14ac:dyDescent="0.25">
      <c r="A35" s="195" t="s">
        <v>0</v>
      </c>
      <c r="B35" s="196">
        <f>SUM(B23:B30)</f>
        <v>0</v>
      </c>
      <c r="C35" s="197">
        <f>SUM(C23:C30)</f>
        <v>0</v>
      </c>
      <c r="D35" s="195"/>
      <c r="E35" s="196">
        <f>SUM(E23:E30)</f>
        <v>0</v>
      </c>
      <c r="F35" s="198"/>
      <c r="G35" s="199">
        <f>SUM(G23:G30)</f>
        <v>0</v>
      </c>
      <c r="H35" s="196">
        <f>SUM(H23:H30)</f>
        <v>0</v>
      </c>
      <c r="I35" s="200">
        <f>SUM(I23:I34)</f>
        <v>1710.0015504</v>
      </c>
      <c r="J35" s="197">
        <f>SUM(J23:J30)</f>
        <v>0</v>
      </c>
      <c r="K35" s="201">
        <f>SUM(K23:K30)</f>
        <v>0</v>
      </c>
      <c r="L35" s="202" t="s">
        <v>19</v>
      </c>
      <c r="M35" s="203" t="s">
        <v>19</v>
      </c>
      <c r="N35" s="201">
        <f t="shared" ref="N35:V35" si="5">SUM(N23:N30)</f>
        <v>0</v>
      </c>
      <c r="O35" s="196">
        <f t="shared" si="5"/>
        <v>0</v>
      </c>
      <c r="P35" s="201">
        <f t="shared" si="5"/>
        <v>0</v>
      </c>
      <c r="Q35" s="201">
        <f t="shared" si="5"/>
        <v>0</v>
      </c>
      <c r="R35" s="201">
        <f t="shared" si="5"/>
        <v>0</v>
      </c>
      <c r="S35" s="201">
        <f t="shared" si="5"/>
        <v>0</v>
      </c>
      <c r="T35" s="196">
        <f t="shared" si="5"/>
        <v>0</v>
      </c>
      <c r="U35" s="201">
        <f t="shared" si="5"/>
        <v>0</v>
      </c>
      <c r="V35" s="204">
        <f t="shared" si="5"/>
        <v>0</v>
      </c>
      <c r="W35" s="201">
        <f>SUM(W23:W30)</f>
        <v>0</v>
      </c>
    </row>
    <row r="36" spans="1:25" ht="40.15" customHeight="1" x14ac:dyDescent="0.25">
      <c r="W36" s="6"/>
      <c r="X36" s="6"/>
      <c r="Y36" s="6"/>
    </row>
    <row r="37" spans="1:25" s="64" customFormat="1" ht="21" customHeight="1" x14ac:dyDescent="0.25">
      <c r="E37" s="208" t="s">
        <v>115</v>
      </c>
      <c r="F37" s="208"/>
      <c r="G37" s="360">
        <f>INPUTS!C3</f>
        <v>0</v>
      </c>
      <c r="H37" s="360"/>
      <c r="I37" s="360"/>
      <c r="K37" s="359"/>
      <c r="L37" s="359"/>
      <c r="M37" s="359"/>
      <c r="N37" s="359"/>
      <c r="R37" s="207" t="s">
        <v>117</v>
      </c>
      <c r="S37" s="207"/>
      <c r="U37" s="64">
        <f>INPUTS!I5</f>
        <v>0</v>
      </c>
      <c r="V37" s="116"/>
    </row>
    <row r="38" spans="1:25" s="64" customFormat="1" ht="21" customHeight="1" x14ac:dyDescent="0.25">
      <c r="E38" s="208" t="s">
        <v>89</v>
      </c>
      <c r="F38" s="207"/>
      <c r="G38" s="360">
        <f>INPUTS!C4</f>
        <v>0</v>
      </c>
      <c r="H38" s="360"/>
      <c r="I38" s="360"/>
      <c r="K38" s="359"/>
      <c r="L38" s="359"/>
      <c r="M38" s="359"/>
      <c r="N38" s="359"/>
      <c r="R38" s="207" t="s">
        <v>118</v>
      </c>
      <c r="S38" s="207"/>
      <c r="U38" s="64" t="s">
        <v>63</v>
      </c>
      <c r="V38" s="116"/>
      <c r="X38" s="116"/>
      <c r="Y38" s="116"/>
    </row>
    <row r="39" spans="1:25" s="64" customFormat="1" ht="21" customHeight="1" x14ac:dyDescent="0.25">
      <c r="E39" s="208" t="s">
        <v>116</v>
      </c>
      <c r="F39" s="207"/>
      <c r="G39" s="360">
        <f>INPUTS!I4</f>
        <v>0</v>
      </c>
      <c r="H39" s="360"/>
      <c r="I39" s="360"/>
      <c r="K39" s="359"/>
      <c r="L39" s="359"/>
      <c r="M39" s="359"/>
      <c r="N39" s="359"/>
      <c r="R39" s="207" t="s">
        <v>119</v>
      </c>
      <c r="S39" s="207"/>
      <c r="U39" s="64" t="s">
        <v>42</v>
      </c>
      <c r="V39" s="116"/>
      <c r="W39" s="116"/>
      <c r="X39" s="116"/>
      <c r="Y39" s="116"/>
    </row>
    <row r="40" spans="1:25" s="64" customFormat="1" ht="21" customHeight="1" x14ac:dyDescent="0.25">
      <c r="E40" s="208" t="s">
        <v>114</v>
      </c>
      <c r="F40" s="207"/>
      <c r="G40" s="361">
        <f>INPUTS!I3</f>
        <v>0</v>
      </c>
      <c r="H40" s="361"/>
      <c r="I40" s="361"/>
      <c r="K40" s="359"/>
      <c r="L40" s="359"/>
      <c r="M40" s="359"/>
      <c r="N40" s="359"/>
      <c r="R40" s="207" t="s">
        <v>120</v>
      </c>
      <c r="S40" s="207"/>
      <c r="U40" s="64" t="s">
        <v>62</v>
      </c>
      <c r="V40" s="116"/>
      <c r="W40" s="116"/>
      <c r="X40" s="116"/>
      <c r="Y40" s="116"/>
    </row>
    <row r="47" spans="1:25" ht="12.65" customHeight="1" x14ac:dyDescent="0.25"/>
  </sheetData>
  <sheetProtection selectLockedCells="1" selectUnlockedCells="1"/>
  <mergeCells count="48">
    <mergeCell ref="I21:I22"/>
    <mergeCell ref="A5:A6"/>
    <mergeCell ref="A4:B4"/>
    <mergeCell ref="B5:B6"/>
    <mergeCell ref="V21:W21"/>
    <mergeCell ref="O20:W20"/>
    <mergeCell ref="C21:C22"/>
    <mergeCell ref="D21:D22"/>
    <mergeCell ref="E21:E22"/>
    <mergeCell ref="F21:F22"/>
    <mergeCell ref="T5:U5"/>
    <mergeCell ref="O5:S5"/>
    <mergeCell ref="E5:E6"/>
    <mergeCell ref="F5:F6"/>
    <mergeCell ref="G5:G6"/>
    <mergeCell ref="H5:H6"/>
    <mergeCell ref="A21:A22"/>
    <mergeCell ref="O4:W4"/>
    <mergeCell ref="J21:K21"/>
    <mergeCell ref="I20:N20"/>
    <mergeCell ref="M5:M6"/>
    <mergeCell ref="L5:L6"/>
    <mergeCell ref="A20:B20"/>
    <mergeCell ref="B21:B22"/>
    <mergeCell ref="C20:H20"/>
    <mergeCell ref="O21:S21"/>
    <mergeCell ref="T21:U21"/>
    <mergeCell ref="G21:G22"/>
    <mergeCell ref="H21:H22"/>
    <mergeCell ref="N21:N22"/>
    <mergeCell ref="L21:L22"/>
    <mergeCell ref="M21:M22"/>
    <mergeCell ref="A1:W1"/>
    <mergeCell ref="A3:W3"/>
    <mergeCell ref="C4:H4"/>
    <mergeCell ref="A19:W19"/>
    <mergeCell ref="C5:C6"/>
    <mergeCell ref="D5:D6"/>
    <mergeCell ref="N5:N6"/>
    <mergeCell ref="J5:K5"/>
    <mergeCell ref="I4:N4"/>
    <mergeCell ref="V5:W5"/>
    <mergeCell ref="I5:I6"/>
    <mergeCell ref="K37:N40"/>
    <mergeCell ref="G37:I37"/>
    <mergeCell ref="G38:I38"/>
    <mergeCell ref="G39:I39"/>
    <mergeCell ref="G40:I40"/>
  </mergeCells>
  <phoneticPr fontId="0" type="noConversion"/>
  <printOptions horizontalCentered="1"/>
  <pageMargins left="0.25" right="0.25" top="0.5" bottom="0.5" header="0.5" footer="0.25"/>
  <pageSetup paperSize="17" scale="59" orientation="landscape" r:id="rId1"/>
  <headerFooter>
    <oddFooter>&amp;L  &amp;D    © Copyright Neptune-Benson, Inc.  All rights reserved.</oddFooter>
  </headerFooter>
  <cellWatches>
    <cellWatch r="W7"/>
  </cellWatche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66"/>
  <sheetViews>
    <sheetView zoomScaleNormal="100" workbookViewId="0">
      <selection sqref="A1:A2"/>
    </sheetView>
  </sheetViews>
  <sheetFormatPr defaultColWidth="8.81640625" defaultRowHeight="12.5" x14ac:dyDescent="0.25"/>
  <cols>
    <col min="1" max="1" width="21.26953125" style="210" bestFit="1" customWidth="1"/>
    <col min="2" max="3" width="7.453125" style="209" bestFit="1" customWidth="1"/>
    <col min="4" max="4" width="8.54296875" style="209" bestFit="1" customWidth="1"/>
    <col min="5" max="6" width="7.453125" style="209" bestFit="1" customWidth="1"/>
    <col min="7" max="7" width="8.54296875" style="209" bestFit="1" customWidth="1"/>
    <col min="8" max="11" width="7.453125" style="209" bestFit="1" customWidth="1"/>
    <col min="12" max="16384" width="8.81640625" style="209"/>
  </cols>
  <sheetData>
    <row r="1" spans="1:11" x14ac:dyDescent="0.25">
      <c r="A1" s="381" t="s">
        <v>107</v>
      </c>
      <c r="B1" s="383" t="s">
        <v>262</v>
      </c>
      <c r="C1" s="384"/>
      <c r="D1" s="384"/>
      <c r="E1" s="384"/>
      <c r="F1" s="384"/>
      <c r="G1" s="384"/>
      <c r="H1" s="384"/>
      <c r="I1" s="384"/>
      <c r="J1" s="384"/>
      <c r="K1" s="385"/>
    </row>
    <row r="2" spans="1:11" x14ac:dyDescent="0.25">
      <c r="A2" s="382"/>
      <c r="B2" s="211">
        <v>1</v>
      </c>
      <c r="C2" s="211">
        <f t="shared" ref="C2:K2" si="0">+B2+1</f>
        <v>2</v>
      </c>
      <c r="D2" s="211">
        <f t="shared" si="0"/>
        <v>3</v>
      </c>
      <c r="E2" s="211">
        <f t="shared" si="0"/>
        <v>4</v>
      </c>
      <c r="F2" s="211">
        <f t="shared" si="0"/>
        <v>5</v>
      </c>
      <c r="G2" s="211">
        <f t="shared" si="0"/>
        <v>6</v>
      </c>
      <c r="H2" s="211">
        <f t="shared" si="0"/>
        <v>7</v>
      </c>
      <c r="I2" s="211">
        <f t="shared" si="0"/>
        <v>8</v>
      </c>
      <c r="J2" s="211">
        <f t="shared" si="0"/>
        <v>9</v>
      </c>
      <c r="K2" s="212">
        <f t="shared" si="0"/>
        <v>10</v>
      </c>
    </row>
    <row r="3" spans="1:11" s="213" customFormat="1" x14ac:dyDescent="0.25">
      <c r="A3" s="229" t="s">
        <v>109</v>
      </c>
      <c r="B3" s="214">
        <f>SUMMARY!$C$9</f>
        <v>0</v>
      </c>
      <c r="C3" s="214">
        <f>B3</f>
        <v>0</v>
      </c>
      <c r="D3" s="214">
        <f t="shared" ref="D3:K3" si="1">C3</f>
        <v>0</v>
      </c>
      <c r="E3" s="214">
        <f t="shared" si="1"/>
        <v>0</v>
      </c>
      <c r="F3" s="214">
        <f t="shared" si="1"/>
        <v>0</v>
      </c>
      <c r="G3" s="214">
        <f t="shared" si="1"/>
        <v>0</v>
      </c>
      <c r="H3" s="214">
        <f t="shared" si="1"/>
        <v>0</v>
      </c>
      <c r="I3" s="214">
        <f t="shared" si="1"/>
        <v>0</v>
      </c>
      <c r="J3" s="214">
        <f t="shared" si="1"/>
        <v>0</v>
      </c>
      <c r="K3" s="215">
        <f t="shared" si="1"/>
        <v>0</v>
      </c>
    </row>
    <row r="4" spans="1:11" x14ac:dyDescent="0.25">
      <c r="A4" s="230" t="s">
        <v>31</v>
      </c>
      <c r="B4" s="214">
        <f>SUMMARY!C13</f>
        <v>0</v>
      </c>
      <c r="C4" s="214">
        <f>B4+(B4*(POWER((1+INPUTS!J35),B2)))</f>
        <v>0</v>
      </c>
      <c r="D4" s="214">
        <f>C4+(B4*(POWER((1+INPUTS!J35),C2)))</f>
        <v>0</v>
      </c>
      <c r="E4" s="214">
        <f>D4+(B4*(POWER((1+INPUTS!J35),D2)))</f>
        <v>0</v>
      </c>
      <c r="F4" s="214">
        <f>E4+(B4*(POWER((1+INPUTS!J35),E2)))</f>
        <v>0</v>
      </c>
      <c r="G4" s="214">
        <f>F4+(B4*(POWER((1+INPUTS!J35),F2)))</f>
        <v>0</v>
      </c>
      <c r="H4" s="214">
        <f>G4+(B4*(POWER((1+INPUTS!J35),G2)))</f>
        <v>0</v>
      </c>
      <c r="I4" s="214">
        <f>H4+(B4*(POWER((1+INPUTS!J35),H2)))</f>
        <v>0</v>
      </c>
      <c r="J4" s="214">
        <f>I4+(B4*(POWER((1+INPUTS!J35),I2)))</f>
        <v>0</v>
      </c>
      <c r="K4" s="215">
        <f>J4+(B4*(POWER((1+INPUTS!J35),J2)))</f>
        <v>0</v>
      </c>
    </row>
    <row r="5" spans="1:11" x14ac:dyDescent="0.25">
      <c r="A5" s="230" t="s">
        <v>8</v>
      </c>
      <c r="B5" s="214">
        <f>SUMMARY!C14</f>
        <v>0</v>
      </c>
      <c r="C5" s="214">
        <f>B5+(B5*(POWER((1+INPUTS!J35),B2)))</f>
        <v>0</v>
      </c>
      <c r="D5" s="214">
        <f>C5+(B5*(POWER((1+INPUTS!J35),C2)))</f>
        <v>0</v>
      </c>
      <c r="E5" s="214">
        <f>D5+(B5*(POWER((1+INPUTS!J35),D2)))</f>
        <v>0</v>
      </c>
      <c r="F5" s="214">
        <f>E5+(B5*(POWER((1+INPUTS!J35),E2)))</f>
        <v>0</v>
      </c>
      <c r="G5" s="214">
        <f>F5+(B5*(POWER((1+INPUTS!J35),F2)))</f>
        <v>0</v>
      </c>
      <c r="H5" s="214">
        <f>G5+(B5*(POWER((1+INPUTS!J35),G2)))</f>
        <v>0</v>
      </c>
      <c r="I5" s="214">
        <f>H5+(B5*(POWER((1+INPUTS!J35),H2)))</f>
        <v>0</v>
      </c>
      <c r="J5" s="214">
        <f>I5+(B5*(POWER((1+INPUTS!J35),I2)))</f>
        <v>0</v>
      </c>
      <c r="K5" s="215">
        <f>J5+(B5*(POWER((1+INPUTS!J35),J2)))</f>
        <v>0</v>
      </c>
    </row>
    <row r="6" spans="1:11" x14ac:dyDescent="0.25">
      <c r="A6" s="230" t="s">
        <v>12</v>
      </c>
      <c r="B6" s="214">
        <f>SUMMARY!C15</f>
        <v>0</v>
      </c>
      <c r="C6" s="214">
        <f>B6+(B6*(POWER((1+INPUTS!J35),B2)))</f>
        <v>0</v>
      </c>
      <c r="D6" s="214">
        <f>C6+(B6*(POWER((1+INPUTS!J35),C2)))</f>
        <v>0</v>
      </c>
      <c r="E6" s="214">
        <f>D6+(B6*(POWER((1+INPUTS!J35),D2)))</f>
        <v>0</v>
      </c>
      <c r="F6" s="214">
        <f>E6+(B6*(POWER((1+INPUTS!J35),E2)))</f>
        <v>0</v>
      </c>
      <c r="G6" s="214">
        <f>F6+(B6*(POWER((1+INPUTS!J35),F2)))</f>
        <v>0</v>
      </c>
      <c r="H6" s="214">
        <f>G6+(B6*(POWER((1+INPUTS!J35),G2)))</f>
        <v>0</v>
      </c>
      <c r="I6" s="214">
        <f>H6+(B6*(POWER((1+INPUTS!J35),H2)))</f>
        <v>0</v>
      </c>
      <c r="J6" s="214">
        <f>I6+(B6*(POWER((1+INPUTS!J35),I2)))</f>
        <v>0</v>
      </c>
      <c r="K6" s="215">
        <f>J6+(B6*(POWER((1+INPUTS!J35),J2)))</f>
        <v>0</v>
      </c>
    </row>
    <row r="7" spans="1:11" x14ac:dyDescent="0.25">
      <c r="A7" s="230" t="s">
        <v>13</v>
      </c>
      <c r="B7" s="214">
        <f>SUMMARY!C16</f>
        <v>0</v>
      </c>
      <c r="C7" s="214">
        <f>B7+(B7*(POWER((1+INPUTS!J35),B2)))</f>
        <v>0</v>
      </c>
      <c r="D7" s="214">
        <f>C7+(B7*(POWER((1+INPUTS!J35),C2)))</f>
        <v>0</v>
      </c>
      <c r="E7" s="214">
        <f>D7+(B7*(POWER((1+INPUTS!J35),D2)))</f>
        <v>0</v>
      </c>
      <c r="F7" s="214">
        <f>E7+(B7*(POWER((1+INPUTS!J35),E2)))</f>
        <v>0</v>
      </c>
      <c r="G7" s="214">
        <f>F7+(B7*(POWER((1+INPUTS!J35),F2)))</f>
        <v>0</v>
      </c>
      <c r="H7" s="214">
        <f>G7+(B7*(POWER((1+INPUTS!J35),G2)))</f>
        <v>0</v>
      </c>
      <c r="I7" s="214">
        <f>H7+(B7*(POWER((1+INPUTS!J35),H2)))</f>
        <v>0</v>
      </c>
      <c r="J7" s="214">
        <f>I7+(B7*(POWER((1+INPUTS!J35),I2)))</f>
        <v>0</v>
      </c>
      <c r="K7" s="215">
        <f>J7+(B7*(POWER((1+INPUTS!J35),J2)))</f>
        <v>0</v>
      </c>
    </row>
    <row r="8" spans="1:11" x14ac:dyDescent="0.25">
      <c r="A8" s="230" t="s">
        <v>9</v>
      </c>
      <c r="B8" s="214">
        <f>SUMMARY!C17</f>
        <v>0</v>
      </c>
      <c r="C8" s="214">
        <f>B8+(B8*(POWER((1+INPUTS!J35),B2)))</f>
        <v>0</v>
      </c>
      <c r="D8" s="214">
        <f>C8+(B8*(POWER((1+INPUTS!J35),C2)))</f>
        <v>0</v>
      </c>
      <c r="E8" s="214">
        <f>D8+(B8*(POWER((1+INPUTS!J35),D2)))</f>
        <v>0</v>
      </c>
      <c r="F8" s="214">
        <f>E8+(B8*(POWER((1+INPUTS!J35),E2)))</f>
        <v>0</v>
      </c>
      <c r="G8" s="214">
        <f>F8+(B8*(POWER((1+INPUTS!J35),F2)))</f>
        <v>0</v>
      </c>
      <c r="H8" s="214">
        <f>G8+(B8*(POWER((1+INPUTS!J35),G2)))</f>
        <v>0</v>
      </c>
      <c r="I8" s="214">
        <f>H8+(B8*(POWER((1+INPUTS!J35),H2)))</f>
        <v>0</v>
      </c>
      <c r="J8" s="214">
        <f>I8+(B8*(POWER((1+INPUTS!J35),I2)))</f>
        <v>0</v>
      </c>
      <c r="K8" s="215">
        <f>J8+(B8*(POWER((1+INPUTS!J35),J2)))</f>
        <v>0</v>
      </c>
    </row>
    <row r="9" spans="1:11" x14ac:dyDescent="0.25">
      <c r="A9" s="230" t="s">
        <v>10</v>
      </c>
      <c r="B9" s="214">
        <f>+SUMMARY!D3</f>
        <v>0</v>
      </c>
      <c r="C9" s="214">
        <f>B9+(B9*(POWER((1+INPUTS!J35),B2)))</f>
        <v>0</v>
      </c>
      <c r="D9" s="214">
        <f>C9+(B9*(POWER((1+INPUTS!J35),C2)))</f>
        <v>0</v>
      </c>
      <c r="E9" s="214">
        <f>D9+(B9*(POWER((1+INPUTS!J35),D2)))</f>
        <v>0</v>
      </c>
      <c r="F9" s="214">
        <f>DETAIL!N17</f>
        <v>0</v>
      </c>
      <c r="G9" s="214">
        <f>F9+(B9*(POWER((1+INPUTS!J35),F2)))</f>
        <v>0</v>
      </c>
      <c r="H9" s="214">
        <f>G9+(B9*(POWER((1+INPUTS!J35),G2)))</f>
        <v>0</v>
      </c>
      <c r="I9" s="214">
        <f>H9+(B9*(POWER((1+INPUTS!J35),H2)))</f>
        <v>0</v>
      </c>
      <c r="J9" s="214">
        <f>I9+(B9*(POWER((1+INPUTS!J35),I2)))</f>
        <v>0</v>
      </c>
      <c r="K9" s="215">
        <f>J9+(B9*(POWER((1+INPUTS!J35),J2)))</f>
        <v>0</v>
      </c>
    </row>
    <row r="10" spans="1:11" x14ac:dyDescent="0.25">
      <c r="A10" s="230" t="s">
        <v>112</v>
      </c>
      <c r="B10" s="216">
        <v>0</v>
      </c>
      <c r="C10" s="216">
        <v>0</v>
      </c>
      <c r="D10" s="216">
        <v>0</v>
      </c>
      <c r="E10" s="216">
        <v>0</v>
      </c>
      <c r="F10" s="214">
        <f>DETAIL!M17*(POWER((1+INPUTS!J35),'GRAPH DATA'!E2))</f>
        <v>0</v>
      </c>
      <c r="G10" s="214">
        <f>F10</f>
        <v>0</v>
      </c>
      <c r="H10" s="214">
        <f>G10</f>
        <v>0</v>
      </c>
      <c r="I10" s="214">
        <f>H10</f>
        <v>0</v>
      </c>
      <c r="J10" s="214">
        <f>I10</f>
        <v>0</v>
      </c>
      <c r="K10" s="215">
        <f>F10+DETAIL!M17*(POWER((1+INPUTS!J35),'GRAPH DATA'!J2))</f>
        <v>0</v>
      </c>
    </row>
    <row r="11" spans="1:11" ht="13" thickBot="1" x14ac:dyDescent="0.3">
      <c r="A11" s="232" t="s">
        <v>113</v>
      </c>
      <c r="B11" s="217">
        <f t="shared" ref="B11:J11" si="2">SUM(B3:B10)</f>
        <v>0</v>
      </c>
      <c r="C11" s="217">
        <f t="shared" si="2"/>
        <v>0</v>
      </c>
      <c r="D11" s="217">
        <f t="shared" si="2"/>
        <v>0</v>
      </c>
      <c r="E11" s="217">
        <f t="shared" si="2"/>
        <v>0</v>
      </c>
      <c r="F11" s="217">
        <f t="shared" si="2"/>
        <v>0</v>
      </c>
      <c r="G11" s="217">
        <f t="shared" si="2"/>
        <v>0</v>
      </c>
      <c r="H11" s="217">
        <f t="shared" si="2"/>
        <v>0</v>
      </c>
      <c r="I11" s="217">
        <f t="shared" si="2"/>
        <v>0</v>
      </c>
      <c r="J11" s="217">
        <f t="shared" si="2"/>
        <v>0</v>
      </c>
      <c r="K11" s="218">
        <f>SUM(K3:K10)</f>
        <v>0</v>
      </c>
    </row>
    <row r="12" spans="1:11" ht="13" thickBot="1" x14ac:dyDescent="0.3">
      <c r="C12" s="219"/>
    </row>
    <row r="13" spans="1:11" x14ac:dyDescent="0.25">
      <c r="A13" s="379" t="s">
        <v>108</v>
      </c>
      <c r="B13" s="386" t="s">
        <v>262</v>
      </c>
      <c r="C13" s="387"/>
      <c r="D13" s="387"/>
      <c r="E13" s="387"/>
      <c r="F13" s="387"/>
      <c r="G13" s="387"/>
      <c r="H13" s="387"/>
      <c r="I13" s="387"/>
      <c r="J13" s="387"/>
      <c r="K13" s="388"/>
    </row>
    <row r="14" spans="1:11" x14ac:dyDescent="0.25">
      <c r="A14" s="380"/>
      <c r="B14" s="220">
        <v>1</v>
      </c>
      <c r="C14" s="220">
        <f t="shared" ref="C14:K14" si="3">+B14+1</f>
        <v>2</v>
      </c>
      <c r="D14" s="220">
        <f t="shared" si="3"/>
        <v>3</v>
      </c>
      <c r="E14" s="220">
        <f t="shared" si="3"/>
        <v>4</v>
      </c>
      <c r="F14" s="220">
        <f t="shared" si="3"/>
        <v>5</v>
      </c>
      <c r="G14" s="220">
        <f t="shared" si="3"/>
        <v>6</v>
      </c>
      <c r="H14" s="220">
        <f t="shared" si="3"/>
        <v>7</v>
      </c>
      <c r="I14" s="220">
        <f t="shared" si="3"/>
        <v>8</v>
      </c>
      <c r="J14" s="220">
        <f t="shared" si="3"/>
        <v>9</v>
      </c>
      <c r="K14" s="221">
        <f t="shared" si="3"/>
        <v>10</v>
      </c>
    </row>
    <row r="15" spans="1:11" x14ac:dyDescent="0.25">
      <c r="A15" s="230" t="s">
        <v>109</v>
      </c>
      <c r="B15" s="214">
        <f>+SUMMARY!D9</f>
        <v>1710.0015504</v>
      </c>
      <c r="C15" s="214">
        <f t="shared" ref="C15:K15" si="4">+B15</f>
        <v>1710.0015504</v>
      </c>
      <c r="D15" s="214">
        <f t="shared" si="4"/>
        <v>1710.0015504</v>
      </c>
      <c r="E15" s="214">
        <f t="shared" si="4"/>
        <v>1710.0015504</v>
      </c>
      <c r="F15" s="214">
        <f t="shared" si="4"/>
        <v>1710.0015504</v>
      </c>
      <c r="G15" s="214">
        <f t="shared" si="4"/>
        <v>1710.0015504</v>
      </c>
      <c r="H15" s="214">
        <f t="shared" si="4"/>
        <v>1710.0015504</v>
      </c>
      <c r="I15" s="214">
        <f t="shared" si="4"/>
        <v>1710.0015504</v>
      </c>
      <c r="J15" s="214">
        <f t="shared" si="4"/>
        <v>1710.0015504</v>
      </c>
      <c r="K15" s="215">
        <f t="shared" si="4"/>
        <v>1710.0015504</v>
      </c>
    </row>
    <row r="16" spans="1:11" x14ac:dyDescent="0.25">
      <c r="A16" s="230" t="s">
        <v>31</v>
      </c>
      <c r="B16" s="214">
        <f>SUMMARY!D13</f>
        <v>0</v>
      </c>
      <c r="C16" s="214">
        <f>B16+(B16*(POWER((1+INPUTS!J35),B14)))</f>
        <v>0</v>
      </c>
      <c r="D16" s="214">
        <f>C16+(B16*(POWER((1+INPUTS!J35),C14)))</f>
        <v>0</v>
      </c>
      <c r="E16" s="214">
        <f>D16+(B16*(POWER((1+INPUTS!J35),D14)))</f>
        <v>0</v>
      </c>
      <c r="F16" s="214">
        <f>E16+(B16*(POWER((1+INPUTS!J35),E14)))</f>
        <v>0</v>
      </c>
      <c r="G16" s="214">
        <f>F16+(B16*(POWER((1+INPUTS!J35),F14)))</f>
        <v>0</v>
      </c>
      <c r="H16" s="214">
        <f>G16+(B16*(POWER((1+INPUTS!J35),G14)))</f>
        <v>0</v>
      </c>
      <c r="I16" s="214">
        <f>H16+(B16*(POWER((1+INPUTS!J35),H14)))</f>
        <v>0</v>
      </c>
      <c r="J16" s="214">
        <f>I16+(B16*(POWER((1+INPUTS!J35),I14)))</f>
        <v>0</v>
      </c>
      <c r="K16" s="215">
        <f>J16+(B16*(POWER((1+INPUTS!J35),J14)))</f>
        <v>0</v>
      </c>
    </row>
    <row r="17" spans="1:11" x14ac:dyDescent="0.25">
      <c r="A17" s="230" t="s">
        <v>8</v>
      </c>
      <c r="B17" s="214">
        <f>+SUMMARY!D14</f>
        <v>0</v>
      </c>
      <c r="C17" s="214">
        <f>B17+(B17*(POWER((1+INPUTS!J35),B14)))</f>
        <v>0</v>
      </c>
      <c r="D17" s="214">
        <f>C17+(B17*(POWER((1+INPUTS!J35),C14)))</f>
        <v>0</v>
      </c>
      <c r="E17" s="214">
        <f>D17+(B17*(POWER((1+INPUTS!J35),D14)))</f>
        <v>0</v>
      </c>
      <c r="F17" s="214">
        <f>E17+(B17*(POWER((1+INPUTS!J35),E14)))</f>
        <v>0</v>
      </c>
      <c r="G17" s="214">
        <f>F17+(B17*(POWER((1+INPUTS!J35),F14)))</f>
        <v>0</v>
      </c>
      <c r="H17" s="214">
        <f>G17+(B17*(POWER((1+INPUTS!J35),G14)))</f>
        <v>0</v>
      </c>
      <c r="I17" s="214">
        <f>H17+(B17*(POWER((1+INPUTS!J35),H14)))</f>
        <v>0</v>
      </c>
      <c r="J17" s="214">
        <f>I17+(B17*(POWER((1+INPUTS!J35),I14)))</f>
        <v>0</v>
      </c>
      <c r="K17" s="215">
        <f>J17+(B17*(POWER((1+INPUTS!J35),J14)))</f>
        <v>0</v>
      </c>
    </row>
    <row r="18" spans="1:11" x14ac:dyDescent="0.25">
      <c r="A18" s="230" t="s">
        <v>12</v>
      </c>
      <c r="B18" s="214">
        <f>+SUMMARY!D15</f>
        <v>0</v>
      </c>
      <c r="C18" s="214">
        <f>B18+(B18*(POWER((1+INPUTS!J35),B14)))</f>
        <v>0</v>
      </c>
      <c r="D18" s="214">
        <f>C18+(B18*(POWER((1+INPUTS!J35),C14)))</f>
        <v>0</v>
      </c>
      <c r="E18" s="214">
        <f>D18+(B18*(POWER((1+INPUTS!J35),D14)))</f>
        <v>0</v>
      </c>
      <c r="F18" s="214">
        <f>E18+(B18*(POWER((1+INPUTS!J35),E14)))</f>
        <v>0</v>
      </c>
      <c r="G18" s="214">
        <f>F18+(B18*(POWER((1+INPUTS!J35),F14)))</f>
        <v>0</v>
      </c>
      <c r="H18" s="214">
        <f>G18+(B18*(POWER((1+INPUTS!J35),G14)))</f>
        <v>0</v>
      </c>
      <c r="I18" s="214">
        <f>H18+(B18*(POWER((1+INPUTS!J35),H14)))</f>
        <v>0</v>
      </c>
      <c r="J18" s="214">
        <f>I18+(B18*(POWER((1+INPUTS!J35),I14)))</f>
        <v>0</v>
      </c>
      <c r="K18" s="215">
        <f>J18+(B18*(POWER((1+INPUTS!J35),J14)))</f>
        <v>0</v>
      </c>
    </row>
    <row r="19" spans="1:11" x14ac:dyDescent="0.25">
      <c r="A19" s="230" t="s">
        <v>13</v>
      </c>
      <c r="B19" s="214">
        <f>+SUMMARY!D16</f>
        <v>0</v>
      </c>
      <c r="C19" s="214">
        <f>B19+(B19*(POWER((1+INPUTS!J35),B14)))</f>
        <v>0</v>
      </c>
      <c r="D19" s="214">
        <f>C19+(B19*(POWER((1+INPUTS!J35),C14)))</f>
        <v>0</v>
      </c>
      <c r="E19" s="214">
        <f>D19+(B19*(POWER((1+INPUTS!J35),D14)))</f>
        <v>0</v>
      </c>
      <c r="F19" s="214">
        <f>E19+(B19*(POWER((1+INPUTS!J35),E14)))</f>
        <v>0</v>
      </c>
      <c r="G19" s="214">
        <f>F19+(B19*(POWER((1+INPUTS!J35),F14)))</f>
        <v>0</v>
      </c>
      <c r="H19" s="214">
        <f>G19+(B19*(POWER((1+INPUTS!J35),G14)))</f>
        <v>0</v>
      </c>
      <c r="I19" s="214">
        <f>H19+(B19*(POWER((1+INPUTS!J35),H14)))</f>
        <v>0</v>
      </c>
      <c r="J19" s="214">
        <f>I19+(B19*(POWER((1+INPUTS!J35),I14)))</f>
        <v>0</v>
      </c>
      <c r="K19" s="215">
        <f>J19+(B19*(POWER((1+INPUTS!J35),J14)))</f>
        <v>0</v>
      </c>
    </row>
    <row r="20" spans="1:11" x14ac:dyDescent="0.25">
      <c r="A20" s="230" t="s">
        <v>9</v>
      </c>
      <c r="B20" s="214">
        <f>+SUMMARY!D17</f>
        <v>0</v>
      </c>
      <c r="C20" s="214">
        <f>B20+(B20*(POWER((1+INPUTS!J35),B14)))</f>
        <v>0</v>
      </c>
      <c r="D20" s="214">
        <f>C20+(B20*(POWER((1+INPUTS!J35),C14)))</f>
        <v>0</v>
      </c>
      <c r="E20" s="214">
        <f>D20+(B20*(POWER((1+INPUTS!J35),D14)))</f>
        <v>0</v>
      </c>
      <c r="F20" s="214">
        <f>E20+(B20*(POWER((1+INPUTS!J35),E14)))</f>
        <v>0</v>
      </c>
      <c r="G20" s="214">
        <f>F20+(B20*(POWER((1+INPUTS!J35),F14)))</f>
        <v>0</v>
      </c>
      <c r="H20" s="214">
        <f>G20+(B20*(POWER((1+INPUTS!J35),G14)))</f>
        <v>0</v>
      </c>
      <c r="I20" s="214">
        <f>H20+(B20*(POWER((1+INPUTS!J35),H14)))</f>
        <v>0</v>
      </c>
      <c r="J20" s="214">
        <f>I20+(B20*(POWER((1+INPUTS!J35),I14)))</f>
        <v>0</v>
      </c>
      <c r="K20" s="215">
        <f>J20+(B20*(POWER((1+INPUTS!J35),J14)))</f>
        <v>0</v>
      </c>
    </row>
    <row r="21" spans="1:11" x14ac:dyDescent="0.25">
      <c r="A21" s="230" t="s">
        <v>10</v>
      </c>
      <c r="B21" s="214">
        <f>+SUMMARY!D18</f>
        <v>0</v>
      </c>
      <c r="C21" s="214">
        <f>B21+(B21*(POWER((1+INPUTS!J35),B14)))</f>
        <v>0</v>
      </c>
      <c r="D21" s="214">
        <f>C21+(B21*(POWER((1+INPUTS!J35),C14)))</f>
        <v>0</v>
      </c>
      <c r="E21" s="214">
        <f>D21+(B21*(POWER((1+INPUTS!J35),D14)))</f>
        <v>0</v>
      </c>
      <c r="F21" s="214">
        <f>E21+(B21*(POWER((1+INPUTS!J35),E14)))</f>
        <v>0</v>
      </c>
      <c r="G21" s="214">
        <f>F21+(B21*(POWER((1+INPUTS!J35),F14)))</f>
        <v>0</v>
      </c>
      <c r="H21" s="214">
        <f>G21+(B21*(POWER((1+INPUTS!J35),G14)))</f>
        <v>0</v>
      </c>
      <c r="I21" s="214">
        <f>H21+(B21*(POWER((1+INPUTS!J35),H14)))</f>
        <v>0</v>
      </c>
      <c r="J21" s="214">
        <f>I21+(B21*(POWER((1+INPUTS!J35),I14)))</f>
        <v>0</v>
      </c>
      <c r="K21" s="215">
        <f>J21+(B21*(POWER((1+INPUTS!J35),J14)))</f>
        <v>0</v>
      </c>
    </row>
    <row r="22" spans="1:11" x14ac:dyDescent="0.25">
      <c r="A22" s="230" t="s">
        <v>112</v>
      </c>
      <c r="B22" s="216">
        <v>0</v>
      </c>
      <c r="C22" s="214">
        <f>B22+(B22*(POWER((1+INPUTS!J39),B17)))</f>
        <v>0</v>
      </c>
      <c r="D22" s="214">
        <f>C22+(B22*(POWER((1+INPUTS!J39),C17)))</f>
        <v>0</v>
      </c>
      <c r="E22" s="214">
        <f>D22+(B22*(POWER((1+INPUTS!J39),D17)))</f>
        <v>0</v>
      </c>
      <c r="F22" s="214">
        <f>E22+(B22*(POWER((1+INPUTS!J39),E17)))</f>
        <v>0</v>
      </c>
      <c r="G22" s="214">
        <f>F22+(B22*(POWER((1+INPUTS!J39),F17)))</f>
        <v>0</v>
      </c>
      <c r="H22" s="214">
        <f>G22+(B22*(POWER((1+INPUTS!J39),G17)))</f>
        <v>0</v>
      </c>
      <c r="I22" s="214">
        <f>H22+(B22*(POWER((1+INPUTS!J39),H17)))</f>
        <v>0</v>
      </c>
      <c r="J22" s="214">
        <f>I22+(B22*(POWER((1+INPUTS!J39),I17)))</f>
        <v>0</v>
      </c>
      <c r="K22" s="215">
        <f>J22+(B22*(POWER((1+INPUTS!J39),J17)))</f>
        <v>0</v>
      </c>
    </row>
    <row r="23" spans="1:11" ht="13" thickBot="1" x14ac:dyDescent="0.3">
      <c r="A23" s="231" t="s">
        <v>113</v>
      </c>
      <c r="B23" s="222">
        <f t="shared" ref="B23:K23" si="5">SUM(B15:B22)</f>
        <v>1710.0015504</v>
      </c>
      <c r="C23" s="222">
        <f t="shared" si="5"/>
        <v>1710.0015504</v>
      </c>
      <c r="D23" s="222">
        <f t="shared" si="5"/>
        <v>1710.0015504</v>
      </c>
      <c r="E23" s="222">
        <f t="shared" si="5"/>
        <v>1710.0015504</v>
      </c>
      <c r="F23" s="222">
        <f t="shared" si="5"/>
        <v>1710.0015504</v>
      </c>
      <c r="G23" s="222">
        <f t="shared" si="5"/>
        <v>1710.0015504</v>
      </c>
      <c r="H23" s="222">
        <f t="shared" si="5"/>
        <v>1710.0015504</v>
      </c>
      <c r="I23" s="222">
        <f t="shared" si="5"/>
        <v>1710.0015504</v>
      </c>
      <c r="J23" s="222">
        <f t="shared" si="5"/>
        <v>1710.0015504</v>
      </c>
      <c r="K23" s="223">
        <f t="shared" si="5"/>
        <v>1710.0015504</v>
      </c>
    </row>
    <row r="25" spans="1:11" x14ac:dyDescent="0.25">
      <c r="A25" s="376" t="s">
        <v>190</v>
      </c>
      <c r="B25" s="377"/>
      <c r="C25" s="377"/>
      <c r="D25" s="377"/>
      <c r="E25" s="377"/>
      <c r="F25" s="377"/>
      <c r="G25" s="377"/>
      <c r="H25" s="378"/>
    </row>
    <row r="26" spans="1:11" x14ac:dyDescent="0.25">
      <c r="A26" s="224" t="s">
        <v>260</v>
      </c>
      <c r="B26" s="211" t="s">
        <v>109</v>
      </c>
      <c r="C26" s="211" t="s">
        <v>187</v>
      </c>
      <c r="D26" s="211" t="s">
        <v>234</v>
      </c>
      <c r="E26" s="220" t="s">
        <v>109</v>
      </c>
      <c r="F26" s="220" t="s">
        <v>187</v>
      </c>
      <c r="G26" s="220" t="s">
        <v>234</v>
      </c>
      <c r="H26" s="224" t="s">
        <v>261</v>
      </c>
    </row>
    <row r="27" spans="1:11" x14ac:dyDescent="0.25">
      <c r="A27" s="226">
        <f t="shared" ref="A27:A90" si="6">G27-D27</f>
        <v>1710.0015504</v>
      </c>
      <c r="B27" s="214">
        <f t="shared" ref="B27:C90" si="7">B28</f>
        <v>0</v>
      </c>
      <c r="C27" s="227">
        <f t="shared" si="7"/>
        <v>0</v>
      </c>
      <c r="D27" s="226">
        <f t="shared" ref="D27:D90" si="8">D28+C27</f>
        <v>0</v>
      </c>
      <c r="E27" s="214">
        <f t="shared" ref="E27:F90" si="9">E28</f>
        <v>1710.0015504</v>
      </c>
      <c r="F27" s="227">
        <f t="shared" si="9"/>
        <v>0</v>
      </c>
      <c r="G27" s="226">
        <f t="shared" ref="G27:G90" si="10">G28+F27</f>
        <v>1710.0015504</v>
      </c>
      <c r="H27" s="228">
        <v>240</v>
      </c>
      <c r="K27" s="225"/>
    </row>
    <row r="28" spans="1:11" x14ac:dyDescent="0.25">
      <c r="A28" s="226">
        <f t="shared" si="6"/>
        <v>1710.0015504</v>
      </c>
      <c r="B28" s="214">
        <f t="shared" si="7"/>
        <v>0</v>
      </c>
      <c r="C28" s="227">
        <f t="shared" si="7"/>
        <v>0</v>
      </c>
      <c r="D28" s="226">
        <f t="shared" si="8"/>
        <v>0</v>
      </c>
      <c r="E28" s="214">
        <f t="shared" si="9"/>
        <v>1710.0015504</v>
      </c>
      <c r="F28" s="227">
        <f t="shared" si="9"/>
        <v>0</v>
      </c>
      <c r="G28" s="226">
        <f t="shared" si="10"/>
        <v>1710.0015504</v>
      </c>
      <c r="H28" s="228">
        <v>239</v>
      </c>
    </row>
    <row r="29" spans="1:11" x14ac:dyDescent="0.25">
      <c r="A29" s="226">
        <f t="shared" si="6"/>
        <v>1710.0015504</v>
      </c>
      <c r="B29" s="214">
        <f t="shared" si="7"/>
        <v>0</v>
      </c>
      <c r="C29" s="227">
        <f t="shared" si="7"/>
        <v>0</v>
      </c>
      <c r="D29" s="226">
        <f t="shared" si="8"/>
        <v>0</v>
      </c>
      <c r="E29" s="214">
        <f t="shared" si="9"/>
        <v>1710.0015504</v>
      </c>
      <c r="F29" s="227">
        <f t="shared" si="9"/>
        <v>0</v>
      </c>
      <c r="G29" s="226">
        <f t="shared" si="10"/>
        <v>1710.0015504</v>
      </c>
      <c r="H29" s="228">
        <v>238</v>
      </c>
    </row>
    <row r="30" spans="1:11" x14ac:dyDescent="0.25">
      <c r="A30" s="226">
        <f t="shared" si="6"/>
        <v>1710.0015504</v>
      </c>
      <c r="B30" s="214">
        <f t="shared" si="7"/>
        <v>0</v>
      </c>
      <c r="C30" s="227">
        <f t="shared" si="7"/>
        <v>0</v>
      </c>
      <c r="D30" s="226">
        <f t="shared" si="8"/>
        <v>0</v>
      </c>
      <c r="E30" s="214">
        <f t="shared" si="9"/>
        <v>1710.0015504</v>
      </c>
      <c r="F30" s="227">
        <f t="shared" si="9"/>
        <v>0</v>
      </c>
      <c r="G30" s="226">
        <f t="shared" si="10"/>
        <v>1710.0015504</v>
      </c>
      <c r="H30" s="228">
        <v>237</v>
      </c>
    </row>
    <row r="31" spans="1:11" x14ac:dyDescent="0.25">
      <c r="A31" s="226">
        <f t="shared" si="6"/>
        <v>1710.0015504</v>
      </c>
      <c r="B31" s="214">
        <f t="shared" si="7"/>
        <v>0</v>
      </c>
      <c r="C31" s="227">
        <f t="shared" si="7"/>
        <v>0</v>
      </c>
      <c r="D31" s="226">
        <f t="shared" si="8"/>
        <v>0</v>
      </c>
      <c r="E31" s="214">
        <f t="shared" si="9"/>
        <v>1710.0015504</v>
      </c>
      <c r="F31" s="227">
        <f t="shared" si="9"/>
        <v>0</v>
      </c>
      <c r="G31" s="226">
        <f t="shared" si="10"/>
        <v>1710.0015504</v>
      </c>
      <c r="H31" s="228">
        <v>236</v>
      </c>
    </row>
    <row r="32" spans="1:11" x14ac:dyDescent="0.25">
      <c r="A32" s="226">
        <f t="shared" si="6"/>
        <v>1710.0015504</v>
      </c>
      <c r="B32" s="214">
        <f t="shared" si="7"/>
        <v>0</v>
      </c>
      <c r="C32" s="227">
        <f t="shared" si="7"/>
        <v>0</v>
      </c>
      <c r="D32" s="226">
        <f t="shared" si="8"/>
        <v>0</v>
      </c>
      <c r="E32" s="214">
        <f t="shared" si="9"/>
        <v>1710.0015504</v>
      </c>
      <c r="F32" s="227">
        <f t="shared" si="9"/>
        <v>0</v>
      </c>
      <c r="G32" s="226">
        <f t="shared" si="10"/>
        <v>1710.0015504</v>
      </c>
      <c r="H32" s="228">
        <v>235</v>
      </c>
    </row>
    <row r="33" spans="1:8" x14ac:dyDescent="0.25">
      <c r="A33" s="226">
        <f t="shared" si="6"/>
        <v>1710.0015504</v>
      </c>
      <c r="B33" s="214">
        <f t="shared" si="7"/>
        <v>0</v>
      </c>
      <c r="C33" s="227">
        <f t="shared" si="7"/>
        <v>0</v>
      </c>
      <c r="D33" s="226">
        <f t="shared" si="8"/>
        <v>0</v>
      </c>
      <c r="E33" s="214">
        <f t="shared" si="9"/>
        <v>1710.0015504</v>
      </c>
      <c r="F33" s="227">
        <f t="shared" si="9"/>
        <v>0</v>
      </c>
      <c r="G33" s="226">
        <f t="shared" si="10"/>
        <v>1710.0015504</v>
      </c>
      <c r="H33" s="228">
        <v>234</v>
      </c>
    </row>
    <row r="34" spans="1:8" x14ac:dyDescent="0.25">
      <c r="A34" s="226">
        <f t="shared" si="6"/>
        <v>1710.0015504</v>
      </c>
      <c r="B34" s="214">
        <f t="shared" si="7"/>
        <v>0</v>
      </c>
      <c r="C34" s="227">
        <f t="shared" si="7"/>
        <v>0</v>
      </c>
      <c r="D34" s="226">
        <f t="shared" si="8"/>
        <v>0</v>
      </c>
      <c r="E34" s="214">
        <f t="shared" si="9"/>
        <v>1710.0015504</v>
      </c>
      <c r="F34" s="227">
        <f t="shared" si="9"/>
        <v>0</v>
      </c>
      <c r="G34" s="226">
        <f t="shared" si="10"/>
        <v>1710.0015504</v>
      </c>
      <c r="H34" s="228">
        <v>233</v>
      </c>
    </row>
    <row r="35" spans="1:8" x14ac:dyDescent="0.25">
      <c r="A35" s="226">
        <f t="shared" si="6"/>
        <v>1710.0015504</v>
      </c>
      <c r="B35" s="214">
        <f t="shared" si="7"/>
        <v>0</v>
      </c>
      <c r="C35" s="227">
        <f t="shared" si="7"/>
        <v>0</v>
      </c>
      <c r="D35" s="226">
        <f t="shared" si="8"/>
        <v>0</v>
      </c>
      <c r="E35" s="214">
        <f t="shared" si="9"/>
        <v>1710.0015504</v>
      </c>
      <c r="F35" s="227">
        <f t="shared" si="9"/>
        <v>0</v>
      </c>
      <c r="G35" s="226">
        <f t="shared" si="10"/>
        <v>1710.0015504</v>
      </c>
      <c r="H35" s="228">
        <v>232</v>
      </c>
    </row>
    <row r="36" spans="1:8" x14ac:dyDescent="0.25">
      <c r="A36" s="226">
        <f t="shared" si="6"/>
        <v>1710.0015504</v>
      </c>
      <c r="B36" s="214">
        <f t="shared" si="7"/>
        <v>0</v>
      </c>
      <c r="C36" s="227">
        <f t="shared" si="7"/>
        <v>0</v>
      </c>
      <c r="D36" s="226">
        <f t="shared" si="8"/>
        <v>0</v>
      </c>
      <c r="E36" s="214">
        <f t="shared" si="9"/>
        <v>1710.0015504</v>
      </c>
      <c r="F36" s="227">
        <f t="shared" si="9"/>
        <v>0</v>
      </c>
      <c r="G36" s="226">
        <f t="shared" si="10"/>
        <v>1710.0015504</v>
      </c>
      <c r="H36" s="228">
        <v>231</v>
      </c>
    </row>
    <row r="37" spans="1:8" x14ac:dyDescent="0.25">
      <c r="A37" s="226">
        <f t="shared" si="6"/>
        <v>1710.0015504</v>
      </c>
      <c r="B37" s="214">
        <f t="shared" si="7"/>
        <v>0</v>
      </c>
      <c r="C37" s="227">
        <f t="shared" si="7"/>
        <v>0</v>
      </c>
      <c r="D37" s="226">
        <f t="shared" si="8"/>
        <v>0</v>
      </c>
      <c r="E37" s="214">
        <f t="shared" si="9"/>
        <v>1710.0015504</v>
      </c>
      <c r="F37" s="227">
        <f t="shared" si="9"/>
        <v>0</v>
      </c>
      <c r="G37" s="226">
        <f t="shared" si="10"/>
        <v>1710.0015504</v>
      </c>
      <c r="H37" s="228">
        <v>230</v>
      </c>
    </row>
    <row r="38" spans="1:8" x14ac:dyDescent="0.25">
      <c r="A38" s="226">
        <f t="shared" si="6"/>
        <v>1710.0015504</v>
      </c>
      <c r="B38" s="214">
        <f t="shared" si="7"/>
        <v>0</v>
      </c>
      <c r="C38" s="227">
        <f>C39*1.07</f>
        <v>0</v>
      </c>
      <c r="D38" s="226">
        <f t="shared" si="8"/>
        <v>0</v>
      </c>
      <c r="E38" s="214">
        <f t="shared" si="9"/>
        <v>1710.0015504</v>
      </c>
      <c r="F38" s="227">
        <f>F39*1.07</f>
        <v>0</v>
      </c>
      <c r="G38" s="226">
        <f t="shared" si="10"/>
        <v>1710.0015504</v>
      </c>
      <c r="H38" s="228">
        <v>229</v>
      </c>
    </row>
    <row r="39" spans="1:8" x14ac:dyDescent="0.25">
      <c r="A39" s="226">
        <f t="shared" si="6"/>
        <v>1710.0015504</v>
      </c>
      <c r="B39" s="214">
        <f t="shared" si="7"/>
        <v>0</v>
      </c>
      <c r="C39" s="227">
        <f t="shared" si="7"/>
        <v>0</v>
      </c>
      <c r="D39" s="226">
        <f t="shared" si="8"/>
        <v>0</v>
      </c>
      <c r="E39" s="214">
        <f t="shared" si="9"/>
        <v>1710.0015504</v>
      </c>
      <c r="F39" s="227">
        <f t="shared" si="9"/>
        <v>0</v>
      </c>
      <c r="G39" s="226">
        <f t="shared" si="10"/>
        <v>1710.0015504</v>
      </c>
      <c r="H39" s="228">
        <v>228</v>
      </c>
    </row>
    <row r="40" spans="1:8" x14ac:dyDescent="0.25">
      <c r="A40" s="226">
        <f t="shared" si="6"/>
        <v>1710.0015504</v>
      </c>
      <c r="B40" s="214">
        <f t="shared" si="7"/>
        <v>0</v>
      </c>
      <c r="C40" s="227">
        <f t="shared" si="7"/>
        <v>0</v>
      </c>
      <c r="D40" s="226">
        <f t="shared" si="8"/>
        <v>0</v>
      </c>
      <c r="E40" s="214">
        <f t="shared" si="9"/>
        <v>1710.0015504</v>
      </c>
      <c r="F40" s="227">
        <f t="shared" si="9"/>
        <v>0</v>
      </c>
      <c r="G40" s="226">
        <f t="shared" si="10"/>
        <v>1710.0015504</v>
      </c>
      <c r="H40" s="228">
        <v>227</v>
      </c>
    </row>
    <row r="41" spans="1:8" x14ac:dyDescent="0.25">
      <c r="A41" s="226">
        <f t="shared" si="6"/>
        <v>1710.0015504</v>
      </c>
      <c r="B41" s="214">
        <f t="shared" si="7"/>
        <v>0</v>
      </c>
      <c r="C41" s="227">
        <f t="shared" si="7"/>
        <v>0</v>
      </c>
      <c r="D41" s="226">
        <f t="shared" si="8"/>
        <v>0</v>
      </c>
      <c r="E41" s="214">
        <f t="shared" si="9"/>
        <v>1710.0015504</v>
      </c>
      <c r="F41" s="227">
        <f t="shared" si="9"/>
        <v>0</v>
      </c>
      <c r="G41" s="226">
        <f t="shared" si="10"/>
        <v>1710.0015504</v>
      </c>
      <c r="H41" s="228">
        <v>226</v>
      </c>
    </row>
    <row r="42" spans="1:8" x14ac:dyDescent="0.25">
      <c r="A42" s="226">
        <f t="shared" si="6"/>
        <v>1710.0015504</v>
      </c>
      <c r="B42" s="214">
        <f t="shared" si="7"/>
        <v>0</v>
      </c>
      <c r="C42" s="227">
        <f t="shared" si="7"/>
        <v>0</v>
      </c>
      <c r="D42" s="226">
        <f t="shared" si="8"/>
        <v>0</v>
      </c>
      <c r="E42" s="214">
        <f t="shared" si="9"/>
        <v>1710.0015504</v>
      </c>
      <c r="F42" s="227">
        <f t="shared" si="9"/>
        <v>0</v>
      </c>
      <c r="G42" s="226">
        <f t="shared" si="10"/>
        <v>1710.0015504</v>
      </c>
      <c r="H42" s="228">
        <v>225</v>
      </c>
    </row>
    <row r="43" spans="1:8" x14ac:dyDescent="0.25">
      <c r="A43" s="226">
        <f t="shared" si="6"/>
        <v>1710.0015504</v>
      </c>
      <c r="B43" s="214">
        <f t="shared" si="7"/>
        <v>0</v>
      </c>
      <c r="C43" s="227">
        <f t="shared" si="7"/>
        <v>0</v>
      </c>
      <c r="D43" s="226">
        <f t="shared" si="8"/>
        <v>0</v>
      </c>
      <c r="E43" s="214">
        <f t="shared" si="9"/>
        <v>1710.0015504</v>
      </c>
      <c r="F43" s="227">
        <f t="shared" si="9"/>
        <v>0</v>
      </c>
      <c r="G43" s="226">
        <f t="shared" si="10"/>
        <v>1710.0015504</v>
      </c>
      <c r="H43" s="228">
        <v>224</v>
      </c>
    </row>
    <row r="44" spans="1:8" x14ac:dyDescent="0.25">
      <c r="A44" s="226">
        <f t="shared" si="6"/>
        <v>1710.0015504</v>
      </c>
      <c r="B44" s="214">
        <f t="shared" si="7"/>
        <v>0</v>
      </c>
      <c r="C44" s="227">
        <f t="shared" si="7"/>
        <v>0</v>
      </c>
      <c r="D44" s="226">
        <f t="shared" si="8"/>
        <v>0</v>
      </c>
      <c r="E44" s="214">
        <f t="shared" si="9"/>
        <v>1710.0015504</v>
      </c>
      <c r="F44" s="227">
        <f t="shared" si="9"/>
        <v>0</v>
      </c>
      <c r="G44" s="226">
        <f t="shared" si="10"/>
        <v>1710.0015504</v>
      </c>
      <c r="H44" s="228">
        <v>223</v>
      </c>
    </row>
    <row r="45" spans="1:8" x14ac:dyDescent="0.25">
      <c r="A45" s="226">
        <f t="shared" si="6"/>
        <v>1710.0015504</v>
      </c>
      <c r="B45" s="214">
        <f t="shared" si="7"/>
        <v>0</v>
      </c>
      <c r="C45" s="227">
        <f t="shared" si="7"/>
        <v>0</v>
      </c>
      <c r="D45" s="226">
        <f t="shared" si="8"/>
        <v>0</v>
      </c>
      <c r="E45" s="214">
        <f t="shared" si="9"/>
        <v>1710.0015504</v>
      </c>
      <c r="F45" s="227">
        <f t="shared" si="9"/>
        <v>0</v>
      </c>
      <c r="G45" s="226">
        <f t="shared" si="10"/>
        <v>1710.0015504</v>
      </c>
      <c r="H45" s="228">
        <v>222</v>
      </c>
    </row>
    <row r="46" spans="1:8" x14ac:dyDescent="0.25">
      <c r="A46" s="226">
        <f t="shared" si="6"/>
        <v>1710.0015504</v>
      </c>
      <c r="B46" s="214">
        <f t="shared" si="7"/>
        <v>0</v>
      </c>
      <c r="C46" s="227">
        <f t="shared" si="7"/>
        <v>0</v>
      </c>
      <c r="D46" s="226">
        <f t="shared" si="8"/>
        <v>0</v>
      </c>
      <c r="E46" s="214">
        <f t="shared" si="9"/>
        <v>1710.0015504</v>
      </c>
      <c r="F46" s="227">
        <f t="shared" si="9"/>
        <v>0</v>
      </c>
      <c r="G46" s="226">
        <f t="shared" si="10"/>
        <v>1710.0015504</v>
      </c>
      <c r="H46" s="228">
        <v>221</v>
      </c>
    </row>
    <row r="47" spans="1:8" x14ac:dyDescent="0.25">
      <c r="A47" s="226">
        <f t="shared" si="6"/>
        <v>1710.0015504</v>
      </c>
      <c r="B47" s="214">
        <f t="shared" si="7"/>
        <v>0</v>
      </c>
      <c r="C47" s="227">
        <f t="shared" si="7"/>
        <v>0</v>
      </c>
      <c r="D47" s="226">
        <f t="shared" si="8"/>
        <v>0</v>
      </c>
      <c r="E47" s="214">
        <f t="shared" si="9"/>
        <v>1710.0015504</v>
      </c>
      <c r="F47" s="227">
        <f t="shared" si="9"/>
        <v>0</v>
      </c>
      <c r="G47" s="226">
        <f t="shared" si="10"/>
        <v>1710.0015504</v>
      </c>
      <c r="H47" s="228">
        <v>220</v>
      </c>
    </row>
    <row r="48" spans="1:8" x14ac:dyDescent="0.25">
      <c r="A48" s="226">
        <f t="shared" si="6"/>
        <v>1710.0015504</v>
      </c>
      <c r="B48" s="214">
        <f t="shared" si="7"/>
        <v>0</v>
      </c>
      <c r="C48" s="227">
        <f t="shared" si="7"/>
        <v>0</v>
      </c>
      <c r="D48" s="226">
        <f t="shared" si="8"/>
        <v>0</v>
      </c>
      <c r="E48" s="214">
        <f t="shared" si="9"/>
        <v>1710.0015504</v>
      </c>
      <c r="F48" s="227">
        <f t="shared" si="9"/>
        <v>0</v>
      </c>
      <c r="G48" s="226">
        <f t="shared" si="10"/>
        <v>1710.0015504</v>
      </c>
      <c r="H48" s="228">
        <v>219</v>
      </c>
    </row>
    <row r="49" spans="1:8" x14ac:dyDescent="0.25">
      <c r="A49" s="226">
        <f t="shared" si="6"/>
        <v>1710.0015504</v>
      </c>
      <c r="B49" s="214">
        <f t="shared" si="7"/>
        <v>0</v>
      </c>
      <c r="C49" s="227">
        <f t="shared" si="7"/>
        <v>0</v>
      </c>
      <c r="D49" s="226">
        <f t="shared" si="8"/>
        <v>0</v>
      </c>
      <c r="E49" s="214">
        <f t="shared" si="9"/>
        <v>1710.0015504</v>
      </c>
      <c r="F49" s="227">
        <f t="shared" si="9"/>
        <v>0</v>
      </c>
      <c r="G49" s="226">
        <f t="shared" si="10"/>
        <v>1710.0015504</v>
      </c>
      <c r="H49" s="228">
        <v>218</v>
      </c>
    </row>
    <row r="50" spans="1:8" x14ac:dyDescent="0.25">
      <c r="A50" s="226">
        <f t="shared" si="6"/>
        <v>1710.0015504</v>
      </c>
      <c r="B50" s="214">
        <f t="shared" si="7"/>
        <v>0</v>
      </c>
      <c r="C50" s="227">
        <f>C51*1.07</f>
        <v>0</v>
      </c>
      <c r="D50" s="226">
        <f t="shared" si="8"/>
        <v>0</v>
      </c>
      <c r="E50" s="214">
        <f t="shared" si="9"/>
        <v>1710.0015504</v>
      </c>
      <c r="F50" s="227">
        <f>F51*1.07</f>
        <v>0</v>
      </c>
      <c r="G50" s="226">
        <f t="shared" si="10"/>
        <v>1710.0015504</v>
      </c>
      <c r="H50" s="228">
        <v>217</v>
      </c>
    </row>
    <row r="51" spans="1:8" x14ac:dyDescent="0.25">
      <c r="A51" s="226">
        <f t="shared" si="6"/>
        <v>1710.0015504</v>
      </c>
      <c r="B51" s="214">
        <f t="shared" si="7"/>
        <v>0</v>
      </c>
      <c r="C51" s="227">
        <f t="shared" si="7"/>
        <v>0</v>
      </c>
      <c r="D51" s="226">
        <f t="shared" si="8"/>
        <v>0</v>
      </c>
      <c r="E51" s="214">
        <f t="shared" si="9"/>
        <v>1710.0015504</v>
      </c>
      <c r="F51" s="227">
        <f t="shared" si="9"/>
        <v>0</v>
      </c>
      <c r="G51" s="226">
        <f t="shared" si="10"/>
        <v>1710.0015504</v>
      </c>
      <c r="H51" s="228">
        <v>216</v>
      </c>
    </row>
    <row r="52" spans="1:8" x14ac:dyDescent="0.25">
      <c r="A52" s="226">
        <f t="shared" si="6"/>
        <v>1710.0015504</v>
      </c>
      <c r="B52" s="214">
        <f t="shared" si="7"/>
        <v>0</v>
      </c>
      <c r="C52" s="227">
        <f t="shared" si="7"/>
        <v>0</v>
      </c>
      <c r="D52" s="226">
        <f t="shared" si="8"/>
        <v>0</v>
      </c>
      <c r="E52" s="214">
        <f t="shared" si="9"/>
        <v>1710.0015504</v>
      </c>
      <c r="F52" s="227">
        <f t="shared" si="9"/>
        <v>0</v>
      </c>
      <c r="G52" s="226">
        <f t="shared" si="10"/>
        <v>1710.0015504</v>
      </c>
      <c r="H52" s="228">
        <v>215</v>
      </c>
    </row>
    <row r="53" spans="1:8" x14ac:dyDescent="0.25">
      <c r="A53" s="226">
        <f t="shared" si="6"/>
        <v>1710.0015504</v>
      </c>
      <c r="B53" s="214">
        <f t="shared" si="7"/>
        <v>0</v>
      </c>
      <c r="C53" s="227">
        <f t="shared" si="7"/>
        <v>0</v>
      </c>
      <c r="D53" s="226">
        <f t="shared" si="8"/>
        <v>0</v>
      </c>
      <c r="E53" s="214">
        <f t="shared" si="9"/>
        <v>1710.0015504</v>
      </c>
      <c r="F53" s="227">
        <f t="shared" si="9"/>
        <v>0</v>
      </c>
      <c r="G53" s="226">
        <f t="shared" si="10"/>
        <v>1710.0015504</v>
      </c>
      <c r="H53" s="228">
        <v>214</v>
      </c>
    </row>
    <row r="54" spans="1:8" x14ac:dyDescent="0.25">
      <c r="A54" s="226">
        <f t="shared" si="6"/>
        <v>1710.0015504</v>
      </c>
      <c r="B54" s="214">
        <f t="shared" si="7"/>
        <v>0</v>
      </c>
      <c r="C54" s="227">
        <f t="shared" si="7"/>
        <v>0</v>
      </c>
      <c r="D54" s="226">
        <f t="shared" si="8"/>
        <v>0</v>
      </c>
      <c r="E54" s="214">
        <f t="shared" si="9"/>
        <v>1710.0015504</v>
      </c>
      <c r="F54" s="227">
        <f t="shared" si="9"/>
        <v>0</v>
      </c>
      <c r="G54" s="226">
        <f t="shared" si="10"/>
        <v>1710.0015504</v>
      </c>
      <c r="H54" s="228">
        <v>213</v>
      </c>
    </row>
    <row r="55" spans="1:8" x14ac:dyDescent="0.25">
      <c r="A55" s="226">
        <f t="shared" si="6"/>
        <v>1710.0015504</v>
      </c>
      <c r="B55" s="214">
        <f t="shared" si="7"/>
        <v>0</v>
      </c>
      <c r="C55" s="227">
        <f t="shared" si="7"/>
        <v>0</v>
      </c>
      <c r="D55" s="226">
        <f t="shared" si="8"/>
        <v>0</v>
      </c>
      <c r="E55" s="214">
        <f t="shared" si="9"/>
        <v>1710.0015504</v>
      </c>
      <c r="F55" s="227">
        <f t="shared" si="9"/>
        <v>0</v>
      </c>
      <c r="G55" s="226">
        <f t="shared" si="10"/>
        <v>1710.0015504</v>
      </c>
      <c r="H55" s="228">
        <v>212</v>
      </c>
    </row>
    <row r="56" spans="1:8" x14ac:dyDescent="0.25">
      <c r="A56" s="226">
        <f t="shared" si="6"/>
        <v>1710.0015504</v>
      </c>
      <c r="B56" s="214">
        <f t="shared" si="7"/>
        <v>0</v>
      </c>
      <c r="C56" s="227">
        <f t="shared" si="7"/>
        <v>0</v>
      </c>
      <c r="D56" s="226">
        <f t="shared" si="8"/>
        <v>0</v>
      </c>
      <c r="E56" s="214">
        <f t="shared" si="9"/>
        <v>1710.0015504</v>
      </c>
      <c r="F56" s="227">
        <f t="shared" si="9"/>
        <v>0</v>
      </c>
      <c r="G56" s="226">
        <f t="shared" si="10"/>
        <v>1710.0015504</v>
      </c>
      <c r="H56" s="228">
        <v>211</v>
      </c>
    </row>
    <row r="57" spans="1:8" x14ac:dyDescent="0.25">
      <c r="A57" s="226">
        <f t="shared" si="6"/>
        <v>1710.0015504</v>
      </c>
      <c r="B57" s="214">
        <f t="shared" si="7"/>
        <v>0</v>
      </c>
      <c r="C57" s="227">
        <f t="shared" si="7"/>
        <v>0</v>
      </c>
      <c r="D57" s="226">
        <f t="shared" si="8"/>
        <v>0</v>
      </c>
      <c r="E57" s="214">
        <f t="shared" si="9"/>
        <v>1710.0015504</v>
      </c>
      <c r="F57" s="227">
        <f t="shared" si="9"/>
        <v>0</v>
      </c>
      <c r="G57" s="226">
        <f t="shared" si="10"/>
        <v>1710.0015504</v>
      </c>
      <c r="H57" s="228">
        <v>210</v>
      </c>
    </row>
    <row r="58" spans="1:8" x14ac:dyDescent="0.25">
      <c r="A58" s="226">
        <f t="shared" si="6"/>
        <v>1710.0015504</v>
      </c>
      <c r="B58" s="214">
        <f t="shared" si="7"/>
        <v>0</v>
      </c>
      <c r="C58" s="227">
        <f t="shared" si="7"/>
        <v>0</v>
      </c>
      <c r="D58" s="226">
        <f t="shared" si="8"/>
        <v>0</v>
      </c>
      <c r="E58" s="214">
        <f t="shared" si="9"/>
        <v>1710.0015504</v>
      </c>
      <c r="F58" s="227">
        <f t="shared" si="9"/>
        <v>0</v>
      </c>
      <c r="G58" s="226">
        <f t="shared" si="10"/>
        <v>1710.0015504</v>
      </c>
      <c r="H58" s="228">
        <v>209</v>
      </c>
    </row>
    <row r="59" spans="1:8" x14ac:dyDescent="0.25">
      <c r="A59" s="226">
        <f t="shared" si="6"/>
        <v>1710.0015504</v>
      </c>
      <c r="B59" s="214">
        <f t="shared" si="7"/>
        <v>0</v>
      </c>
      <c r="C59" s="227">
        <f t="shared" si="7"/>
        <v>0</v>
      </c>
      <c r="D59" s="226">
        <f t="shared" si="8"/>
        <v>0</v>
      </c>
      <c r="E59" s="214">
        <f t="shared" si="9"/>
        <v>1710.0015504</v>
      </c>
      <c r="F59" s="227">
        <f t="shared" si="9"/>
        <v>0</v>
      </c>
      <c r="G59" s="226">
        <f t="shared" si="10"/>
        <v>1710.0015504</v>
      </c>
      <c r="H59" s="228">
        <v>208</v>
      </c>
    </row>
    <row r="60" spans="1:8" x14ac:dyDescent="0.25">
      <c r="A60" s="226">
        <f t="shared" si="6"/>
        <v>1710.0015504</v>
      </c>
      <c r="B60" s="214">
        <f t="shared" si="7"/>
        <v>0</v>
      </c>
      <c r="C60" s="227">
        <f t="shared" si="7"/>
        <v>0</v>
      </c>
      <c r="D60" s="226">
        <f t="shared" si="8"/>
        <v>0</v>
      </c>
      <c r="E60" s="214">
        <f t="shared" si="9"/>
        <v>1710.0015504</v>
      </c>
      <c r="F60" s="227">
        <f t="shared" si="9"/>
        <v>0</v>
      </c>
      <c r="G60" s="226">
        <f t="shared" si="10"/>
        <v>1710.0015504</v>
      </c>
      <c r="H60" s="228">
        <v>207</v>
      </c>
    </row>
    <row r="61" spans="1:8" x14ac:dyDescent="0.25">
      <c r="A61" s="226">
        <f t="shared" si="6"/>
        <v>1710.0015504</v>
      </c>
      <c r="B61" s="214">
        <f t="shared" si="7"/>
        <v>0</v>
      </c>
      <c r="C61" s="227">
        <f t="shared" si="7"/>
        <v>0</v>
      </c>
      <c r="D61" s="226">
        <f t="shared" si="8"/>
        <v>0</v>
      </c>
      <c r="E61" s="214">
        <f t="shared" si="9"/>
        <v>1710.0015504</v>
      </c>
      <c r="F61" s="227">
        <f t="shared" si="9"/>
        <v>0</v>
      </c>
      <c r="G61" s="226">
        <f t="shared" si="10"/>
        <v>1710.0015504</v>
      </c>
      <c r="H61" s="228">
        <v>206</v>
      </c>
    </row>
    <row r="62" spans="1:8" x14ac:dyDescent="0.25">
      <c r="A62" s="226">
        <f t="shared" si="6"/>
        <v>1710.0015504</v>
      </c>
      <c r="B62" s="214">
        <f t="shared" si="7"/>
        <v>0</v>
      </c>
      <c r="C62" s="227">
        <f>C63*1.07</f>
        <v>0</v>
      </c>
      <c r="D62" s="226">
        <f t="shared" si="8"/>
        <v>0</v>
      </c>
      <c r="E62" s="214">
        <f t="shared" si="9"/>
        <v>1710.0015504</v>
      </c>
      <c r="F62" s="227">
        <f>F63*1.07</f>
        <v>0</v>
      </c>
      <c r="G62" s="226">
        <f t="shared" si="10"/>
        <v>1710.0015504</v>
      </c>
      <c r="H62" s="228">
        <v>205</v>
      </c>
    </row>
    <row r="63" spans="1:8" x14ac:dyDescent="0.25">
      <c r="A63" s="226">
        <f t="shared" si="6"/>
        <v>1710.0015504</v>
      </c>
      <c r="B63" s="214">
        <f t="shared" si="7"/>
        <v>0</v>
      </c>
      <c r="C63" s="227">
        <f t="shared" si="7"/>
        <v>0</v>
      </c>
      <c r="D63" s="226">
        <f t="shared" si="8"/>
        <v>0</v>
      </c>
      <c r="E63" s="214">
        <f t="shared" si="9"/>
        <v>1710.0015504</v>
      </c>
      <c r="F63" s="227">
        <f t="shared" si="9"/>
        <v>0</v>
      </c>
      <c r="G63" s="226">
        <f t="shared" si="10"/>
        <v>1710.0015504</v>
      </c>
      <c r="H63" s="228">
        <v>204</v>
      </c>
    </row>
    <row r="64" spans="1:8" x14ac:dyDescent="0.25">
      <c r="A64" s="226">
        <f t="shared" si="6"/>
        <v>1710.0015504</v>
      </c>
      <c r="B64" s="214">
        <f t="shared" si="7"/>
        <v>0</v>
      </c>
      <c r="C64" s="227">
        <f t="shared" si="7"/>
        <v>0</v>
      </c>
      <c r="D64" s="226">
        <f t="shared" si="8"/>
        <v>0</v>
      </c>
      <c r="E64" s="214">
        <f t="shared" si="9"/>
        <v>1710.0015504</v>
      </c>
      <c r="F64" s="227">
        <f t="shared" si="9"/>
        <v>0</v>
      </c>
      <c r="G64" s="226">
        <f t="shared" si="10"/>
        <v>1710.0015504</v>
      </c>
      <c r="H64" s="228">
        <v>203</v>
      </c>
    </row>
    <row r="65" spans="1:8" x14ac:dyDescent="0.25">
      <c r="A65" s="226">
        <f t="shared" si="6"/>
        <v>1710.0015504</v>
      </c>
      <c r="B65" s="214">
        <f t="shared" si="7"/>
        <v>0</v>
      </c>
      <c r="C65" s="227">
        <f t="shared" si="7"/>
        <v>0</v>
      </c>
      <c r="D65" s="226">
        <f t="shared" si="8"/>
        <v>0</v>
      </c>
      <c r="E65" s="214">
        <f t="shared" si="9"/>
        <v>1710.0015504</v>
      </c>
      <c r="F65" s="227">
        <f t="shared" si="9"/>
        <v>0</v>
      </c>
      <c r="G65" s="226">
        <f t="shared" si="10"/>
        <v>1710.0015504</v>
      </c>
      <c r="H65" s="228">
        <v>202</v>
      </c>
    </row>
    <row r="66" spans="1:8" x14ac:dyDescent="0.25">
      <c r="A66" s="226">
        <f t="shared" si="6"/>
        <v>1710.0015504</v>
      </c>
      <c r="B66" s="214">
        <f t="shared" si="7"/>
        <v>0</v>
      </c>
      <c r="C66" s="227">
        <f t="shared" si="7"/>
        <v>0</v>
      </c>
      <c r="D66" s="226">
        <f t="shared" si="8"/>
        <v>0</v>
      </c>
      <c r="E66" s="214">
        <f t="shared" si="9"/>
        <v>1710.0015504</v>
      </c>
      <c r="F66" s="227">
        <f t="shared" si="9"/>
        <v>0</v>
      </c>
      <c r="G66" s="226">
        <f t="shared" si="10"/>
        <v>1710.0015504</v>
      </c>
      <c r="H66" s="228">
        <v>201</v>
      </c>
    </row>
    <row r="67" spans="1:8" x14ac:dyDescent="0.25">
      <c r="A67" s="226">
        <f t="shared" si="6"/>
        <v>1710.0015504</v>
      </c>
      <c r="B67" s="214">
        <f t="shared" si="7"/>
        <v>0</v>
      </c>
      <c r="C67" s="227">
        <f t="shared" si="7"/>
        <v>0</v>
      </c>
      <c r="D67" s="226">
        <f t="shared" si="8"/>
        <v>0</v>
      </c>
      <c r="E67" s="214">
        <f t="shared" si="9"/>
        <v>1710.0015504</v>
      </c>
      <c r="F67" s="227">
        <f t="shared" si="9"/>
        <v>0</v>
      </c>
      <c r="G67" s="226">
        <f t="shared" si="10"/>
        <v>1710.0015504</v>
      </c>
      <c r="H67" s="228">
        <v>200</v>
      </c>
    </row>
    <row r="68" spans="1:8" x14ac:dyDescent="0.25">
      <c r="A68" s="226">
        <f t="shared" si="6"/>
        <v>1710.0015504</v>
      </c>
      <c r="B68" s="214">
        <f t="shared" si="7"/>
        <v>0</v>
      </c>
      <c r="C68" s="227">
        <f t="shared" si="7"/>
        <v>0</v>
      </c>
      <c r="D68" s="226">
        <f t="shared" si="8"/>
        <v>0</v>
      </c>
      <c r="E68" s="214">
        <f t="shared" si="9"/>
        <v>1710.0015504</v>
      </c>
      <c r="F68" s="227">
        <f t="shared" si="9"/>
        <v>0</v>
      </c>
      <c r="G68" s="226">
        <f t="shared" si="10"/>
        <v>1710.0015504</v>
      </c>
      <c r="H68" s="228">
        <v>199</v>
      </c>
    </row>
    <row r="69" spans="1:8" x14ac:dyDescent="0.25">
      <c r="A69" s="226">
        <f t="shared" si="6"/>
        <v>1710.0015504</v>
      </c>
      <c r="B69" s="214">
        <f t="shared" si="7"/>
        <v>0</v>
      </c>
      <c r="C69" s="227">
        <f t="shared" si="7"/>
        <v>0</v>
      </c>
      <c r="D69" s="226">
        <f t="shared" si="8"/>
        <v>0</v>
      </c>
      <c r="E69" s="214">
        <f t="shared" si="9"/>
        <v>1710.0015504</v>
      </c>
      <c r="F69" s="227">
        <f t="shared" si="9"/>
        <v>0</v>
      </c>
      <c r="G69" s="226">
        <f t="shared" si="10"/>
        <v>1710.0015504</v>
      </c>
      <c r="H69" s="228">
        <v>198</v>
      </c>
    </row>
    <row r="70" spans="1:8" x14ac:dyDescent="0.25">
      <c r="A70" s="226">
        <f t="shared" si="6"/>
        <v>1710.0015504</v>
      </c>
      <c r="B70" s="214">
        <f t="shared" si="7"/>
        <v>0</v>
      </c>
      <c r="C70" s="227">
        <f t="shared" si="7"/>
        <v>0</v>
      </c>
      <c r="D70" s="226">
        <f t="shared" si="8"/>
        <v>0</v>
      </c>
      <c r="E70" s="214">
        <f t="shared" si="9"/>
        <v>1710.0015504</v>
      </c>
      <c r="F70" s="227">
        <f t="shared" si="9"/>
        <v>0</v>
      </c>
      <c r="G70" s="226">
        <f t="shared" si="10"/>
        <v>1710.0015504</v>
      </c>
      <c r="H70" s="228">
        <v>197</v>
      </c>
    </row>
    <row r="71" spans="1:8" x14ac:dyDescent="0.25">
      <c r="A71" s="226">
        <f t="shared" si="6"/>
        <v>1710.0015504</v>
      </c>
      <c r="B71" s="214">
        <f t="shared" si="7"/>
        <v>0</v>
      </c>
      <c r="C71" s="227">
        <f t="shared" si="7"/>
        <v>0</v>
      </c>
      <c r="D71" s="226">
        <f t="shared" si="8"/>
        <v>0</v>
      </c>
      <c r="E71" s="214">
        <f t="shared" si="9"/>
        <v>1710.0015504</v>
      </c>
      <c r="F71" s="227">
        <f t="shared" si="9"/>
        <v>0</v>
      </c>
      <c r="G71" s="226">
        <f t="shared" si="10"/>
        <v>1710.0015504</v>
      </c>
      <c r="H71" s="228">
        <v>196</v>
      </c>
    </row>
    <row r="72" spans="1:8" x14ac:dyDescent="0.25">
      <c r="A72" s="226">
        <f t="shared" si="6"/>
        <v>1710.0015504</v>
      </c>
      <c r="B72" s="214">
        <f t="shared" si="7"/>
        <v>0</v>
      </c>
      <c r="C72" s="227">
        <f t="shared" si="7"/>
        <v>0</v>
      </c>
      <c r="D72" s="226">
        <f t="shared" si="8"/>
        <v>0</v>
      </c>
      <c r="E72" s="214">
        <f t="shared" si="9"/>
        <v>1710.0015504</v>
      </c>
      <c r="F72" s="227">
        <f t="shared" si="9"/>
        <v>0</v>
      </c>
      <c r="G72" s="226">
        <f t="shared" si="10"/>
        <v>1710.0015504</v>
      </c>
      <c r="H72" s="228">
        <v>195</v>
      </c>
    </row>
    <row r="73" spans="1:8" x14ac:dyDescent="0.25">
      <c r="A73" s="226">
        <f t="shared" si="6"/>
        <v>1710.0015504</v>
      </c>
      <c r="B73" s="214">
        <f t="shared" si="7"/>
        <v>0</v>
      </c>
      <c r="C73" s="227">
        <f t="shared" si="7"/>
        <v>0</v>
      </c>
      <c r="D73" s="226">
        <f t="shared" si="8"/>
        <v>0</v>
      </c>
      <c r="E73" s="214">
        <f t="shared" si="9"/>
        <v>1710.0015504</v>
      </c>
      <c r="F73" s="227">
        <f t="shared" si="9"/>
        <v>0</v>
      </c>
      <c r="G73" s="226">
        <f t="shared" si="10"/>
        <v>1710.0015504</v>
      </c>
      <c r="H73" s="228">
        <v>194</v>
      </c>
    </row>
    <row r="74" spans="1:8" x14ac:dyDescent="0.25">
      <c r="A74" s="226">
        <f t="shared" si="6"/>
        <v>1710.0015504</v>
      </c>
      <c r="B74" s="214">
        <f t="shared" si="7"/>
        <v>0</v>
      </c>
      <c r="C74" s="227">
        <f>C75*1.07</f>
        <v>0</v>
      </c>
      <c r="D74" s="226">
        <f t="shared" si="8"/>
        <v>0</v>
      </c>
      <c r="E74" s="214">
        <f t="shared" si="9"/>
        <v>1710.0015504</v>
      </c>
      <c r="F74" s="227">
        <f>F75*1.07</f>
        <v>0</v>
      </c>
      <c r="G74" s="226">
        <f t="shared" si="10"/>
        <v>1710.0015504</v>
      </c>
      <c r="H74" s="228">
        <v>193</v>
      </c>
    </row>
    <row r="75" spans="1:8" x14ac:dyDescent="0.25">
      <c r="A75" s="226">
        <f t="shared" si="6"/>
        <v>1710.0015504</v>
      </c>
      <c r="B75" s="214">
        <f t="shared" si="7"/>
        <v>0</v>
      </c>
      <c r="C75" s="227">
        <f t="shared" si="7"/>
        <v>0</v>
      </c>
      <c r="D75" s="226">
        <f t="shared" si="8"/>
        <v>0</v>
      </c>
      <c r="E75" s="214">
        <f t="shared" si="9"/>
        <v>1710.0015504</v>
      </c>
      <c r="F75" s="227">
        <f t="shared" si="9"/>
        <v>0</v>
      </c>
      <c r="G75" s="226">
        <f t="shared" si="10"/>
        <v>1710.0015504</v>
      </c>
      <c r="H75" s="228">
        <v>192</v>
      </c>
    </row>
    <row r="76" spans="1:8" x14ac:dyDescent="0.25">
      <c r="A76" s="226">
        <f t="shared" si="6"/>
        <v>1710.0015504</v>
      </c>
      <c r="B76" s="214">
        <f t="shared" si="7"/>
        <v>0</v>
      </c>
      <c r="C76" s="227">
        <f t="shared" si="7"/>
        <v>0</v>
      </c>
      <c r="D76" s="226">
        <f t="shared" si="8"/>
        <v>0</v>
      </c>
      <c r="E76" s="214">
        <f t="shared" si="9"/>
        <v>1710.0015504</v>
      </c>
      <c r="F76" s="227">
        <f t="shared" si="9"/>
        <v>0</v>
      </c>
      <c r="G76" s="226">
        <f t="shared" si="10"/>
        <v>1710.0015504</v>
      </c>
      <c r="H76" s="228">
        <v>191</v>
      </c>
    </row>
    <row r="77" spans="1:8" x14ac:dyDescent="0.25">
      <c r="A77" s="226">
        <f t="shared" si="6"/>
        <v>1710.0015504</v>
      </c>
      <c r="B77" s="214">
        <f t="shared" si="7"/>
        <v>0</v>
      </c>
      <c r="C77" s="227">
        <f t="shared" si="7"/>
        <v>0</v>
      </c>
      <c r="D77" s="226">
        <f t="shared" si="8"/>
        <v>0</v>
      </c>
      <c r="E77" s="214">
        <f t="shared" si="9"/>
        <v>1710.0015504</v>
      </c>
      <c r="F77" s="227">
        <f t="shared" si="9"/>
        <v>0</v>
      </c>
      <c r="G77" s="226">
        <f t="shared" si="10"/>
        <v>1710.0015504</v>
      </c>
      <c r="H77" s="228">
        <v>190</v>
      </c>
    </row>
    <row r="78" spans="1:8" x14ac:dyDescent="0.25">
      <c r="A78" s="226">
        <f t="shared" si="6"/>
        <v>1710.0015504</v>
      </c>
      <c r="B78" s="214">
        <f t="shared" si="7"/>
        <v>0</v>
      </c>
      <c r="C78" s="227">
        <f t="shared" si="7"/>
        <v>0</v>
      </c>
      <c r="D78" s="226">
        <f t="shared" si="8"/>
        <v>0</v>
      </c>
      <c r="E78" s="214">
        <f t="shared" si="9"/>
        <v>1710.0015504</v>
      </c>
      <c r="F78" s="227">
        <f t="shared" si="9"/>
        <v>0</v>
      </c>
      <c r="G78" s="226">
        <f t="shared" si="10"/>
        <v>1710.0015504</v>
      </c>
      <c r="H78" s="228">
        <v>189</v>
      </c>
    </row>
    <row r="79" spans="1:8" x14ac:dyDescent="0.25">
      <c r="A79" s="226">
        <f t="shared" si="6"/>
        <v>1710.0015504</v>
      </c>
      <c r="B79" s="214">
        <f t="shared" si="7"/>
        <v>0</v>
      </c>
      <c r="C79" s="227">
        <f t="shared" si="7"/>
        <v>0</v>
      </c>
      <c r="D79" s="226">
        <f t="shared" si="8"/>
        <v>0</v>
      </c>
      <c r="E79" s="214">
        <f t="shared" si="9"/>
        <v>1710.0015504</v>
      </c>
      <c r="F79" s="227">
        <f t="shared" si="9"/>
        <v>0</v>
      </c>
      <c r="G79" s="226">
        <f t="shared" si="10"/>
        <v>1710.0015504</v>
      </c>
      <c r="H79" s="228">
        <v>188</v>
      </c>
    </row>
    <row r="80" spans="1:8" x14ac:dyDescent="0.25">
      <c r="A80" s="226">
        <f t="shared" si="6"/>
        <v>1710.0015504</v>
      </c>
      <c r="B80" s="214">
        <f t="shared" si="7"/>
        <v>0</v>
      </c>
      <c r="C80" s="227">
        <f t="shared" si="7"/>
        <v>0</v>
      </c>
      <c r="D80" s="226">
        <f t="shared" si="8"/>
        <v>0</v>
      </c>
      <c r="E80" s="214">
        <f t="shared" si="9"/>
        <v>1710.0015504</v>
      </c>
      <c r="F80" s="227">
        <f t="shared" si="9"/>
        <v>0</v>
      </c>
      <c r="G80" s="226">
        <f t="shared" si="10"/>
        <v>1710.0015504</v>
      </c>
      <c r="H80" s="228">
        <v>187</v>
      </c>
    </row>
    <row r="81" spans="1:8" x14ac:dyDescent="0.25">
      <c r="A81" s="226">
        <f t="shared" si="6"/>
        <v>1710.0015504</v>
      </c>
      <c r="B81" s="214">
        <f t="shared" si="7"/>
        <v>0</v>
      </c>
      <c r="C81" s="227">
        <f t="shared" si="7"/>
        <v>0</v>
      </c>
      <c r="D81" s="226">
        <f t="shared" si="8"/>
        <v>0</v>
      </c>
      <c r="E81" s="214">
        <f t="shared" si="9"/>
        <v>1710.0015504</v>
      </c>
      <c r="F81" s="227">
        <f t="shared" si="9"/>
        <v>0</v>
      </c>
      <c r="G81" s="226">
        <f t="shared" si="10"/>
        <v>1710.0015504</v>
      </c>
      <c r="H81" s="228">
        <v>186</v>
      </c>
    </row>
    <row r="82" spans="1:8" x14ac:dyDescent="0.25">
      <c r="A82" s="226">
        <f t="shared" si="6"/>
        <v>1710.0015504</v>
      </c>
      <c r="B82" s="214">
        <f t="shared" si="7"/>
        <v>0</v>
      </c>
      <c r="C82" s="227">
        <f t="shared" si="7"/>
        <v>0</v>
      </c>
      <c r="D82" s="226">
        <f t="shared" si="8"/>
        <v>0</v>
      </c>
      <c r="E82" s="214">
        <f t="shared" si="9"/>
        <v>1710.0015504</v>
      </c>
      <c r="F82" s="227">
        <f t="shared" si="9"/>
        <v>0</v>
      </c>
      <c r="G82" s="226">
        <f t="shared" si="10"/>
        <v>1710.0015504</v>
      </c>
      <c r="H82" s="228">
        <v>185</v>
      </c>
    </row>
    <row r="83" spans="1:8" x14ac:dyDescent="0.25">
      <c r="A83" s="226">
        <f t="shared" si="6"/>
        <v>1710.0015504</v>
      </c>
      <c r="B83" s="214">
        <f t="shared" si="7"/>
        <v>0</v>
      </c>
      <c r="C83" s="227">
        <f t="shared" si="7"/>
        <v>0</v>
      </c>
      <c r="D83" s="226">
        <f t="shared" si="8"/>
        <v>0</v>
      </c>
      <c r="E83" s="214">
        <f t="shared" si="9"/>
        <v>1710.0015504</v>
      </c>
      <c r="F83" s="227">
        <f t="shared" si="9"/>
        <v>0</v>
      </c>
      <c r="G83" s="226">
        <f t="shared" si="10"/>
        <v>1710.0015504</v>
      </c>
      <c r="H83" s="228">
        <v>184</v>
      </c>
    </row>
    <row r="84" spans="1:8" x14ac:dyDescent="0.25">
      <c r="A84" s="226">
        <f t="shared" si="6"/>
        <v>1710.0015504</v>
      </c>
      <c r="B84" s="214">
        <f t="shared" si="7"/>
        <v>0</v>
      </c>
      <c r="C84" s="227">
        <f t="shared" si="7"/>
        <v>0</v>
      </c>
      <c r="D84" s="226">
        <f t="shared" si="8"/>
        <v>0</v>
      </c>
      <c r="E84" s="214">
        <f t="shared" si="9"/>
        <v>1710.0015504</v>
      </c>
      <c r="F84" s="227">
        <f t="shared" si="9"/>
        <v>0</v>
      </c>
      <c r="G84" s="226">
        <f t="shared" si="10"/>
        <v>1710.0015504</v>
      </c>
      <c r="H84" s="228">
        <v>183</v>
      </c>
    </row>
    <row r="85" spans="1:8" x14ac:dyDescent="0.25">
      <c r="A85" s="226">
        <f t="shared" si="6"/>
        <v>1710.0015504</v>
      </c>
      <c r="B85" s="214">
        <f t="shared" si="7"/>
        <v>0</v>
      </c>
      <c r="C85" s="227">
        <f t="shared" si="7"/>
        <v>0</v>
      </c>
      <c r="D85" s="226">
        <f t="shared" si="8"/>
        <v>0</v>
      </c>
      <c r="E85" s="214">
        <f t="shared" si="9"/>
        <v>1710.0015504</v>
      </c>
      <c r="F85" s="227">
        <f t="shared" si="9"/>
        <v>0</v>
      </c>
      <c r="G85" s="226">
        <f t="shared" si="10"/>
        <v>1710.0015504</v>
      </c>
      <c r="H85" s="228">
        <v>182</v>
      </c>
    </row>
    <row r="86" spans="1:8" x14ac:dyDescent="0.25">
      <c r="A86" s="226">
        <f t="shared" si="6"/>
        <v>1710.0015504</v>
      </c>
      <c r="B86" s="214">
        <f t="shared" si="7"/>
        <v>0</v>
      </c>
      <c r="C86" s="227">
        <f>C87*1.07</f>
        <v>0</v>
      </c>
      <c r="D86" s="226">
        <f t="shared" si="8"/>
        <v>0</v>
      </c>
      <c r="E86" s="214">
        <f t="shared" si="9"/>
        <v>1710.0015504</v>
      </c>
      <c r="F86" s="227">
        <f>F87*1.07</f>
        <v>0</v>
      </c>
      <c r="G86" s="226">
        <f t="shared" si="10"/>
        <v>1710.0015504</v>
      </c>
      <c r="H86" s="228">
        <v>181</v>
      </c>
    </row>
    <row r="87" spans="1:8" x14ac:dyDescent="0.25">
      <c r="A87" s="226">
        <f t="shared" si="6"/>
        <v>1710.0015504</v>
      </c>
      <c r="B87" s="214">
        <f t="shared" si="7"/>
        <v>0</v>
      </c>
      <c r="C87" s="227">
        <f t="shared" si="7"/>
        <v>0</v>
      </c>
      <c r="D87" s="226">
        <f t="shared" si="8"/>
        <v>0</v>
      </c>
      <c r="E87" s="214">
        <f t="shared" si="9"/>
        <v>1710.0015504</v>
      </c>
      <c r="F87" s="227">
        <f t="shared" si="9"/>
        <v>0</v>
      </c>
      <c r="G87" s="226">
        <f t="shared" si="10"/>
        <v>1710.0015504</v>
      </c>
      <c r="H87" s="228">
        <v>180</v>
      </c>
    </row>
    <row r="88" spans="1:8" x14ac:dyDescent="0.25">
      <c r="A88" s="226">
        <f t="shared" si="6"/>
        <v>1710.0015504</v>
      </c>
      <c r="B88" s="214">
        <f t="shared" si="7"/>
        <v>0</v>
      </c>
      <c r="C88" s="227">
        <f t="shared" si="7"/>
        <v>0</v>
      </c>
      <c r="D88" s="226">
        <f t="shared" si="8"/>
        <v>0</v>
      </c>
      <c r="E88" s="214">
        <f t="shared" si="9"/>
        <v>1710.0015504</v>
      </c>
      <c r="F88" s="227">
        <f t="shared" si="9"/>
        <v>0</v>
      </c>
      <c r="G88" s="226">
        <f t="shared" si="10"/>
        <v>1710.0015504</v>
      </c>
      <c r="H88" s="228">
        <v>179</v>
      </c>
    </row>
    <row r="89" spans="1:8" x14ac:dyDescent="0.25">
      <c r="A89" s="226">
        <f t="shared" si="6"/>
        <v>1710.0015504</v>
      </c>
      <c r="B89" s="214">
        <f t="shared" si="7"/>
        <v>0</v>
      </c>
      <c r="C89" s="227">
        <f t="shared" si="7"/>
        <v>0</v>
      </c>
      <c r="D89" s="226">
        <f t="shared" si="8"/>
        <v>0</v>
      </c>
      <c r="E89" s="214">
        <f t="shared" si="9"/>
        <v>1710.0015504</v>
      </c>
      <c r="F89" s="227">
        <f t="shared" si="9"/>
        <v>0</v>
      </c>
      <c r="G89" s="226">
        <f t="shared" si="10"/>
        <v>1710.0015504</v>
      </c>
      <c r="H89" s="228">
        <v>178</v>
      </c>
    </row>
    <row r="90" spans="1:8" x14ac:dyDescent="0.25">
      <c r="A90" s="226">
        <f t="shared" si="6"/>
        <v>1710.0015504</v>
      </c>
      <c r="B90" s="214">
        <f t="shared" si="7"/>
        <v>0</v>
      </c>
      <c r="C90" s="227">
        <f t="shared" si="7"/>
        <v>0</v>
      </c>
      <c r="D90" s="226">
        <f t="shared" si="8"/>
        <v>0</v>
      </c>
      <c r="E90" s="214">
        <f t="shared" si="9"/>
        <v>1710.0015504</v>
      </c>
      <c r="F90" s="227">
        <f t="shared" si="9"/>
        <v>0</v>
      </c>
      <c r="G90" s="226">
        <f t="shared" si="10"/>
        <v>1710.0015504</v>
      </c>
      <c r="H90" s="228">
        <v>177</v>
      </c>
    </row>
    <row r="91" spans="1:8" x14ac:dyDescent="0.25">
      <c r="A91" s="226">
        <f t="shared" ref="A91:A154" si="11">G91-D91</f>
        <v>1710.0015504</v>
      </c>
      <c r="B91" s="214">
        <f t="shared" ref="B91:C154" si="12">B92</f>
        <v>0</v>
      </c>
      <c r="C91" s="227">
        <f t="shared" si="12"/>
        <v>0</v>
      </c>
      <c r="D91" s="226">
        <f t="shared" ref="D91:D154" si="13">D92+C91</f>
        <v>0</v>
      </c>
      <c r="E91" s="214">
        <f t="shared" ref="E91:F154" si="14">E92</f>
        <v>1710.0015504</v>
      </c>
      <c r="F91" s="227">
        <f t="shared" si="14"/>
        <v>0</v>
      </c>
      <c r="G91" s="226">
        <f t="shared" ref="G91:G154" si="15">G92+F91</f>
        <v>1710.0015504</v>
      </c>
      <c r="H91" s="228">
        <v>176</v>
      </c>
    </row>
    <row r="92" spans="1:8" x14ac:dyDescent="0.25">
      <c r="A92" s="226">
        <f t="shared" si="11"/>
        <v>1710.0015504</v>
      </c>
      <c r="B92" s="214">
        <f t="shared" si="12"/>
        <v>0</v>
      </c>
      <c r="C92" s="227">
        <f t="shared" si="12"/>
        <v>0</v>
      </c>
      <c r="D92" s="226">
        <f t="shared" si="13"/>
        <v>0</v>
      </c>
      <c r="E92" s="214">
        <f t="shared" si="14"/>
        <v>1710.0015504</v>
      </c>
      <c r="F92" s="227">
        <f t="shared" si="14"/>
        <v>0</v>
      </c>
      <c r="G92" s="226">
        <f t="shared" si="15"/>
        <v>1710.0015504</v>
      </c>
      <c r="H92" s="228">
        <v>175</v>
      </c>
    </row>
    <row r="93" spans="1:8" x14ac:dyDescent="0.25">
      <c r="A93" s="226">
        <f t="shared" si="11"/>
        <v>1710.0015504</v>
      </c>
      <c r="B93" s="214">
        <f t="shared" si="12"/>
        <v>0</v>
      </c>
      <c r="C93" s="227">
        <f t="shared" si="12"/>
        <v>0</v>
      </c>
      <c r="D93" s="226">
        <f t="shared" si="13"/>
        <v>0</v>
      </c>
      <c r="E93" s="214">
        <f t="shared" si="14"/>
        <v>1710.0015504</v>
      </c>
      <c r="F93" s="227">
        <f t="shared" si="14"/>
        <v>0</v>
      </c>
      <c r="G93" s="226">
        <f t="shared" si="15"/>
        <v>1710.0015504</v>
      </c>
      <c r="H93" s="228">
        <v>174</v>
      </c>
    </row>
    <row r="94" spans="1:8" x14ac:dyDescent="0.25">
      <c r="A94" s="226">
        <f t="shared" si="11"/>
        <v>1710.0015504</v>
      </c>
      <c r="B94" s="214">
        <f t="shared" si="12"/>
        <v>0</v>
      </c>
      <c r="C94" s="227">
        <f t="shared" si="12"/>
        <v>0</v>
      </c>
      <c r="D94" s="226">
        <f t="shared" si="13"/>
        <v>0</v>
      </c>
      <c r="E94" s="214">
        <f t="shared" si="14"/>
        <v>1710.0015504</v>
      </c>
      <c r="F94" s="227">
        <f t="shared" si="14"/>
        <v>0</v>
      </c>
      <c r="G94" s="226">
        <f t="shared" si="15"/>
        <v>1710.0015504</v>
      </c>
      <c r="H94" s="228">
        <v>173</v>
      </c>
    </row>
    <row r="95" spans="1:8" x14ac:dyDescent="0.25">
      <c r="A95" s="226">
        <f t="shared" si="11"/>
        <v>1710.0015504</v>
      </c>
      <c r="B95" s="214">
        <f t="shared" si="12"/>
        <v>0</v>
      </c>
      <c r="C95" s="227">
        <f t="shared" si="12"/>
        <v>0</v>
      </c>
      <c r="D95" s="226">
        <f t="shared" si="13"/>
        <v>0</v>
      </c>
      <c r="E95" s="214">
        <f t="shared" si="14"/>
        <v>1710.0015504</v>
      </c>
      <c r="F95" s="227">
        <f t="shared" si="14"/>
        <v>0</v>
      </c>
      <c r="G95" s="226">
        <f t="shared" si="15"/>
        <v>1710.0015504</v>
      </c>
      <c r="H95" s="228">
        <v>172</v>
      </c>
    </row>
    <row r="96" spans="1:8" x14ac:dyDescent="0.25">
      <c r="A96" s="226">
        <f t="shared" si="11"/>
        <v>1710.0015504</v>
      </c>
      <c r="B96" s="214">
        <f t="shared" si="12"/>
        <v>0</v>
      </c>
      <c r="C96" s="227">
        <f t="shared" si="12"/>
        <v>0</v>
      </c>
      <c r="D96" s="226">
        <f t="shared" si="13"/>
        <v>0</v>
      </c>
      <c r="E96" s="214">
        <f t="shared" si="14"/>
        <v>1710.0015504</v>
      </c>
      <c r="F96" s="227">
        <f t="shared" si="14"/>
        <v>0</v>
      </c>
      <c r="G96" s="226">
        <f t="shared" si="15"/>
        <v>1710.0015504</v>
      </c>
      <c r="H96" s="228">
        <v>171</v>
      </c>
    </row>
    <row r="97" spans="1:8" x14ac:dyDescent="0.25">
      <c r="A97" s="226">
        <f t="shared" si="11"/>
        <v>1710.0015504</v>
      </c>
      <c r="B97" s="214">
        <f t="shared" si="12"/>
        <v>0</v>
      </c>
      <c r="C97" s="227">
        <f t="shared" si="12"/>
        <v>0</v>
      </c>
      <c r="D97" s="226">
        <f t="shared" si="13"/>
        <v>0</v>
      </c>
      <c r="E97" s="214">
        <f t="shared" si="14"/>
        <v>1710.0015504</v>
      </c>
      <c r="F97" s="227">
        <f t="shared" si="14"/>
        <v>0</v>
      </c>
      <c r="G97" s="226">
        <f t="shared" si="15"/>
        <v>1710.0015504</v>
      </c>
      <c r="H97" s="228">
        <v>170</v>
      </c>
    </row>
    <row r="98" spans="1:8" x14ac:dyDescent="0.25">
      <c r="A98" s="226">
        <f t="shared" si="11"/>
        <v>1710.0015504</v>
      </c>
      <c r="B98" s="214">
        <f t="shared" si="12"/>
        <v>0</v>
      </c>
      <c r="C98" s="227">
        <f>C99*1.07</f>
        <v>0</v>
      </c>
      <c r="D98" s="226">
        <f t="shared" si="13"/>
        <v>0</v>
      </c>
      <c r="E98" s="214">
        <f t="shared" si="14"/>
        <v>1710.0015504</v>
      </c>
      <c r="F98" s="227">
        <f>F99*1.07</f>
        <v>0</v>
      </c>
      <c r="G98" s="226">
        <f t="shared" si="15"/>
        <v>1710.0015504</v>
      </c>
      <c r="H98" s="228">
        <v>169</v>
      </c>
    </row>
    <row r="99" spans="1:8" x14ac:dyDescent="0.25">
      <c r="A99" s="226">
        <f t="shared" si="11"/>
        <v>1710.0015504</v>
      </c>
      <c r="B99" s="214">
        <f t="shared" si="12"/>
        <v>0</v>
      </c>
      <c r="C99" s="227">
        <f t="shared" si="12"/>
        <v>0</v>
      </c>
      <c r="D99" s="226">
        <f t="shared" si="13"/>
        <v>0</v>
      </c>
      <c r="E99" s="214">
        <f t="shared" si="14"/>
        <v>1710.0015504</v>
      </c>
      <c r="F99" s="227">
        <f t="shared" si="14"/>
        <v>0</v>
      </c>
      <c r="G99" s="226">
        <f t="shared" si="15"/>
        <v>1710.0015504</v>
      </c>
      <c r="H99" s="228">
        <v>168</v>
      </c>
    </row>
    <row r="100" spans="1:8" x14ac:dyDescent="0.25">
      <c r="A100" s="226">
        <f t="shared" si="11"/>
        <v>1710.0015504</v>
      </c>
      <c r="B100" s="214">
        <f t="shared" si="12"/>
        <v>0</v>
      </c>
      <c r="C100" s="227">
        <f t="shared" si="12"/>
        <v>0</v>
      </c>
      <c r="D100" s="226">
        <f t="shared" si="13"/>
        <v>0</v>
      </c>
      <c r="E100" s="214">
        <f t="shared" si="14"/>
        <v>1710.0015504</v>
      </c>
      <c r="F100" s="227">
        <f t="shared" si="14"/>
        <v>0</v>
      </c>
      <c r="G100" s="226">
        <f t="shared" si="15"/>
        <v>1710.0015504</v>
      </c>
      <c r="H100" s="228">
        <v>167</v>
      </c>
    </row>
    <row r="101" spans="1:8" x14ac:dyDescent="0.25">
      <c r="A101" s="226">
        <f t="shared" si="11"/>
        <v>1710.0015504</v>
      </c>
      <c r="B101" s="214">
        <f t="shared" si="12"/>
        <v>0</v>
      </c>
      <c r="C101" s="227">
        <f t="shared" si="12"/>
        <v>0</v>
      </c>
      <c r="D101" s="226">
        <f t="shared" si="13"/>
        <v>0</v>
      </c>
      <c r="E101" s="214">
        <f t="shared" si="14"/>
        <v>1710.0015504</v>
      </c>
      <c r="F101" s="227">
        <f t="shared" si="14"/>
        <v>0</v>
      </c>
      <c r="G101" s="226">
        <f t="shared" si="15"/>
        <v>1710.0015504</v>
      </c>
      <c r="H101" s="228">
        <v>166</v>
      </c>
    </row>
    <row r="102" spans="1:8" x14ac:dyDescent="0.25">
      <c r="A102" s="226">
        <f t="shared" si="11"/>
        <v>1710.0015504</v>
      </c>
      <c r="B102" s="214">
        <f t="shared" si="12"/>
        <v>0</v>
      </c>
      <c r="C102" s="227">
        <f t="shared" si="12"/>
        <v>0</v>
      </c>
      <c r="D102" s="226">
        <f t="shared" si="13"/>
        <v>0</v>
      </c>
      <c r="E102" s="214">
        <f t="shared" si="14"/>
        <v>1710.0015504</v>
      </c>
      <c r="F102" s="227">
        <f t="shared" si="14"/>
        <v>0</v>
      </c>
      <c r="G102" s="226">
        <f t="shared" si="15"/>
        <v>1710.0015504</v>
      </c>
      <c r="H102" s="228">
        <v>165</v>
      </c>
    </row>
    <row r="103" spans="1:8" x14ac:dyDescent="0.25">
      <c r="A103" s="226">
        <f t="shared" si="11"/>
        <v>1710.0015504</v>
      </c>
      <c r="B103" s="214">
        <f t="shared" si="12"/>
        <v>0</v>
      </c>
      <c r="C103" s="227">
        <f t="shared" si="12"/>
        <v>0</v>
      </c>
      <c r="D103" s="226">
        <f t="shared" si="13"/>
        <v>0</v>
      </c>
      <c r="E103" s="214">
        <f t="shared" si="14"/>
        <v>1710.0015504</v>
      </c>
      <c r="F103" s="227">
        <f t="shared" si="14"/>
        <v>0</v>
      </c>
      <c r="G103" s="226">
        <f t="shared" si="15"/>
        <v>1710.0015504</v>
      </c>
      <c r="H103" s="228">
        <v>164</v>
      </c>
    </row>
    <row r="104" spans="1:8" x14ac:dyDescent="0.25">
      <c r="A104" s="226">
        <f t="shared" si="11"/>
        <v>1710.0015504</v>
      </c>
      <c r="B104" s="214">
        <f t="shared" si="12"/>
        <v>0</v>
      </c>
      <c r="C104" s="227">
        <f t="shared" si="12"/>
        <v>0</v>
      </c>
      <c r="D104" s="226">
        <f t="shared" si="13"/>
        <v>0</v>
      </c>
      <c r="E104" s="214">
        <f t="shared" si="14"/>
        <v>1710.0015504</v>
      </c>
      <c r="F104" s="227">
        <f t="shared" si="14"/>
        <v>0</v>
      </c>
      <c r="G104" s="226">
        <f t="shared" si="15"/>
        <v>1710.0015504</v>
      </c>
      <c r="H104" s="228">
        <v>163</v>
      </c>
    </row>
    <row r="105" spans="1:8" x14ac:dyDescent="0.25">
      <c r="A105" s="226">
        <f t="shared" si="11"/>
        <v>1710.0015504</v>
      </c>
      <c r="B105" s="214">
        <f t="shared" si="12"/>
        <v>0</v>
      </c>
      <c r="C105" s="227">
        <f t="shared" si="12"/>
        <v>0</v>
      </c>
      <c r="D105" s="226">
        <f t="shared" si="13"/>
        <v>0</v>
      </c>
      <c r="E105" s="214">
        <f t="shared" si="14"/>
        <v>1710.0015504</v>
      </c>
      <c r="F105" s="227">
        <f t="shared" si="14"/>
        <v>0</v>
      </c>
      <c r="G105" s="226">
        <f t="shared" si="15"/>
        <v>1710.0015504</v>
      </c>
      <c r="H105" s="228">
        <v>162</v>
      </c>
    </row>
    <row r="106" spans="1:8" x14ac:dyDescent="0.25">
      <c r="A106" s="226">
        <f t="shared" si="11"/>
        <v>1710.0015504</v>
      </c>
      <c r="B106" s="214">
        <f t="shared" si="12"/>
        <v>0</v>
      </c>
      <c r="C106" s="227">
        <f t="shared" si="12"/>
        <v>0</v>
      </c>
      <c r="D106" s="226">
        <f t="shared" si="13"/>
        <v>0</v>
      </c>
      <c r="E106" s="214">
        <f t="shared" si="14"/>
        <v>1710.0015504</v>
      </c>
      <c r="F106" s="227">
        <f t="shared" si="14"/>
        <v>0</v>
      </c>
      <c r="G106" s="226">
        <f t="shared" si="15"/>
        <v>1710.0015504</v>
      </c>
      <c r="H106" s="228">
        <v>161</v>
      </c>
    </row>
    <row r="107" spans="1:8" x14ac:dyDescent="0.25">
      <c r="A107" s="226">
        <f t="shared" si="11"/>
        <v>1710.0015504</v>
      </c>
      <c r="B107" s="214">
        <f t="shared" si="12"/>
        <v>0</v>
      </c>
      <c r="C107" s="227">
        <f t="shared" si="12"/>
        <v>0</v>
      </c>
      <c r="D107" s="226">
        <f t="shared" si="13"/>
        <v>0</v>
      </c>
      <c r="E107" s="214">
        <f t="shared" si="14"/>
        <v>1710.0015504</v>
      </c>
      <c r="F107" s="227">
        <f t="shared" si="14"/>
        <v>0</v>
      </c>
      <c r="G107" s="226">
        <f t="shared" si="15"/>
        <v>1710.0015504</v>
      </c>
      <c r="H107" s="228">
        <v>160</v>
      </c>
    </row>
    <row r="108" spans="1:8" x14ac:dyDescent="0.25">
      <c r="A108" s="226">
        <f t="shared" si="11"/>
        <v>1710.0015504</v>
      </c>
      <c r="B108" s="214">
        <f t="shared" si="12"/>
        <v>0</v>
      </c>
      <c r="C108" s="227">
        <f t="shared" si="12"/>
        <v>0</v>
      </c>
      <c r="D108" s="226">
        <f t="shared" si="13"/>
        <v>0</v>
      </c>
      <c r="E108" s="214">
        <f t="shared" si="14"/>
        <v>1710.0015504</v>
      </c>
      <c r="F108" s="227">
        <f t="shared" si="14"/>
        <v>0</v>
      </c>
      <c r="G108" s="226">
        <f t="shared" si="15"/>
        <v>1710.0015504</v>
      </c>
      <c r="H108" s="228">
        <v>159</v>
      </c>
    </row>
    <row r="109" spans="1:8" x14ac:dyDescent="0.25">
      <c r="A109" s="226">
        <f t="shared" si="11"/>
        <v>1710.0015504</v>
      </c>
      <c r="B109" s="214">
        <f t="shared" si="12"/>
        <v>0</v>
      </c>
      <c r="C109" s="227">
        <f t="shared" si="12"/>
        <v>0</v>
      </c>
      <c r="D109" s="226">
        <f t="shared" si="13"/>
        <v>0</v>
      </c>
      <c r="E109" s="214">
        <f t="shared" si="14"/>
        <v>1710.0015504</v>
      </c>
      <c r="F109" s="227">
        <f t="shared" si="14"/>
        <v>0</v>
      </c>
      <c r="G109" s="226">
        <f t="shared" si="15"/>
        <v>1710.0015504</v>
      </c>
      <c r="H109" s="228">
        <v>158</v>
      </c>
    </row>
    <row r="110" spans="1:8" x14ac:dyDescent="0.25">
      <c r="A110" s="226">
        <f t="shared" si="11"/>
        <v>1710.0015504</v>
      </c>
      <c r="B110" s="214">
        <f t="shared" si="12"/>
        <v>0</v>
      </c>
      <c r="C110" s="227">
        <f>C111*1.07</f>
        <v>0</v>
      </c>
      <c r="D110" s="226">
        <f t="shared" si="13"/>
        <v>0</v>
      </c>
      <c r="E110" s="214">
        <f t="shared" si="14"/>
        <v>1710.0015504</v>
      </c>
      <c r="F110" s="227">
        <f>F111*1.07</f>
        <v>0</v>
      </c>
      <c r="G110" s="226">
        <f t="shared" si="15"/>
        <v>1710.0015504</v>
      </c>
      <c r="H110" s="228">
        <v>157</v>
      </c>
    </row>
    <row r="111" spans="1:8" x14ac:dyDescent="0.25">
      <c r="A111" s="226">
        <f t="shared" si="11"/>
        <v>1710.0015504</v>
      </c>
      <c r="B111" s="214">
        <f t="shared" si="12"/>
        <v>0</v>
      </c>
      <c r="C111" s="227">
        <f t="shared" si="12"/>
        <v>0</v>
      </c>
      <c r="D111" s="226">
        <f t="shared" si="13"/>
        <v>0</v>
      </c>
      <c r="E111" s="214">
        <f t="shared" si="14"/>
        <v>1710.0015504</v>
      </c>
      <c r="F111" s="227">
        <f t="shared" si="14"/>
        <v>0</v>
      </c>
      <c r="G111" s="226">
        <f t="shared" si="15"/>
        <v>1710.0015504</v>
      </c>
      <c r="H111" s="228">
        <v>156</v>
      </c>
    </row>
    <row r="112" spans="1:8" x14ac:dyDescent="0.25">
      <c r="A112" s="226">
        <f t="shared" si="11"/>
        <v>1710.0015504</v>
      </c>
      <c r="B112" s="214">
        <f t="shared" si="12"/>
        <v>0</v>
      </c>
      <c r="C112" s="227">
        <f t="shared" si="12"/>
        <v>0</v>
      </c>
      <c r="D112" s="226">
        <f t="shared" si="13"/>
        <v>0</v>
      </c>
      <c r="E112" s="214">
        <f t="shared" si="14"/>
        <v>1710.0015504</v>
      </c>
      <c r="F112" s="227">
        <f t="shared" si="14"/>
        <v>0</v>
      </c>
      <c r="G112" s="226">
        <f t="shared" si="15"/>
        <v>1710.0015504</v>
      </c>
      <c r="H112" s="228">
        <v>155</v>
      </c>
    </row>
    <row r="113" spans="1:8" x14ac:dyDescent="0.25">
      <c r="A113" s="226">
        <f t="shared" si="11"/>
        <v>1710.0015504</v>
      </c>
      <c r="B113" s="214">
        <f t="shared" si="12"/>
        <v>0</v>
      </c>
      <c r="C113" s="227">
        <f t="shared" si="12"/>
        <v>0</v>
      </c>
      <c r="D113" s="226">
        <f t="shared" si="13"/>
        <v>0</v>
      </c>
      <c r="E113" s="214">
        <f t="shared" si="14"/>
        <v>1710.0015504</v>
      </c>
      <c r="F113" s="227">
        <f t="shared" si="14"/>
        <v>0</v>
      </c>
      <c r="G113" s="226">
        <f t="shared" si="15"/>
        <v>1710.0015504</v>
      </c>
      <c r="H113" s="228">
        <v>154</v>
      </c>
    </row>
    <row r="114" spans="1:8" x14ac:dyDescent="0.25">
      <c r="A114" s="226">
        <f t="shared" si="11"/>
        <v>1710.0015504</v>
      </c>
      <c r="B114" s="214">
        <f t="shared" si="12"/>
        <v>0</v>
      </c>
      <c r="C114" s="227">
        <f t="shared" si="12"/>
        <v>0</v>
      </c>
      <c r="D114" s="226">
        <f t="shared" si="13"/>
        <v>0</v>
      </c>
      <c r="E114" s="214">
        <f t="shared" si="14"/>
        <v>1710.0015504</v>
      </c>
      <c r="F114" s="227">
        <f t="shared" si="14"/>
        <v>0</v>
      </c>
      <c r="G114" s="226">
        <f t="shared" si="15"/>
        <v>1710.0015504</v>
      </c>
      <c r="H114" s="228">
        <v>153</v>
      </c>
    </row>
    <row r="115" spans="1:8" x14ac:dyDescent="0.25">
      <c r="A115" s="226">
        <f t="shared" si="11"/>
        <v>1710.0015504</v>
      </c>
      <c r="B115" s="214">
        <f t="shared" si="12"/>
        <v>0</v>
      </c>
      <c r="C115" s="227">
        <f t="shared" si="12"/>
        <v>0</v>
      </c>
      <c r="D115" s="226">
        <f t="shared" si="13"/>
        <v>0</v>
      </c>
      <c r="E115" s="214">
        <f t="shared" si="14"/>
        <v>1710.0015504</v>
      </c>
      <c r="F115" s="227">
        <f t="shared" si="14"/>
        <v>0</v>
      </c>
      <c r="G115" s="226">
        <f t="shared" si="15"/>
        <v>1710.0015504</v>
      </c>
      <c r="H115" s="228">
        <v>152</v>
      </c>
    </row>
    <row r="116" spans="1:8" x14ac:dyDescent="0.25">
      <c r="A116" s="226">
        <f t="shared" si="11"/>
        <v>1710.0015504</v>
      </c>
      <c r="B116" s="214">
        <f t="shared" si="12"/>
        <v>0</v>
      </c>
      <c r="C116" s="227">
        <f t="shared" si="12"/>
        <v>0</v>
      </c>
      <c r="D116" s="226">
        <f t="shared" si="13"/>
        <v>0</v>
      </c>
      <c r="E116" s="214">
        <f t="shared" si="14"/>
        <v>1710.0015504</v>
      </c>
      <c r="F116" s="227">
        <f t="shared" si="14"/>
        <v>0</v>
      </c>
      <c r="G116" s="226">
        <f t="shared" si="15"/>
        <v>1710.0015504</v>
      </c>
      <c r="H116" s="228">
        <v>151</v>
      </c>
    </row>
    <row r="117" spans="1:8" x14ac:dyDescent="0.25">
      <c r="A117" s="226">
        <f t="shared" si="11"/>
        <v>1710.0015504</v>
      </c>
      <c r="B117" s="214">
        <f t="shared" si="12"/>
        <v>0</v>
      </c>
      <c r="C117" s="227">
        <f t="shared" si="12"/>
        <v>0</v>
      </c>
      <c r="D117" s="226">
        <f t="shared" si="13"/>
        <v>0</v>
      </c>
      <c r="E117" s="214">
        <f t="shared" si="14"/>
        <v>1710.0015504</v>
      </c>
      <c r="F117" s="227">
        <f t="shared" si="14"/>
        <v>0</v>
      </c>
      <c r="G117" s="226">
        <f t="shared" si="15"/>
        <v>1710.0015504</v>
      </c>
      <c r="H117" s="228">
        <v>150</v>
      </c>
    </row>
    <row r="118" spans="1:8" x14ac:dyDescent="0.25">
      <c r="A118" s="226">
        <f t="shared" si="11"/>
        <v>1710.0015504</v>
      </c>
      <c r="B118" s="214">
        <f t="shared" si="12"/>
        <v>0</v>
      </c>
      <c r="C118" s="227">
        <f t="shared" si="12"/>
        <v>0</v>
      </c>
      <c r="D118" s="226">
        <f t="shared" si="13"/>
        <v>0</v>
      </c>
      <c r="E118" s="214">
        <f t="shared" si="14"/>
        <v>1710.0015504</v>
      </c>
      <c r="F118" s="227">
        <f t="shared" si="14"/>
        <v>0</v>
      </c>
      <c r="G118" s="226">
        <f t="shared" si="15"/>
        <v>1710.0015504</v>
      </c>
      <c r="H118" s="228">
        <v>149</v>
      </c>
    </row>
    <row r="119" spans="1:8" x14ac:dyDescent="0.25">
      <c r="A119" s="226">
        <f t="shared" si="11"/>
        <v>1710.0015504</v>
      </c>
      <c r="B119" s="214">
        <f t="shared" si="12"/>
        <v>0</v>
      </c>
      <c r="C119" s="227">
        <f t="shared" si="12"/>
        <v>0</v>
      </c>
      <c r="D119" s="226">
        <f t="shared" si="13"/>
        <v>0</v>
      </c>
      <c r="E119" s="214">
        <f t="shared" si="14"/>
        <v>1710.0015504</v>
      </c>
      <c r="F119" s="227">
        <f t="shared" si="14"/>
        <v>0</v>
      </c>
      <c r="G119" s="226">
        <f t="shared" si="15"/>
        <v>1710.0015504</v>
      </c>
      <c r="H119" s="228">
        <v>148</v>
      </c>
    </row>
    <row r="120" spans="1:8" x14ac:dyDescent="0.25">
      <c r="A120" s="226">
        <f t="shared" si="11"/>
        <v>1710.0015504</v>
      </c>
      <c r="B120" s="214">
        <f t="shared" si="12"/>
        <v>0</v>
      </c>
      <c r="C120" s="227">
        <f t="shared" si="12"/>
        <v>0</v>
      </c>
      <c r="D120" s="226">
        <f t="shared" si="13"/>
        <v>0</v>
      </c>
      <c r="E120" s="214">
        <f t="shared" si="14"/>
        <v>1710.0015504</v>
      </c>
      <c r="F120" s="227">
        <f t="shared" si="14"/>
        <v>0</v>
      </c>
      <c r="G120" s="226">
        <f t="shared" si="15"/>
        <v>1710.0015504</v>
      </c>
      <c r="H120" s="228">
        <v>147</v>
      </c>
    </row>
    <row r="121" spans="1:8" x14ac:dyDescent="0.25">
      <c r="A121" s="226">
        <f t="shared" si="11"/>
        <v>1710.0015504</v>
      </c>
      <c r="B121" s="214">
        <f t="shared" si="12"/>
        <v>0</v>
      </c>
      <c r="C121" s="227">
        <f t="shared" si="12"/>
        <v>0</v>
      </c>
      <c r="D121" s="226">
        <f t="shared" si="13"/>
        <v>0</v>
      </c>
      <c r="E121" s="214">
        <f t="shared" si="14"/>
        <v>1710.0015504</v>
      </c>
      <c r="F121" s="227">
        <f t="shared" si="14"/>
        <v>0</v>
      </c>
      <c r="G121" s="226">
        <f t="shared" si="15"/>
        <v>1710.0015504</v>
      </c>
      <c r="H121" s="228">
        <v>146</v>
      </c>
    </row>
    <row r="122" spans="1:8" x14ac:dyDescent="0.25">
      <c r="A122" s="226">
        <f t="shared" si="11"/>
        <v>1710.0015504</v>
      </c>
      <c r="B122" s="214">
        <f t="shared" si="12"/>
        <v>0</v>
      </c>
      <c r="C122" s="227">
        <f>C123*1.07</f>
        <v>0</v>
      </c>
      <c r="D122" s="226">
        <f t="shared" si="13"/>
        <v>0</v>
      </c>
      <c r="E122" s="214">
        <f t="shared" si="14"/>
        <v>1710.0015504</v>
      </c>
      <c r="F122" s="227">
        <f>F123*1.07</f>
        <v>0</v>
      </c>
      <c r="G122" s="226">
        <f t="shared" si="15"/>
        <v>1710.0015504</v>
      </c>
      <c r="H122" s="228">
        <v>145</v>
      </c>
    </row>
    <row r="123" spans="1:8" x14ac:dyDescent="0.25">
      <c r="A123" s="226">
        <f t="shared" si="11"/>
        <v>1710.0015504</v>
      </c>
      <c r="B123" s="214">
        <f t="shared" si="12"/>
        <v>0</v>
      </c>
      <c r="C123" s="227">
        <f t="shared" si="12"/>
        <v>0</v>
      </c>
      <c r="D123" s="226">
        <f t="shared" si="13"/>
        <v>0</v>
      </c>
      <c r="E123" s="214">
        <f t="shared" si="14"/>
        <v>1710.0015504</v>
      </c>
      <c r="F123" s="227">
        <f t="shared" si="14"/>
        <v>0</v>
      </c>
      <c r="G123" s="226">
        <f t="shared" si="15"/>
        <v>1710.0015504</v>
      </c>
      <c r="H123" s="228">
        <v>144</v>
      </c>
    </row>
    <row r="124" spans="1:8" x14ac:dyDescent="0.25">
      <c r="A124" s="226">
        <f t="shared" si="11"/>
        <v>1710.0015504</v>
      </c>
      <c r="B124" s="214">
        <f t="shared" si="12"/>
        <v>0</v>
      </c>
      <c r="C124" s="227">
        <f t="shared" si="12"/>
        <v>0</v>
      </c>
      <c r="D124" s="226">
        <f t="shared" si="13"/>
        <v>0</v>
      </c>
      <c r="E124" s="214">
        <f t="shared" si="14"/>
        <v>1710.0015504</v>
      </c>
      <c r="F124" s="227">
        <f t="shared" si="14"/>
        <v>0</v>
      </c>
      <c r="G124" s="226">
        <f t="shared" si="15"/>
        <v>1710.0015504</v>
      </c>
      <c r="H124" s="228">
        <v>143</v>
      </c>
    </row>
    <row r="125" spans="1:8" x14ac:dyDescent="0.25">
      <c r="A125" s="226">
        <f t="shared" si="11"/>
        <v>1710.0015504</v>
      </c>
      <c r="B125" s="214">
        <f t="shared" si="12"/>
        <v>0</v>
      </c>
      <c r="C125" s="227">
        <f t="shared" si="12"/>
        <v>0</v>
      </c>
      <c r="D125" s="226">
        <f t="shared" si="13"/>
        <v>0</v>
      </c>
      <c r="E125" s="214">
        <f t="shared" si="14"/>
        <v>1710.0015504</v>
      </c>
      <c r="F125" s="227">
        <f t="shared" si="14"/>
        <v>0</v>
      </c>
      <c r="G125" s="226">
        <f t="shared" si="15"/>
        <v>1710.0015504</v>
      </c>
      <c r="H125" s="228">
        <v>142</v>
      </c>
    </row>
    <row r="126" spans="1:8" x14ac:dyDescent="0.25">
      <c r="A126" s="226">
        <f t="shared" si="11"/>
        <v>1710.0015504</v>
      </c>
      <c r="B126" s="214">
        <f t="shared" si="12"/>
        <v>0</v>
      </c>
      <c r="C126" s="227">
        <f t="shared" si="12"/>
        <v>0</v>
      </c>
      <c r="D126" s="226">
        <f t="shared" si="13"/>
        <v>0</v>
      </c>
      <c r="E126" s="214">
        <f t="shared" si="14"/>
        <v>1710.0015504</v>
      </c>
      <c r="F126" s="227">
        <f t="shared" si="14"/>
        <v>0</v>
      </c>
      <c r="G126" s="226">
        <f t="shared" si="15"/>
        <v>1710.0015504</v>
      </c>
      <c r="H126" s="228">
        <v>141</v>
      </c>
    </row>
    <row r="127" spans="1:8" x14ac:dyDescent="0.25">
      <c r="A127" s="226">
        <f t="shared" si="11"/>
        <v>1710.0015504</v>
      </c>
      <c r="B127" s="214">
        <f t="shared" si="12"/>
        <v>0</v>
      </c>
      <c r="C127" s="227">
        <f t="shared" si="12"/>
        <v>0</v>
      </c>
      <c r="D127" s="226">
        <f t="shared" si="13"/>
        <v>0</v>
      </c>
      <c r="E127" s="214">
        <f t="shared" si="14"/>
        <v>1710.0015504</v>
      </c>
      <c r="F127" s="227">
        <f t="shared" si="14"/>
        <v>0</v>
      </c>
      <c r="G127" s="226">
        <f t="shared" si="15"/>
        <v>1710.0015504</v>
      </c>
      <c r="H127" s="228">
        <v>140</v>
      </c>
    </row>
    <row r="128" spans="1:8" x14ac:dyDescent="0.25">
      <c r="A128" s="226">
        <f t="shared" si="11"/>
        <v>1710.0015504</v>
      </c>
      <c r="B128" s="214">
        <f t="shared" si="12"/>
        <v>0</v>
      </c>
      <c r="C128" s="227">
        <f t="shared" si="12"/>
        <v>0</v>
      </c>
      <c r="D128" s="226">
        <f t="shared" si="13"/>
        <v>0</v>
      </c>
      <c r="E128" s="214">
        <f t="shared" si="14"/>
        <v>1710.0015504</v>
      </c>
      <c r="F128" s="227">
        <f t="shared" si="14"/>
        <v>0</v>
      </c>
      <c r="G128" s="226">
        <f t="shared" si="15"/>
        <v>1710.0015504</v>
      </c>
      <c r="H128" s="228">
        <v>139</v>
      </c>
    </row>
    <row r="129" spans="1:8" x14ac:dyDescent="0.25">
      <c r="A129" s="226">
        <f t="shared" si="11"/>
        <v>1710.0015504</v>
      </c>
      <c r="B129" s="214">
        <f t="shared" si="12"/>
        <v>0</v>
      </c>
      <c r="C129" s="227">
        <f t="shared" si="12"/>
        <v>0</v>
      </c>
      <c r="D129" s="226">
        <f t="shared" si="13"/>
        <v>0</v>
      </c>
      <c r="E129" s="214">
        <f t="shared" si="14"/>
        <v>1710.0015504</v>
      </c>
      <c r="F129" s="227">
        <f t="shared" si="14"/>
        <v>0</v>
      </c>
      <c r="G129" s="226">
        <f t="shared" si="15"/>
        <v>1710.0015504</v>
      </c>
      <c r="H129" s="228">
        <v>138</v>
      </c>
    </row>
    <row r="130" spans="1:8" x14ac:dyDescent="0.25">
      <c r="A130" s="226">
        <f t="shared" si="11"/>
        <v>1710.0015504</v>
      </c>
      <c r="B130" s="214">
        <f t="shared" si="12"/>
        <v>0</v>
      </c>
      <c r="C130" s="227">
        <f t="shared" si="12"/>
        <v>0</v>
      </c>
      <c r="D130" s="226">
        <f t="shared" si="13"/>
        <v>0</v>
      </c>
      <c r="E130" s="214">
        <f t="shared" si="14"/>
        <v>1710.0015504</v>
      </c>
      <c r="F130" s="227">
        <f t="shared" si="14"/>
        <v>0</v>
      </c>
      <c r="G130" s="226">
        <f t="shared" si="15"/>
        <v>1710.0015504</v>
      </c>
      <c r="H130" s="228">
        <v>137</v>
      </c>
    </row>
    <row r="131" spans="1:8" x14ac:dyDescent="0.25">
      <c r="A131" s="226">
        <f t="shared" si="11"/>
        <v>1710.0015504</v>
      </c>
      <c r="B131" s="214">
        <f t="shared" si="12"/>
        <v>0</v>
      </c>
      <c r="C131" s="227">
        <f t="shared" si="12"/>
        <v>0</v>
      </c>
      <c r="D131" s="226">
        <f t="shared" si="13"/>
        <v>0</v>
      </c>
      <c r="E131" s="214">
        <f t="shared" si="14"/>
        <v>1710.0015504</v>
      </c>
      <c r="F131" s="227">
        <f t="shared" si="14"/>
        <v>0</v>
      </c>
      <c r="G131" s="226">
        <f t="shared" si="15"/>
        <v>1710.0015504</v>
      </c>
      <c r="H131" s="228">
        <v>136</v>
      </c>
    </row>
    <row r="132" spans="1:8" x14ac:dyDescent="0.25">
      <c r="A132" s="226">
        <f t="shared" si="11"/>
        <v>1710.0015504</v>
      </c>
      <c r="B132" s="214">
        <f t="shared" si="12"/>
        <v>0</v>
      </c>
      <c r="C132" s="227">
        <f t="shared" si="12"/>
        <v>0</v>
      </c>
      <c r="D132" s="226">
        <f t="shared" si="13"/>
        <v>0</v>
      </c>
      <c r="E132" s="214">
        <f t="shared" si="14"/>
        <v>1710.0015504</v>
      </c>
      <c r="F132" s="227">
        <f t="shared" si="14"/>
        <v>0</v>
      </c>
      <c r="G132" s="226">
        <f t="shared" si="15"/>
        <v>1710.0015504</v>
      </c>
      <c r="H132" s="228">
        <v>135</v>
      </c>
    </row>
    <row r="133" spans="1:8" x14ac:dyDescent="0.25">
      <c r="A133" s="226">
        <f t="shared" si="11"/>
        <v>1710.0015504</v>
      </c>
      <c r="B133" s="214">
        <f t="shared" si="12"/>
        <v>0</v>
      </c>
      <c r="C133" s="227">
        <f t="shared" si="12"/>
        <v>0</v>
      </c>
      <c r="D133" s="226">
        <f t="shared" si="13"/>
        <v>0</v>
      </c>
      <c r="E133" s="214">
        <f t="shared" si="14"/>
        <v>1710.0015504</v>
      </c>
      <c r="F133" s="227">
        <f t="shared" si="14"/>
        <v>0</v>
      </c>
      <c r="G133" s="226">
        <f t="shared" si="15"/>
        <v>1710.0015504</v>
      </c>
      <c r="H133" s="228">
        <v>134</v>
      </c>
    </row>
    <row r="134" spans="1:8" x14ac:dyDescent="0.25">
      <c r="A134" s="226">
        <f t="shared" si="11"/>
        <v>1710.0015504</v>
      </c>
      <c r="B134" s="214">
        <f t="shared" si="12"/>
        <v>0</v>
      </c>
      <c r="C134" s="227">
        <f>C135*1.07</f>
        <v>0</v>
      </c>
      <c r="D134" s="226">
        <f t="shared" si="13"/>
        <v>0</v>
      </c>
      <c r="E134" s="214">
        <f t="shared" si="14"/>
        <v>1710.0015504</v>
      </c>
      <c r="F134" s="227">
        <f>F135*1.07</f>
        <v>0</v>
      </c>
      <c r="G134" s="226">
        <f t="shared" si="15"/>
        <v>1710.0015504</v>
      </c>
      <c r="H134" s="228">
        <v>133</v>
      </c>
    </row>
    <row r="135" spans="1:8" x14ac:dyDescent="0.25">
      <c r="A135" s="226">
        <f t="shared" si="11"/>
        <v>1710.0015504</v>
      </c>
      <c r="B135" s="214">
        <f t="shared" si="12"/>
        <v>0</v>
      </c>
      <c r="C135" s="227">
        <f t="shared" si="12"/>
        <v>0</v>
      </c>
      <c r="D135" s="226">
        <f t="shared" si="13"/>
        <v>0</v>
      </c>
      <c r="E135" s="214">
        <f t="shared" si="14"/>
        <v>1710.0015504</v>
      </c>
      <c r="F135" s="227">
        <f t="shared" si="14"/>
        <v>0</v>
      </c>
      <c r="G135" s="226">
        <f t="shared" si="15"/>
        <v>1710.0015504</v>
      </c>
      <c r="H135" s="228">
        <v>132</v>
      </c>
    </row>
    <row r="136" spans="1:8" x14ac:dyDescent="0.25">
      <c r="A136" s="226">
        <f t="shared" si="11"/>
        <v>1710.0015504</v>
      </c>
      <c r="B136" s="214">
        <f t="shared" si="12"/>
        <v>0</v>
      </c>
      <c r="C136" s="227">
        <f t="shared" si="12"/>
        <v>0</v>
      </c>
      <c r="D136" s="226">
        <f t="shared" si="13"/>
        <v>0</v>
      </c>
      <c r="E136" s="214">
        <f t="shared" si="14"/>
        <v>1710.0015504</v>
      </c>
      <c r="F136" s="227">
        <f t="shared" si="14"/>
        <v>0</v>
      </c>
      <c r="G136" s="226">
        <f t="shared" si="15"/>
        <v>1710.0015504</v>
      </c>
      <c r="H136" s="228">
        <v>131</v>
      </c>
    </row>
    <row r="137" spans="1:8" x14ac:dyDescent="0.25">
      <c r="A137" s="226">
        <f t="shared" si="11"/>
        <v>1710.0015504</v>
      </c>
      <c r="B137" s="214">
        <f t="shared" si="12"/>
        <v>0</v>
      </c>
      <c r="C137" s="227">
        <f t="shared" si="12"/>
        <v>0</v>
      </c>
      <c r="D137" s="226">
        <f t="shared" si="13"/>
        <v>0</v>
      </c>
      <c r="E137" s="214">
        <f t="shared" si="14"/>
        <v>1710.0015504</v>
      </c>
      <c r="F137" s="227">
        <f t="shared" si="14"/>
        <v>0</v>
      </c>
      <c r="G137" s="226">
        <f t="shared" si="15"/>
        <v>1710.0015504</v>
      </c>
      <c r="H137" s="228">
        <v>130</v>
      </c>
    </row>
    <row r="138" spans="1:8" x14ac:dyDescent="0.25">
      <c r="A138" s="226">
        <f t="shared" si="11"/>
        <v>1710.0015504</v>
      </c>
      <c r="B138" s="214">
        <f t="shared" si="12"/>
        <v>0</v>
      </c>
      <c r="C138" s="227">
        <f t="shared" si="12"/>
        <v>0</v>
      </c>
      <c r="D138" s="226">
        <f t="shared" si="13"/>
        <v>0</v>
      </c>
      <c r="E138" s="214">
        <f t="shared" si="14"/>
        <v>1710.0015504</v>
      </c>
      <c r="F138" s="227">
        <f t="shared" si="14"/>
        <v>0</v>
      </c>
      <c r="G138" s="226">
        <f t="shared" si="15"/>
        <v>1710.0015504</v>
      </c>
      <c r="H138" s="228">
        <v>129</v>
      </c>
    </row>
    <row r="139" spans="1:8" x14ac:dyDescent="0.25">
      <c r="A139" s="226">
        <f t="shared" si="11"/>
        <v>1710.0015504</v>
      </c>
      <c r="B139" s="214">
        <f t="shared" si="12"/>
        <v>0</v>
      </c>
      <c r="C139" s="227">
        <f t="shared" si="12"/>
        <v>0</v>
      </c>
      <c r="D139" s="226">
        <f t="shared" si="13"/>
        <v>0</v>
      </c>
      <c r="E139" s="214">
        <f t="shared" si="14"/>
        <v>1710.0015504</v>
      </c>
      <c r="F139" s="227">
        <f t="shared" si="14"/>
        <v>0</v>
      </c>
      <c r="G139" s="226">
        <f t="shared" si="15"/>
        <v>1710.0015504</v>
      </c>
      <c r="H139" s="228">
        <v>128</v>
      </c>
    </row>
    <row r="140" spans="1:8" x14ac:dyDescent="0.25">
      <c r="A140" s="226">
        <f t="shared" si="11"/>
        <v>1710.0015504</v>
      </c>
      <c r="B140" s="214">
        <f t="shared" si="12"/>
        <v>0</v>
      </c>
      <c r="C140" s="227">
        <f t="shared" si="12"/>
        <v>0</v>
      </c>
      <c r="D140" s="226">
        <f t="shared" si="13"/>
        <v>0</v>
      </c>
      <c r="E140" s="214">
        <f t="shared" si="14"/>
        <v>1710.0015504</v>
      </c>
      <c r="F140" s="227">
        <f t="shared" si="14"/>
        <v>0</v>
      </c>
      <c r="G140" s="226">
        <f t="shared" si="15"/>
        <v>1710.0015504</v>
      </c>
      <c r="H140" s="228">
        <v>127</v>
      </c>
    </row>
    <row r="141" spans="1:8" x14ac:dyDescent="0.25">
      <c r="A141" s="226">
        <f t="shared" si="11"/>
        <v>1710.0015504</v>
      </c>
      <c r="B141" s="214">
        <f t="shared" si="12"/>
        <v>0</v>
      </c>
      <c r="C141" s="227">
        <f t="shared" si="12"/>
        <v>0</v>
      </c>
      <c r="D141" s="226">
        <f t="shared" si="13"/>
        <v>0</v>
      </c>
      <c r="E141" s="214">
        <f t="shared" si="14"/>
        <v>1710.0015504</v>
      </c>
      <c r="F141" s="227">
        <f t="shared" si="14"/>
        <v>0</v>
      </c>
      <c r="G141" s="226">
        <f t="shared" si="15"/>
        <v>1710.0015504</v>
      </c>
      <c r="H141" s="228">
        <v>126</v>
      </c>
    </row>
    <row r="142" spans="1:8" x14ac:dyDescent="0.25">
      <c r="A142" s="226">
        <f t="shared" si="11"/>
        <v>1710.0015504</v>
      </c>
      <c r="B142" s="214">
        <f t="shared" si="12"/>
        <v>0</v>
      </c>
      <c r="C142" s="227">
        <f t="shared" si="12"/>
        <v>0</v>
      </c>
      <c r="D142" s="226">
        <f t="shared" si="13"/>
        <v>0</v>
      </c>
      <c r="E142" s="214">
        <f t="shared" si="14"/>
        <v>1710.0015504</v>
      </c>
      <c r="F142" s="227">
        <f t="shared" si="14"/>
        <v>0</v>
      </c>
      <c r="G142" s="226">
        <f t="shared" si="15"/>
        <v>1710.0015504</v>
      </c>
      <c r="H142" s="228">
        <v>125</v>
      </c>
    </row>
    <row r="143" spans="1:8" x14ac:dyDescent="0.25">
      <c r="A143" s="226">
        <f t="shared" si="11"/>
        <v>1710.0015504</v>
      </c>
      <c r="B143" s="214">
        <f t="shared" si="12"/>
        <v>0</v>
      </c>
      <c r="C143" s="227">
        <f t="shared" si="12"/>
        <v>0</v>
      </c>
      <c r="D143" s="226">
        <f t="shared" si="13"/>
        <v>0</v>
      </c>
      <c r="E143" s="214">
        <f t="shared" si="14"/>
        <v>1710.0015504</v>
      </c>
      <c r="F143" s="227">
        <f t="shared" si="14"/>
        <v>0</v>
      </c>
      <c r="G143" s="226">
        <f t="shared" si="15"/>
        <v>1710.0015504</v>
      </c>
      <c r="H143" s="228">
        <v>124</v>
      </c>
    </row>
    <row r="144" spans="1:8" x14ac:dyDescent="0.25">
      <c r="A144" s="226">
        <f t="shared" si="11"/>
        <v>1710.0015504</v>
      </c>
      <c r="B144" s="214">
        <f t="shared" si="12"/>
        <v>0</v>
      </c>
      <c r="C144" s="227">
        <f t="shared" si="12"/>
        <v>0</v>
      </c>
      <c r="D144" s="226">
        <f t="shared" si="13"/>
        <v>0</v>
      </c>
      <c r="E144" s="214">
        <f t="shared" si="14"/>
        <v>1710.0015504</v>
      </c>
      <c r="F144" s="227">
        <f t="shared" si="14"/>
        <v>0</v>
      </c>
      <c r="G144" s="226">
        <f t="shared" si="15"/>
        <v>1710.0015504</v>
      </c>
      <c r="H144" s="228">
        <v>123</v>
      </c>
    </row>
    <row r="145" spans="1:8" x14ac:dyDescent="0.25">
      <c r="A145" s="226">
        <f t="shared" si="11"/>
        <v>1710.0015504</v>
      </c>
      <c r="B145" s="214">
        <f t="shared" si="12"/>
        <v>0</v>
      </c>
      <c r="C145" s="227">
        <f t="shared" si="12"/>
        <v>0</v>
      </c>
      <c r="D145" s="226">
        <f t="shared" si="13"/>
        <v>0</v>
      </c>
      <c r="E145" s="214">
        <f t="shared" si="14"/>
        <v>1710.0015504</v>
      </c>
      <c r="F145" s="227">
        <f t="shared" si="14"/>
        <v>0</v>
      </c>
      <c r="G145" s="226">
        <f t="shared" si="15"/>
        <v>1710.0015504</v>
      </c>
      <c r="H145" s="228">
        <v>122</v>
      </c>
    </row>
    <row r="146" spans="1:8" x14ac:dyDescent="0.25">
      <c r="A146" s="226">
        <f t="shared" si="11"/>
        <v>1710.0015504</v>
      </c>
      <c r="B146" s="214">
        <f t="shared" si="12"/>
        <v>0</v>
      </c>
      <c r="C146" s="227">
        <f>C147*1.07</f>
        <v>0</v>
      </c>
      <c r="D146" s="226">
        <f t="shared" si="13"/>
        <v>0</v>
      </c>
      <c r="E146" s="214">
        <f t="shared" si="14"/>
        <v>1710.0015504</v>
      </c>
      <c r="F146" s="227">
        <f>F147*1.07</f>
        <v>0</v>
      </c>
      <c r="G146" s="226">
        <f t="shared" si="15"/>
        <v>1710.0015504</v>
      </c>
      <c r="H146" s="228">
        <v>121</v>
      </c>
    </row>
    <row r="147" spans="1:8" x14ac:dyDescent="0.25">
      <c r="A147" s="226">
        <f t="shared" si="11"/>
        <v>1710.0015504</v>
      </c>
      <c r="B147" s="214">
        <f t="shared" si="12"/>
        <v>0</v>
      </c>
      <c r="C147" s="227">
        <f t="shared" si="12"/>
        <v>0</v>
      </c>
      <c r="D147" s="226">
        <f t="shared" si="13"/>
        <v>0</v>
      </c>
      <c r="E147" s="214">
        <f t="shared" si="14"/>
        <v>1710.0015504</v>
      </c>
      <c r="F147" s="227">
        <f t="shared" si="14"/>
        <v>0</v>
      </c>
      <c r="G147" s="226">
        <f t="shared" si="15"/>
        <v>1710.0015504</v>
      </c>
      <c r="H147" s="228">
        <v>120</v>
      </c>
    </row>
    <row r="148" spans="1:8" x14ac:dyDescent="0.25">
      <c r="A148" s="226">
        <f t="shared" si="11"/>
        <v>1710.0015504</v>
      </c>
      <c r="B148" s="214">
        <f t="shared" si="12"/>
        <v>0</v>
      </c>
      <c r="C148" s="227">
        <f t="shared" si="12"/>
        <v>0</v>
      </c>
      <c r="D148" s="226">
        <f t="shared" si="13"/>
        <v>0</v>
      </c>
      <c r="E148" s="214">
        <f t="shared" si="14"/>
        <v>1710.0015504</v>
      </c>
      <c r="F148" s="227">
        <f t="shared" si="14"/>
        <v>0</v>
      </c>
      <c r="G148" s="226">
        <f t="shared" si="15"/>
        <v>1710.0015504</v>
      </c>
      <c r="H148" s="228">
        <v>119</v>
      </c>
    </row>
    <row r="149" spans="1:8" x14ac:dyDescent="0.25">
      <c r="A149" s="226">
        <f t="shared" si="11"/>
        <v>1710.0015504</v>
      </c>
      <c r="B149" s="214">
        <f t="shared" si="12"/>
        <v>0</v>
      </c>
      <c r="C149" s="227">
        <f t="shared" si="12"/>
        <v>0</v>
      </c>
      <c r="D149" s="226">
        <f t="shared" si="13"/>
        <v>0</v>
      </c>
      <c r="E149" s="214">
        <f t="shared" si="14"/>
        <v>1710.0015504</v>
      </c>
      <c r="F149" s="227">
        <f t="shared" si="14"/>
        <v>0</v>
      </c>
      <c r="G149" s="226">
        <f t="shared" si="15"/>
        <v>1710.0015504</v>
      </c>
      <c r="H149" s="228">
        <v>118</v>
      </c>
    </row>
    <row r="150" spans="1:8" x14ac:dyDescent="0.25">
      <c r="A150" s="226">
        <f t="shared" si="11"/>
        <v>1710.0015504</v>
      </c>
      <c r="B150" s="214">
        <f t="shared" si="12"/>
        <v>0</v>
      </c>
      <c r="C150" s="227">
        <f t="shared" si="12"/>
        <v>0</v>
      </c>
      <c r="D150" s="226">
        <f t="shared" si="13"/>
        <v>0</v>
      </c>
      <c r="E150" s="214">
        <f t="shared" si="14"/>
        <v>1710.0015504</v>
      </c>
      <c r="F150" s="227">
        <f t="shared" si="14"/>
        <v>0</v>
      </c>
      <c r="G150" s="226">
        <f t="shared" si="15"/>
        <v>1710.0015504</v>
      </c>
      <c r="H150" s="228">
        <v>117</v>
      </c>
    </row>
    <row r="151" spans="1:8" x14ac:dyDescent="0.25">
      <c r="A151" s="226">
        <f t="shared" si="11"/>
        <v>1710.0015504</v>
      </c>
      <c r="B151" s="214">
        <f t="shared" si="12"/>
        <v>0</v>
      </c>
      <c r="C151" s="227">
        <f t="shared" si="12"/>
        <v>0</v>
      </c>
      <c r="D151" s="226">
        <f t="shared" si="13"/>
        <v>0</v>
      </c>
      <c r="E151" s="214">
        <f t="shared" si="14"/>
        <v>1710.0015504</v>
      </c>
      <c r="F151" s="227">
        <f t="shared" si="14"/>
        <v>0</v>
      </c>
      <c r="G151" s="226">
        <f t="shared" si="15"/>
        <v>1710.0015504</v>
      </c>
      <c r="H151" s="228">
        <v>116</v>
      </c>
    </row>
    <row r="152" spans="1:8" x14ac:dyDescent="0.25">
      <c r="A152" s="226">
        <f t="shared" si="11"/>
        <v>1710.0015504</v>
      </c>
      <c r="B152" s="214">
        <f t="shared" si="12"/>
        <v>0</v>
      </c>
      <c r="C152" s="227">
        <f t="shared" si="12"/>
        <v>0</v>
      </c>
      <c r="D152" s="226">
        <f t="shared" si="13"/>
        <v>0</v>
      </c>
      <c r="E152" s="214">
        <f t="shared" si="14"/>
        <v>1710.0015504</v>
      </c>
      <c r="F152" s="227">
        <f t="shared" si="14"/>
        <v>0</v>
      </c>
      <c r="G152" s="226">
        <f t="shared" si="15"/>
        <v>1710.0015504</v>
      </c>
      <c r="H152" s="228">
        <v>115</v>
      </c>
    </row>
    <row r="153" spans="1:8" x14ac:dyDescent="0.25">
      <c r="A153" s="226">
        <f t="shared" si="11"/>
        <v>1710.0015504</v>
      </c>
      <c r="B153" s="214">
        <f t="shared" si="12"/>
        <v>0</v>
      </c>
      <c r="C153" s="227">
        <f t="shared" si="12"/>
        <v>0</v>
      </c>
      <c r="D153" s="226">
        <f t="shared" si="13"/>
        <v>0</v>
      </c>
      <c r="E153" s="214">
        <f t="shared" si="14"/>
        <v>1710.0015504</v>
      </c>
      <c r="F153" s="227">
        <f t="shared" si="14"/>
        <v>0</v>
      </c>
      <c r="G153" s="226">
        <f t="shared" si="15"/>
        <v>1710.0015504</v>
      </c>
      <c r="H153" s="228">
        <v>114</v>
      </c>
    </row>
    <row r="154" spans="1:8" x14ac:dyDescent="0.25">
      <c r="A154" s="226">
        <f t="shared" si="11"/>
        <v>1710.0015504</v>
      </c>
      <c r="B154" s="214">
        <f t="shared" si="12"/>
        <v>0</v>
      </c>
      <c r="C154" s="227">
        <f t="shared" si="12"/>
        <v>0</v>
      </c>
      <c r="D154" s="226">
        <f t="shared" si="13"/>
        <v>0</v>
      </c>
      <c r="E154" s="214">
        <f t="shared" si="14"/>
        <v>1710.0015504</v>
      </c>
      <c r="F154" s="227">
        <f t="shared" si="14"/>
        <v>0</v>
      </c>
      <c r="G154" s="226">
        <f t="shared" si="15"/>
        <v>1710.0015504</v>
      </c>
      <c r="H154" s="228">
        <v>113</v>
      </c>
    </row>
    <row r="155" spans="1:8" x14ac:dyDescent="0.25">
      <c r="A155" s="226">
        <f t="shared" ref="A155:A218" si="16">G155-D155</f>
        <v>1710.0015504</v>
      </c>
      <c r="B155" s="214">
        <f t="shared" ref="B155:C218" si="17">B156</f>
        <v>0</v>
      </c>
      <c r="C155" s="227">
        <f t="shared" si="17"/>
        <v>0</v>
      </c>
      <c r="D155" s="226">
        <f t="shared" ref="D155:D218" si="18">D156+C155</f>
        <v>0</v>
      </c>
      <c r="E155" s="214">
        <f t="shared" ref="E155:F218" si="19">E156</f>
        <v>1710.0015504</v>
      </c>
      <c r="F155" s="227">
        <f t="shared" si="19"/>
        <v>0</v>
      </c>
      <c r="G155" s="226">
        <f t="shared" ref="G155:G218" si="20">G156+F155</f>
        <v>1710.0015504</v>
      </c>
      <c r="H155" s="228">
        <v>112</v>
      </c>
    </row>
    <row r="156" spans="1:8" x14ac:dyDescent="0.25">
      <c r="A156" s="226">
        <f t="shared" si="16"/>
        <v>1710.0015504</v>
      </c>
      <c r="B156" s="214">
        <f t="shared" si="17"/>
        <v>0</v>
      </c>
      <c r="C156" s="227">
        <f t="shared" si="17"/>
        <v>0</v>
      </c>
      <c r="D156" s="226">
        <f t="shared" si="18"/>
        <v>0</v>
      </c>
      <c r="E156" s="214">
        <f t="shared" si="19"/>
        <v>1710.0015504</v>
      </c>
      <c r="F156" s="227">
        <f t="shared" si="19"/>
        <v>0</v>
      </c>
      <c r="G156" s="226">
        <f t="shared" si="20"/>
        <v>1710.0015504</v>
      </c>
      <c r="H156" s="228">
        <v>111</v>
      </c>
    </row>
    <row r="157" spans="1:8" x14ac:dyDescent="0.25">
      <c r="A157" s="226">
        <f t="shared" si="16"/>
        <v>1710.0015504</v>
      </c>
      <c r="B157" s="214">
        <f t="shared" si="17"/>
        <v>0</v>
      </c>
      <c r="C157" s="227">
        <f t="shared" si="17"/>
        <v>0</v>
      </c>
      <c r="D157" s="226">
        <f t="shared" si="18"/>
        <v>0</v>
      </c>
      <c r="E157" s="214">
        <f t="shared" si="19"/>
        <v>1710.0015504</v>
      </c>
      <c r="F157" s="227">
        <f t="shared" si="19"/>
        <v>0</v>
      </c>
      <c r="G157" s="226">
        <f t="shared" si="20"/>
        <v>1710.0015504</v>
      </c>
      <c r="H157" s="228">
        <v>110</v>
      </c>
    </row>
    <row r="158" spans="1:8" x14ac:dyDescent="0.25">
      <c r="A158" s="226">
        <f t="shared" si="16"/>
        <v>1710.0015504</v>
      </c>
      <c r="B158" s="214">
        <f t="shared" si="17"/>
        <v>0</v>
      </c>
      <c r="C158" s="227">
        <f>C159*1.07</f>
        <v>0</v>
      </c>
      <c r="D158" s="226">
        <f t="shared" si="18"/>
        <v>0</v>
      </c>
      <c r="E158" s="214">
        <f t="shared" si="19"/>
        <v>1710.0015504</v>
      </c>
      <c r="F158" s="227">
        <f>F159*1.07</f>
        <v>0</v>
      </c>
      <c r="G158" s="226">
        <f t="shared" si="20"/>
        <v>1710.0015504</v>
      </c>
      <c r="H158" s="228">
        <v>109</v>
      </c>
    </row>
    <row r="159" spans="1:8" x14ac:dyDescent="0.25">
      <c r="A159" s="226">
        <f t="shared" si="16"/>
        <v>1710.0015504</v>
      </c>
      <c r="B159" s="214">
        <f t="shared" si="17"/>
        <v>0</v>
      </c>
      <c r="C159" s="227">
        <f t="shared" si="17"/>
        <v>0</v>
      </c>
      <c r="D159" s="226">
        <f t="shared" si="18"/>
        <v>0</v>
      </c>
      <c r="E159" s="214">
        <f t="shared" si="19"/>
        <v>1710.0015504</v>
      </c>
      <c r="F159" s="227">
        <f t="shared" si="19"/>
        <v>0</v>
      </c>
      <c r="G159" s="226">
        <f t="shared" si="20"/>
        <v>1710.0015504</v>
      </c>
      <c r="H159" s="228">
        <v>108</v>
      </c>
    </row>
    <row r="160" spans="1:8" x14ac:dyDescent="0.25">
      <c r="A160" s="226">
        <f t="shared" si="16"/>
        <v>1710.0015504</v>
      </c>
      <c r="B160" s="214">
        <f t="shared" si="17"/>
        <v>0</v>
      </c>
      <c r="C160" s="227">
        <f t="shared" si="17"/>
        <v>0</v>
      </c>
      <c r="D160" s="226">
        <f t="shared" si="18"/>
        <v>0</v>
      </c>
      <c r="E160" s="214">
        <f t="shared" si="19"/>
        <v>1710.0015504</v>
      </c>
      <c r="F160" s="227">
        <f t="shared" si="19"/>
        <v>0</v>
      </c>
      <c r="G160" s="226">
        <f t="shared" si="20"/>
        <v>1710.0015504</v>
      </c>
      <c r="H160" s="228">
        <v>107</v>
      </c>
    </row>
    <row r="161" spans="1:8" x14ac:dyDescent="0.25">
      <c r="A161" s="226">
        <f t="shared" si="16"/>
        <v>1710.0015504</v>
      </c>
      <c r="B161" s="214">
        <f t="shared" si="17"/>
        <v>0</v>
      </c>
      <c r="C161" s="227">
        <f t="shared" si="17"/>
        <v>0</v>
      </c>
      <c r="D161" s="226">
        <f t="shared" si="18"/>
        <v>0</v>
      </c>
      <c r="E161" s="214">
        <f t="shared" si="19"/>
        <v>1710.0015504</v>
      </c>
      <c r="F161" s="227">
        <f t="shared" si="19"/>
        <v>0</v>
      </c>
      <c r="G161" s="226">
        <f t="shared" si="20"/>
        <v>1710.0015504</v>
      </c>
      <c r="H161" s="228">
        <v>106</v>
      </c>
    </row>
    <row r="162" spans="1:8" x14ac:dyDescent="0.25">
      <c r="A162" s="226">
        <f t="shared" si="16"/>
        <v>1710.0015504</v>
      </c>
      <c r="B162" s="214">
        <f t="shared" si="17"/>
        <v>0</v>
      </c>
      <c r="C162" s="227">
        <f t="shared" si="17"/>
        <v>0</v>
      </c>
      <c r="D162" s="226">
        <f t="shared" si="18"/>
        <v>0</v>
      </c>
      <c r="E162" s="214">
        <f t="shared" si="19"/>
        <v>1710.0015504</v>
      </c>
      <c r="F162" s="227">
        <f t="shared" si="19"/>
        <v>0</v>
      </c>
      <c r="G162" s="226">
        <f t="shared" si="20"/>
        <v>1710.0015504</v>
      </c>
      <c r="H162" s="228">
        <v>105</v>
      </c>
    </row>
    <row r="163" spans="1:8" x14ac:dyDescent="0.25">
      <c r="A163" s="226">
        <f t="shared" si="16"/>
        <v>1710.0015504</v>
      </c>
      <c r="B163" s="214">
        <f t="shared" si="17"/>
        <v>0</v>
      </c>
      <c r="C163" s="227">
        <f t="shared" si="17"/>
        <v>0</v>
      </c>
      <c r="D163" s="226">
        <f t="shared" si="18"/>
        <v>0</v>
      </c>
      <c r="E163" s="214">
        <f t="shared" si="19"/>
        <v>1710.0015504</v>
      </c>
      <c r="F163" s="227">
        <f t="shared" si="19"/>
        <v>0</v>
      </c>
      <c r="G163" s="226">
        <f t="shared" si="20"/>
        <v>1710.0015504</v>
      </c>
      <c r="H163" s="228">
        <v>104</v>
      </c>
    </row>
    <row r="164" spans="1:8" x14ac:dyDescent="0.25">
      <c r="A164" s="226">
        <f t="shared" si="16"/>
        <v>1710.0015504</v>
      </c>
      <c r="B164" s="214">
        <f t="shared" si="17"/>
        <v>0</v>
      </c>
      <c r="C164" s="227">
        <f t="shared" si="17"/>
        <v>0</v>
      </c>
      <c r="D164" s="226">
        <f t="shared" si="18"/>
        <v>0</v>
      </c>
      <c r="E164" s="214">
        <f t="shared" si="19"/>
        <v>1710.0015504</v>
      </c>
      <c r="F164" s="227">
        <f t="shared" si="19"/>
        <v>0</v>
      </c>
      <c r="G164" s="226">
        <f t="shared" si="20"/>
        <v>1710.0015504</v>
      </c>
      <c r="H164" s="228">
        <v>103</v>
      </c>
    </row>
    <row r="165" spans="1:8" x14ac:dyDescent="0.25">
      <c r="A165" s="226">
        <f t="shared" si="16"/>
        <v>1710.0015504</v>
      </c>
      <c r="B165" s="214">
        <f t="shared" si="17"/>
        <v>0</v>
      </c>
      <c r="C165" s="227">
        <f t="shared" si="17"/>
        <v>0</v>
      </c>
      <c r="D165" s="226">
        <f t="shared" si="18"/>
        <v>0</v>
      </c>
      <c r="E165" s="214">
        <f t="shared" si="19"/>
        <v>1710.0015504</v>
      </c>
      <c r="F165" s="227">
        <f t="shared" si="19"/>
        <v>0</v>
      </c>
      <c r="G165" s="226">
        <f t="shared" si="20"/>
        <v>1710.0015504</v>
      </c>
      <c r="H165" s="228">
        <v>102</v>
      </c>
    </row>
    <row r="166" spans="1:8" x14ac:dyDescent="0.25">
      <c r="A166" s="226">
        <f t="shared" si="16"/>
        <v>1710.0015504</v>
      </c>
      <c r="B166" s="214">
        <f t="shared" si="17"/>
        <v>0</v>
      </c>
      <c r="C166" s="227">
        <f t="shared" si="17"/>
        <v>0</v>
      </c>
      <c r="D166" s="226">
        <f t="shared" si="18"/>
        <v>0</v>
      </c>
      <c r="E166" s="214">
        <f t="shared" si="19"/>
        <v>1710.0015504</v>
      </c>
      <c r="F166" s="227">
        <f t="shared" si="19"/>
        <v>0</v>
      </c>
      <c r="G166" s="226">
        <f t="shared" si="20"/>
        <v>1710.0015504</v>
      </c>
      <c r="H166" s="228">
        <v>101</v>
      </c>
    </row>
    <row r="167" spans="1:8" x14ac:dyDescent="0.25">
      <c r="A167" s="226">
        <f t="shared" si="16"/>
        <v>1710.0015504</v>
      </c>
      <c r="B167" s="214">
        <f t="shared" si="17"/>
        <v>0</v>
      </c>
      <c r="C167" s="227">
        <f t="shared" si="17"/>
        <v>0</v>
      </c>
      <c r="D167" s="226">
        <f t="shared" si="18"/>
        <v>0</v>
      </c>
      <c r="E167" s="214">
        <f t="shared" si="19"/>
        <v>1710.0015504</v>
      </c>
      <c r="F167" s="227">
        <f t="shared" si="19"/>
        <v>0</v>
      </c>
      <c r="G167" s="226">
        <f t="shared" si="20"/>
        <v>1710.0015504</v>
      </c>
      <c r="H167" s="228">
        <v>100</v>
      </c>
    </row>
    <row r="168" spans="1:8" x14ac:dyDescent="0.25">
      <c r="A168" s="226">
        <f t="shared" si="16"/>
        <v>1710.0015504</v>
      </c>
      <c r="B168" s="214">
        <f t="shared" si="17"/>
        <v>0</v>
      </c>
      <c r="C168" s="227">
        <f t="shared" si="17"/>
        <v>0</v>
      </c>
      <c r="D168" s="226">
        <f t="shared" si="18"/>
        <v>0</v>
      </c>
      <c r="E168" s="214">
        <f t="shared" si="19"/>
        <v>1710.0015504</v>
      </c>
      <c r="F168" s="227">
        <f t="shared" si="19"/>
        <v>0</v>
      </c>
      <c r="G168" s="226">
        <f t="shared" si="20"/>
        <v>1710.0015504</v>
      </c>
      <c r="H168" s="228">
        <v>99</v>
      </c>
    </row>
    <row r="169" spans="1:8" x14ac:dyDescent="0.25">
      <c r="A169" s="226">
        <f t="shared" si="16"/>
        <v>1710.0015504</v>
      </c>
      <c r="B169" s="214">
        <f t="shared" si="17"/>
        <v>0</v>
      </c>
      <c r="C169" s="227">
        <f t="shared" si="17"/>
        <v>0</v>
      </c>
      <c r="D169" s="226">
        <f t="shared" si="18"/>
        <v>0</v>
      </c>
      <c r="E169" s="214">
        <f t="shared" si="19"/>
        <v>1710.0015504</v>
      </c>
      <c r="F169" s="227">
        <f t="shared" si="19"/>
        <v>0</v>
      </c>
      <c r="G169" s="226">
        <f t="shared" si="20"/>
        <v>1710.0015504</v>
      </c>
      <c r="H169" s="228">
        <v>98</v>
      </c>
    </row>
    <row r="170" spans="1:8" x14ac:dyDescent="0.25">
      <c r="A170" s="226">
        <f t="shared" si="16"/>
        <v>1710.0015504</v>
      </c>
      <c r="B170" s="214">
        <f t="shared" si="17"/>
        <v>0</v>
      </c>
      <c r="C170" s="227">
        <f>C171*1.07</f>
        <v>0</v>
      </c>
      <c r="D170" s="226">
        <f t="shared" si="18"/>
        <v>0</v>
      </c>
      <c r="E170" s="214">
        <f t="shared" si="19"/>
        <v>1710.0015504</v>
      </c>
      <c r="F170" s="227">
        <f>F171*1.07</f>
        <v>0</v>
      </c>
      <c r="G170" s="226">
        <f t="shared" si="20"/>
        <v>1710.0015504</v>
      </c>
      <c r="H170" s="228">
        <v>97</v>
      </c>
    </row>
    <row r="171" spans="1:8" x14ac:dyDescent="0.25">
      <c r="A171" s="226">
        <f t="shared" si="16"/>
        <v>1710.0015504</v>
      </c>
      <c r="B171" s="214">
        <f t="shared" si="17"/>
        <v>0</v>
      </c>
      <c r="C171" s="227">
        <f t="shared" si="17"/>
        <v>0</v>
      </c>
      <c r="D171" s="226">
        <f t="shared" si="18"/>
        <v>0</v>
      </c>
      <c r="E171" s="214">
        <f t="shared" si="19"/>
        <v>1710.0015504</v>
      </c>
      <c r="F171" s="227">
        <f t="shared" si="19"/>
        <v>0</v>
      </c>
      <c r="G171" s="226">
        <f t="shared" si="20"/>
        <v>1710.0015504</v>
      </c>
      <c r="H171" s="228">
        <v>96</v>
      </c>
    </row>
    <row r="172" spans="1:8" x14ac:dyDescent="0.25">
      <c r="A172" s="226">
        <f t="shared" si="16"/>
        <v>1710.0015504</v>
      </c>
      <c r="B172" s="214">
        <f t="shared" si="17"/>
        <v>0</v>
      </c>
      <c r="C172" s="227">
        <f t="shared" si="17"/>
        <v>0</v>
      </c>
      <c r="D172" s="226">
        <f t="shared" si="18"/>
        <v>0</v>
      </c>
      <c r="E172" s="214">
        <f t="shared" si="19"/>
        <v>1710.0015504</v>
      </c>
      <c r="F172" s="227">
        <f t="shared" si="19"/>
        <v>0</v>
      </c>
      <c r="G172" s="226">
        <f t="shared" si="20"/>
        <v>1710.0015504</v>
      </c>
      <c r="H172" s="228">
        <v>95</v>
      </c>
    </row>
    <row r="173" spans="1:8" x14ac:dyDescent="0.25">
      <c r="A173" s="226">
        <f t="shared" si="16"/>
        <v>1710.0015504</v>
      </c>
      <c r="B173" s="214">
        <f t="shared" si="17"/>
        <v>0</v>
      </c>
      <c r="C173" s="227">
        <f t="shared" si="17"/>
        <v>0</v>
      </c>
      <c r="D173" s="226">
        <f t="shared" si="18"/>
        <v>0</v>
      </c>
      <c r="E173" s="214">
        <f t="shared" si="19"/>
        <v>1710.0015504</v>
      </c>
      <c r="F173" s="227">
        <f t="shared" si="19"/>
        <v>0</v>
      </c>
      <c r="G173" s="226">
        <f t="shared" si="20"/>
        <v>1710.0015504</v>
      </c>
      <c r="H173" s="228">
        <v>94</v>
      </c>
    </row>
    <row r="174" spans="1:8" x14ac:dyDescent="0.25">
      <c r="A174" s="226">
        <f t="shared" si="16"/>
        <v>1710.0015504</v>
      </c>
      <c r="B174" s="214">
        <f t="shared" si="17"/>
        <v>0</v>
      </c>
      <c r="C174" s="227">
        <f t="shared" si="17"/>
        <v>0</v>
      </c>
      <c r="D174" s="226">
        <f t="shared" si="18"/>
        <v>0</v>
      </c>
      <c r="E174" s="214">
        <f t="shared" si="19"/>
        <v>1710.0015504</v>
      </c>
      <c r="F174" s="227">
        <f t="shared" si="19"/>
        <v>0</v>
      </c>
      <c r="G174" s="226">
        <f t="shared" si="20"/>
        <v>1710.0015504</v>
      </c>
      <c r="H174" s="228">
        <v>93</v>
      </c>
    </row>
    <row r="175" spans="1:8" x14ac:dyDescent="0.25">
      <c r="A175" s="226">
        <f t="shared" si="16"/>
        <v>1710.0015504</v>
      </c>
      <c r="B175" s="214">
        <f t="shared" si="17"/>
        <v>0</v>
      </c>
      <c r="C175" s="227">
        <f t="shared" si="17"/>
        <v>0</v>
      </c>
      <c r="D175" s="226">
        <f t="shared" si="18"/>
        <v>0</v>
      </c>
      <c r="E175" s="214">
        <f t="shared" si="19"/>
        <v>1710.0015504</v>
      </c>
      <c r="F175" s="227">
        <f t="shared" si="19"/>
        <v>0</v>
      </c>
      <c r="G175" s="226">
        <f t="shared" si="20"/>
        <v>1710.0015504</v>
      </c>
      <c r="H175" s="228">
        <v>92</v>
      </c>
    </row>
    <row r="176" spans="1:8" x14ac:dyDescent="0.25">
      <c r="A176" s="226">
        <f t="shared" si="16"/>
        <v>1710.0015504</v>
      </c>
      <c r="B176" s="214">
        <f t="shared" si="17"/>
        <v>0</v>
      </c>
      <c r="C176" s="227">
        <f t="shared" si="17"/>
        <v>0</v>
      </c>
      <c r="D176" s="226">
        <f t="shared" si="18"/>
        <v>0</v>
      </c>
      <c r="E176" s="214">
        <f t="shared" si="19"/>
        <v>1710.0015504</v>
      </c>
      <c r="F176" s="227">
        <f t="shared" si="19"/>
        <v>0</v>
      </c>
      <c r="G176" s="226">
        <f t="shared" si="20"/>
        <v>1710.0015504</v>
      </c>
      <c r="H176" s="228">
        <v>91</v>
      </c>
    </row>
    <row r="177" spans="1:8" x14ac:dyDescent="0.25">
      <c r="A177" s="226">
        <f t="shared" si="16"/>
        <v>1710.0015504</v>
      </c>
      <c r="B177" s="214">
        <f t="shared" si="17"/>
        <v>0</v>
      </c>
      <c r="C177" s="227">
        <f t="shared" si="17"/>
        <v>0</v>
      </c>
      <c r="D177" s="226">
        <f t="shared" si="18"/>
        <v>0</v>
      </c>
      <c r="E177" s="214">
        <f t="shared" si="19"/>
        <v>1710.0015504</v>
      </c>
      <c r="F177" s="227">
        <f t="shared" si="19"/>
        <v>0</v>
      </c>
      <c r="G177" s="226">
        <f t="shared" si="20"/>
        <v>1710.0015504</v>
      </c>
      <c r="H177" s="228">
        <v>90</v>
      </c>
    </row>
    <row r="178" spans="1:8" x14ac:dyDescent="0.25">
      <c r="A178" s="226">
        <f t="shared" si="16"/>
        <v>1710.0015504</v>
      </c>
      <c r="B178" s="214">
        <f t="shared" si="17"/>
        <v>0</v>
      </c>
      <c r="C178" s="227">
        <f t="shared" si="17"/>
        <v>0</v>
      </c>
      <c r="D178" s="226">
        <f t="shared" si="18"/>
        <v>0</v>
      </c>
      <c r="E178" s="214">
        <f t="shared" si="19"/>
        <v>1710.0015504</v>
      </c>
      <c r="F178" s="227">
        <f t="shared" si="19"/>
        <v>0</v>
      </c>
      <c r="G178" s="226">
        <f t="shared" si="20"/>
        <v>1710.0015504</v>
      </c>
      <c r="H178" s="228">
        <v>89</v>
      </c>
    </row>
    <row r="179" spans="1:8" x14ac:dyDescent="0.25">
      <c r="A179" s="226">
        <f t="shared" si="16"/>
        <v>1710.0015504</v>
      </c>
      <c r="B179" s="214">
        <f t="shared" si="17"/>
        <v>0</v>
      </c>
      <c r="C179" s="227">
        <f t="shared" si="17"/>
        <v>0</v>
      </c>
      <c r="D179" s="226">
        <f t="shared" si="18"/>
        <v>0</v>
      </c>
      <c r="E179" s="214">
        <f t="shared" si="19"/>
        <v>1710.0015504</v>
      </c>
      <c r="F179" s="227">
        <f t="shared" si="19"/>
        <v>0</v>
      </c>
      <c r="G179" s="226">
        <f t="shared" si="20"/>
        <v>1710.0015504</v>
      </c>
      <c r="H179" s="228">
        <v>88</v>
      </c>
    </row>
    <row r="180" spans="1:8" x14ac:dyDescent="0.25">
      <c r="A180" s="226">
        <f t="shared" si="16"/>
        <v>1710.0015504</v>
      </c>
      <c r="B180" s="214">
        <f t="shared" si="17"/>
        <v>0</v>
      </c>
      <c r="C180" s="227">
        <f t="shared" si="17"/>
        <v>0</v>
      </c>
      <c r="D180" s="226">
        <f t="shared" si="18"/>
        <v>0</v>
      </c>
      <c r="E180" s="214">
        <f t="shared" si="19"/>
        <v>1710.0015504</v>
      </c>
      <c r="F180" s="227">
        <f t="shared" si="19"/>
        <v>0</v>
      </c>
      <c r="G180" s="226">
        <f t="shared" si="20"/>
        <v>1710.0015504</v>
      </c>
      <c r="H180" s="228">
        <v>87</v>
      </c>
    </row>
    <row r="181" spans="1:8" x14ac:dyDescent="0.25">
      <c r="A181" s="226">
        <f t="shared" si="16"/>
        <v>1710.0015504</v>
      </c>
      <c r="B181" s="214">
        <f t="shared" si="17"/>
        <v>0</v>
      </c>
      <c r="C181" s="227">
        <f t="shared" si="17"/>
        <v>0</v>
      </c>
      <c r="D181" s="226">
        <f t="shared" si="18"/>
        <v>0</v>
      </c>
      <c r="E181" s="214">
        <f t="shared" si="19"/>
        <v>1710.0015504</v>
      </c>
      <c r="F181" s="227">
        <f t="shared" si="19"/>
        <v>0</v>
      </c>
      <c r="G181" s="226">
        <f t="shared" si="20"/>
        <v>1710.0015504</v>
      </c>
      <c r="H181" s="228">
        <v>86</v>
      </c>
    </row>
    <row r="182" spans="1:8" x14ac:dyDescent="0.25">
      <c r="A182" s="226">
        <f t="shared" si="16"/>
        <v>1710.0015504</v>
      </c>
      <c r="B182" s="214">
        <f t="shared" si="17"/>
        <v>0</v>
      </c>
      <c r="C182" s="227">
        <f>C183*1.07</f>
        <v>0</v>
      </c>
      <c r="D182" s="226">
        <f t="shared" si="18"/>
        <v>0</v>
      </c>
      <c r="E182" s="214">
        <f t="shared" si="19"/>
        <v>1710.0015504</v>
      </c>
      <c r="F182" s="227">
        <f>F183*1.07</f>
        <v>0</v>
      </c>
      <c r="G182" s="226">
        <f t="shared" si="20"/>
        <v>1710.0015504</v>
      </c>
      <c r="H182" s="228">
        <v>85</v>
      </c>
    </row>
    <row r="183" spans="1:8" x14ac:dyDescent="0.25">
      <c r="A183" s="226">
        <f t="shared" si="16"/>
        <v>1710.0015504</v>
      </c>
      <c r="B183" s="214">
        <f t="shared" si="17"/>
        <v>0</v>
      </c>
      <c r="C183" s="227">
        <f t="shared" si="17"/>
        <v>0</v>
      </c>
      <c r="D183" s="226">
        <f t="shared" si="18"/>
        <v>0</v>
      </c>
      <c r="E183" s="214">
        <f t="shared" si="19"/>
        <v>1710.0015504</v>
      </c>
      <c r="F183" s="227">
        <f t="shared" si="19"/>
        <v>0</v>
      </c>
      <c r="G183" s="226">
        <f t="shared" si="20"/>
        <v>1710.0015504</v>
      </c>
      <c r="H183" s="228">
        <v>84</v>
      </c>
    </row>
    <row r="184" spans="1:8" x14ac:dyDescent="0.25">
      <c r="A184" s="226">
        <f t="shared" si="16"/>
        <v>1710.0015504</v>
      </c>
      <c r="B184" s="214">
        <f t="shared" si="17"/>
        <v>0</v>
      </c>
      <c r="C184" s="227">
        <f t="shared" si="17"/>
        <v>0</v>
      </c>
      <c r="D184" s="226">
        <f t="shared" si="18"/>
        <v>0</v>
      </c>
      <c r="E184" s="214">
        <f t="shared" si="19"/>
        <v>1710.0015504</v>
      </c>
      <c r="F184" s="227">
        <f t="shared" si="19"/>
        <v>0</v>
      </c>
      <c r="G184" s="226">
        <f t="shared" si="20"/>
        <v>1710.0015504</v>
      </c>
      <c r="H184" s="228">
        <v>83</v>
      </c>
    </row>
    <row r="185" spans="1:8" x14ac:dyDescent="0.25">
      <c r="A185" s="226">
        <f t="shared" si="16"/>
        <v>1710.0015504</v>
      </c>
      <c r="B185" s="214">
        <f t="shared" si="17"/>
        <v>0</v>
      </c>
      <c r="C185" s="227">
        <f t="shared" si="17"/>
        <v>0</v>
      </c>
      <c r="D185" s="226">
        <f t="shared" si="18"/>
        <v>0</v>
      </c>
      <c r="E185" s="214">
        <f t="shared" si="19"/>
        <v>1710.0015504</v>
      </c>
      <c r="F185" s="227">
        <f t="shared" si="19"/>
        <v>0</v>
      </c>
      <c r="G185" s="226">
        <f t="shared" si="20"/>
        <v>1710.0015504</v>
      </c>
      <c r="H185" s="228">
        <v>82</v>
      </c>
    </row>
    <row r="186" spans="1:8" x14ac:dyDescent="0.25">
      <c r="A186" s="226">
        <f t="shared" si="16"/>
        <v>1710.0015504</v>
      </c>
      <c r="B186" s="214">
        <f t="shared" si="17"/>
        <v>0</v>
      </c>
      <c r="C186" s="227">
        <f t="shared" si="17"/>
        <v>0</v>
      </c>
      <c r="D186" s="226">
        <f t="shared" si="18"/>
        <v>0</v>
      </c>
      <c r="E186" s="214">
        <f t="shared" si="19"/>
        <v>1710.0015504</v>
      </c>
      <c r="F186" s="227">
        <f t="shared" si="19"/>
        <v>0</v>
      </c>
      <c r="G186" s="226">
        <f t="shared" si="20"/>
        <v>1710.0015504</v>
      </c>
      <c r="H186" s="228">
        <v>81</v>
      </c>
    </row>
    <row r="187" spans="1:8" x14ac:dyDescent="0.25">
      <c r="A187" s="226">
        <f t="shared" si="16"/>
        <v>1710.0015504</v>
      </c>
      <c r="B187" s="214">
        <f t="shared" si="17"/>
        <v>0</v>
      </c>
      <c r="C187" s="227">
        <f t="shared" si="17"/>
        <v>0</v>
      </c>
      <c r="D187" s="226">
        <f t="shared" si="18"/>
        <v>0</v>
      </c>
      <c r="E187" s="214">
        <f t="shared" si="19"/>
        <v>1710.0015504</v>
      </c>
      <c r="F187" s="227">
        <f t="shared" si="19"/>
        <v>0</v>
      </c>
      <c r="G187" s="226">
        <f t="shared" si="20"/>
        <v>1710.0015504</v>
      </c>
      <c r="H187" s="228">
        <v>80</v>
      </c>
    </row>
    <row r="188" spans="1:8" x14ac:dyDescent="0.25">
      <c r="A188" s="226">
        <f t="shared" si="16"/>
        <v>1710.0015504</v>
      </c>
      <c r="B188" s="214">
        <f t="shared" si="17"/>
        <v>0</v>
      </c>
      <c r="C188" s="227">
        <f t="shared" si="17"/>
        <v>0</v>
      </c>
      <c r="D188" s="226">
        <f t="shared" si="18"/>
        <v>0</v>
      </c>
      <c r="E188" s="214">
        <f t="shared" si="19"/>
        <v>1710.0015504</v>
      </c>
      <c r="F188" s="227">
        <f t="shared" si="19"/>
        <v>0</v>
      </c>
      <c r="G188" s="226">
        <f t="shared" si="20"/>
        <v>1710.0015504</v>
      </c>
      <c r="H188" s="228">
        <v>79</v>
      </c>
    </row>
    <row r="189" spans="1:8" x14ac:dyDescent="0.25">
      <c r="A189" s="226">
        <f t="shared" si="16"/>
        <v>1710.0015504</v>
      </c>
      <c r="B189" s="214">
        <f t="shared" si="17"/>
        <v>0</v>
      </c>
      <c r="C189" s="227">
        <f t="shared" si="17"/>
        <v>0</v>
      </c>
      <c r="D189" s="226">
        <f t="shared" si="18"/>
        <v>0</v>
      </c>
      <c r="E189" s="214">
        <f t="shared" si="19"/>
        <v>1710.0015504</v>
      </c>
      <c r="F189" s="227">
        <f t="shared" si="19"/>
        <v>0</v>
      </c>
      <c r="G189" s="226">
        <f t="shared" si="20"/>
        <v>1710.0015504</v>
      </c>
      <c r="H189" s="228">
        <v>78</v>
      </c>
    </row>
    <row r="190" spans="1:8" x14ac:dyDescent="0.25">
      <c r="A190" s="226">
        <f t="shared" si="16"/>
        <v>1710.0015504</v>
      </c>
      <c r="B190" s="214">
        <f t="shared" si="17"/>
        <v>0</v>
      </c>
      <c r="C190" s="227">
        <f t="shared" si="17"/>
        <v>0</v>
      </c>
      <c r="D190" s="226">
        <f t="shared" si="18"/>
        <v>0</v>
      </c>
      <c r="E190" s="214">
        <f t="shared" si="19"/>
        <v>1710.0015504</v>
      </c>
      <c r="F190" s="227">
        <f t="shared" si="19"/>
        <v>0</v>
      </c>
      <c r="G190" s="226">
        <f t="shared" si="20"/>
        <v>1710.0015504</v>
      </c>
      <c r="H190" s="228">
        <v>77</v>
      </c>
    </row>
    <row r="191" spans="1:8" x14ac:dyDescent="0.25">
      <c r="A191" s="226">
        <f t="shared" si="16"/>
        <v>1710.0015504</v>
      </c>
      <c r="B191" s="214">
        <f t="shared" si="17"/>
        <v>0</v>
      </c>
      <c r="C191" s="227">
        <f t="shared" si="17"/>
        <v>0</v>
      </c>
      <c r="D191" s="226">
        <f t="shared" si="18"/>
        <v>0</v>
      </c>
      <c r="E191" s="214">
        <f t="shared" si="19"/>
        <v>1710.0015504</v>
      </c>
      <c r="F191" s="227">
        <f t="shared" si="19"/>
        <v>0</v>
      </c>
      <c r="G191" s="226">
        <f t="shared" si="20"/>
        <v>1710.0015504</v>
      </c>
      <c r="H191" s="228">
        <v>76</v>
      </c>
    </row>
    <row r="192" spans="1:8" x14ac:dyDescent="0.25">
      <c r="A192" s="226">
        <f t="shared" si="16"/>
        <v>1710.0015504</v>
      </c>
      <c r="B192" s="214">
        <f t="shared" si="17"/>
        <v>0</v>
      </c>
      <c r="C192" s="227">
        <f t="shared" si="17"/>
        <v>0</v>
      </c>
      <c r="D192" s="226">
        <f t="shared" si="18"/>
        <v>0</v>
      </c>
      <c r="E192" s="214">
        <f t="shared" si="19"/>
        <v>1710.0015504</v>
      </c>
      <c r="F192" s="227">
        <f t="shared" si="19"/>
        <v>0</v>
      </c>
      <c r="G192" s="226">
        <f t="shared" si="20"/>
        <v>1710.0015504</v>
      </c>
      <c r="H192" s="228">
        <v>75</v>
      </c>
    </row>
    <row r="193" spans="1:8" x14ac:dyDescent="0.25">
      <c r="A193" s="226">
        <f t="shared" si="16"/>
        <v>1710.0015504</v>
      </c>
      <c r="B193" s="214">
        <f t="shared" si="17"/>
        <v>0</v>
      </c>
      <c r="C193" s="227">
        <f t="shared" si="17"/>
        <v>0</v>
      </c>
      <c r="D193" s="226">
        <f t="shared" si="18"/>
        <v>0</v>
      </c>
      <c r="E193" s="214">
        <f t="shared" si="19"/>
        <v>1710.0015504</v>
      </c>
      <c r="F193" s="227">
        <f t="shared" si="19"/>
        <v>0</v>
      </c>
      <c r="G193" s="226">
        <f t="shared" si="20"/>
        <v>1710.0015504</v>
      </c>
      <c r="H193" s="228">
        <v>74</v>
      </c>
    </row>
    <row r="194" spans="1:8" x14ac:dyDescent="0.25">
      <c r="A194" s="226">
        <f t="shared" si="16"/>
        <v>1710.0015504</v>
      </c>
      <c r="B194" s="214">
        <f t="shared" si="17"/>
        <v>0</v>
      </c>
      <c r="C194" s="227">
        <f>C195*1.07</f>
        <v>0</v>
      </c>
      <c r="D194" s="226">
        <f t="shared" si="18"/>
        <v>0</v>
      </c>
      <c r="E194" s="214">
        <f t="shared" si="19"/>
        <v>1710.0015504</v>
      </c>
      <c r="F194" s="227">
        <f>F195*1.07</f>
        <v>0</v>
      </c>
      <c r="G194" s="226">
        <f t="shared" si="20"/>
        <v>1710.0015504</v>
      </c>
      <c r="H194" s="228">
        <v>73</v>
      </c>
    </row>
    <row r="195" spans="1:8" x14ac:dyDescent="0.25">
      <c r="A195" s="226">
        <f t="shared" si="16"/>
        <v>1710.0015504</v>
      </c>
      <c r="B195" s="214">
        <f t="shared" si="17"/>
        <v>0</v>
      </c>
      <c r="C195" s="227">
        <f t="shared" si="17"/>
        <v>0</v>
      </c>
      <c r="D195" s="226">
        <f t="shared" si="18"/>
        <v>0</v>
      </c>
      <c r="E195" s="214">
        <f t="shared" si="19"/>
        <v>1710.0015504</v>
      </c>
      <c r="F195" s="227">
        <f t="shared" si="19"/>
        <v>0</v>
      </c>
      <c r="G195" s="226">
        <f t="shared" si="20"/>
        <v>1710.0015504</v>
      </c>
      <c r="H195" s="228">
        <v>72</v>
      </c>
    </row>
    <row r="196" spans="1:8" x14ac:dyDescent="0.25">
      <c r="A196" s="226">
        <f t="shared" si="16"/>
        <v>1710.0015504</v>
      </c>
      <c r="B196" s="214">
        <f t="shared" si="17"/>
        <v>0</v>
      </c>
      <c r="C196" s="227">
        <f t="shared" si="17"/>
        <v>0</v>
      </c>
      <c r="D196" s="226">
        <f t="shared" si="18"/>
        <v>0</v>
      </c>
      <c r="E196" s="214">
        <f t="shared" si="19"/>
        <v>1710.0015504</v>
      </c>
      <c r="F196" s="227">
        <f t="shared" si="19"/>
        <v>0</v>
      </c>
      <c r="G196" s="226">
        <f t="shared" si="20"/>
        <v>1710.0015504</v>
      </c>
      <c r="H196" s="228">
        <v>71</v>
      </c>
    </row>
    <row r="197" spans="1:8" x14ac:dyDescent="0.25">
      <c r="A197" s="226">
        <f t="shared" si="16"/>
        <v>1710.0015504</v>
      </c>
      <c r="B197" s="214">
        <f t="shared" si="17"/>
        <v>0</v>
      </c>
      <c r="C197" s="227">
        <f t="shared" si="17"/>
        <v>0</v>
      </c>
      <c r="D197" s="226">
        <f t="shared" si="18"/>
        <v>0</v>
      </c>
      <c r="E197" s="214">
        <f t="shared" si="19"/>
        <v>1710.0015504</v>
      </c>
      <c r="F197" s="227">
        <f t="shared" si="19"/>
        <v>0</v>
      </c>
      <c r="G197" s="226">
        <f t="shared" si="20"/>
        <v>1710.0015504</v>
      </c>
      <c r="H197" s="228">
        <v>70</v>
      </c>
    </row>
    <row r="198" spans="1:8" x14ac:dyDescent="0.25">
      <c r="A198" s="226">
        <f t="shared" si="16"/>
        <v>1710.0015504</v>
      </c>
      <c r="B198" s="214">
        <f t="shared" si="17"/>
        <v>0</v>
      </c>
      <c r="C198" s="227">
        <f t="shared" si="17"/>
        <v>0</v>
      </c>
      <c r="D198" s="226">
        <f t="shared" si="18"/>
        <v>0</v>
      </c>
      <c r="E198" s="214">
        <f t="shared" si="19"/>
        <v>1710.0015504</v>
      </c>
      <c r="F198" s="227">
        <f t="shared" si="19"/>
        <v>0</v>
      </c>
      <c r="G198" s="226">
        <f t="shared" si="20"/>
        <v>1710.0015504</v>
      </c>
      <c r="H198" s="228">
        <v>69</v>
      </c>
    </row>
    <row r="199" spans="1:8" x14ac:dyDescent="0.25">
      <c r="A199" s="226">
        <f t="shared" si="16"/>
        <v>1710.0015504</v>
      </c>
      <c r="B199" s="214">
        <f t="shared" si="17"/>
        <v>0</v>
      </c>
      <c r="C199" s="227">
        <f t="shared" si="17"/>
        <v>0</v>
      </c>
      <c r="D199" s="226">
        <f t="shared" si="18"/>
        <v>0</v>
      </c>
      <c r="E199" s="214">
        <f t="shared" si="19"/>
        <v>1710.0015504</v>
      </c>
      <c r="F199" s="227">
        <f t="shared" si="19"/>
        <v>0</v>
      </c>
      <c r="G199" s="226">
        <f t="shared" si="20"/>
        <v>1710.0015504</v>
      </c>
      <c r="H199" s="228">
        <v>68</v>
      </c>
    </row>
    <row r="200" spans="1:8" x14ac:dyDescent="0.25">
      <c r="A200" s="226">
        <f t="shared" si="16"/>
        <v>1710.0015504</v>
      </c>
      <c r="B200" s="214">
        <f t="shared" si="17"/>
        <v>0</v>
      </c>
      <c r="C200" s="227">
        <f t="shared" si="17"/>
        <v>0</v>
      </c>
      <c r="D200" s="226">
        <f t="shared" si="18"/>
        <v>0</v>
      </c>
      <c r="E200" s="214">
        <f t="shared" si="19"/>
        <v>1710.0015504</v>
      </c>
      <c r="F200" s="227">
        <f t="shared" si="19"/>
        <v>0</v>
      </c>
      <c r="G200" s="226">
        <f t="shared" si="20"/>
        <v>1710.0015504</v>
      </c>
      <c r="H200" s="228">
        <v>67</v>
      </c>
    </row>
    <row r="201" spans="1:8" x14ac:dyDescent="0.25">
      <c r="A201" s="226">
        <f t="shared" si="16"/>
        <v>1710.0015504</v>
      </c>
      <c r="B201" s="214">
        <f t="shared" si="17"/>
        <v>0</v>
      </c>
      <c r="C201" s="227">
        <f t="shared" si="17"/>
        <v>0</v>
      </c>
      <c r="D201" s="226">
        <f t="shared" si="18"/>
        <v>0</v>
      </c>
      <c r="E201" s="214">
        <f t="shared" si="19"/>
        <v>1710.0015504</v>
      </c>
      <c r="F201" s="227">
        <f t="shared" si="19"/>
        <v>0</v>
      </c>
      <c r="G201" s="226">
        <f t="shared" si="20"/>
        <v>1710.0015504</v>
      </c>
      <c r="H201" s="228">
        <v>66</v>
      </c>
    </row>
    <row r="202" spans="1:8" x14ac:dyDescent="0.25">
      <c r="A202" s="226">
        <f t="shared" si="16"/>
        <v>1710.0015504</v>
      </c>
      <c r="B202" s="214">
        <f t="shared" si="17"/>
        <v>0</v>
      </c>
      <c r="C202" s="227">
        <f t="shared" si="17"/>
        <v>0</v>
      </c>
      <c r="D202" s="226">
        <f t="shared" si="18"/>
        <v>0</v>
      </c>
      <c r="E202" s="214">
        <f t="shared" si="19"/>
        <v>1710.0015504</v>
      </c>
      <c r="F202" s="227">
        <f t="shared" si="19"/>
        <v>0</v>
      </c>
      <c r="G202" s="226">
        <f t="shared" si="20"/>
        <v>1710.0015504</v>
      </c>
      <c r="H202" s="228">
        <v>65</v>
      </c>
    </row>
    <row r="203" spans="1:8" x14ac:dyDescent="0.25">
      <c r="A203" s="226">
        <f t="shared" si="16"/>
        <v>1710.0015504</v>
      </c>
      <c r="B203" s="214">
        <f t="shared" si="17"/>
        <v>0</v>
      </c>
      <c r="C203" s="227">
        <f t="shared" si="17"/>
        <v>0</v>
      </c>
      <c r="D203" s="226">
        <f t="shared" si="18"/>
        <v>0</v>
      </c>
      <c r="E203" s="214">
        <f t="shared" si="19"/>
        <v>1710.0015504</v>
      </c>
      <c r="F203" s="227">
        <f t="shared" si="19"/>
        <v>0</v>
      </c>
      <c r="G203" s="226">
        <f t="shared" si="20"/>
        <v>1710.0015504</v>
      </c>
      <c r="H203" s="228">
        <v>64</v>
      </c>
    </row>
    <row r="204" spans="1:8" x14ac:dyDescent="0.25">
      <c r="A204" s="226">
        <f t="shared" si="16"/>
        <v>1710.0015504</v>
      </c>
      <c r="B204" s="214">
        <f t="shared" si="17"/>
        <v>0</v>
      </c>
      <c r="C204" s="227">
        <f t="shared" si="17"/>
        <v>0</v>
      </c>
      <c r="D204" s="226">
        <f t="shared" si="18"/>
        <v>0</v>
      </c>
      <c r="E204" s="214">
        <f t="shared" si="19"/>
        <v>1710.0015504</v>
      </c>
      <c r="F204" s="227">
        <f t="shared" si="19"/>
        <v>0</v>
      </c>
      <c r="G204" s="226">
        <f t="shared" si="20"/>
        <v>1710.0015504</v>
      </c>
      <c r="H204" s="228">
        <v>63</v>
      </c>
    </row>
    <row r="205" spans="1:8" x14ac:dyDescent="0.25">
      <c r="A205" s="226">
        <f t="shared" si="16"/>
        <v>1710.0015504</v>
      </c>
      <c r="B205" s="214">
        <f t="shared" si="17"/>
        <v>0</v>
      </c>
      <c r="C205" s="227">
        <f t="shared" si="17"/>
        <v>0</v>
      </c>
      <c r="D205" s="226">
        <f t="shared" si="18"/>
        <v>0</v>
      </c>
      <c r="E205" s="214">
        <f t="shared" si="19"/>
        <v>1710.0015504</v>
      </c>
      <c r="F205" s="227">
        <f t="shared" si="19"/>
        <v>0</v>
      </c>
      <c r="G205" s="226">
        <f t="shared" si="20"/>
        <v>1710.0015504</v>
      </c>
      <c r="H205" s="228">
        <v>62</v>
      </c>
    </row>
    <row r="206" spans="1:8" x14ac:dyDescent="0.25">
      <c r="A206" s="226">
        <f t="shared" si="16"/>
        <v>1710.0015504</v>
      </c>
      <c r="B206" s="214">
        <f t="shared" si="17"/>
        <v>0</v>
      </c>
      <c r="C206" s="227">
        <f>C207*1.07</f>
        <v>0</v>
      </c>
      <c r="D206" s="226">
        <f t="shared" si="18"/>
        <v>0</v>
      </c>
      <c r="E206" s="214">
        <f t="shared" si="19"/>
        <v>1710.0015504</v>
      </c>
      <c r="F206" s="227">
        <f>F207*1.07</f>
        <v>0</v>
      </c>
      <c r="G206" s="226">
        <f t="shared" si="20"/>
        <v>1710.0015504</v>
      </c>
      <c r="H206" s="228">
        <v>61</v>
      </c>
    </row>
    <row r="207" spans="1:8" x14ac:dyDescent="0.25">
      <c r="A207" s="226">
        <f t="shared" si="16"/>
        <v>1710.0015504</v>
      </c>
      <c r="B207" s="214">
        <f t="shared" si="17"/>
        <v>0</v>
      </c>
      <c r="C207" s="227">
        <f t="shared" si="17"/>
        <v>0</v>
      </c>
      <c r="D207" s="226">
        <f t="shared" si="18"/>
        <v>0</v>
      </c>
      <c r="E207" s="214">
        <f t="shared" si="19"/>
        <v>1710.0015504</v>
      </c>
      <c r="F207" s="227">
        <f t="shared" si="19"/>
        <v>0</v>
      </c>
      <c r="G207" s="226">
        <f t="shared" si="20"/>
        <v>1710.0015504</v>
      </c>
      <c r="H207" s="228">
        <v>60</v>
      </c>
    </row>
    <row r="208" spans="1:8" x14ac:dyDescent="0.25">
      <c r="A208" s="226">
        <f t="shared" si="16"/>
        <v>1710.0015504</v>
      </c>
      <c r="B208" s="214">
        <f t="shared" si="17"/>
        <v>0</v>
      </c>
      <c r="C208" s="227">
        <f t="shared" si="17"/>
        <v>0</v>
      </c>
      <c r="D208" s="226">
        <f t="shared" si="18"/>
        <v>0</v>
      </c>
      <c r="E208" s="214">
        <f t="shared" si="19"/>
        <v>1710.0015504</v>
      </c>
      <c r="F208" s="227">
        <f t="shared" si="19"/>
        <v>0</v>
      </c>
      <c r="G208" s="226">
        <f t="shared" si="20"/>
        <v>1710.0015504</v>
      </c>
      <c r="H208" s="228">
        <v>59</v>
      </c>
    </row>
    <row r="209" spans="1:8" x14ac:dyDescent="0.25">
      <c r="A209" s="226">
        <f t="shared" si="16"/>
        <v>1710.0015504</v>
      </c>
      <c r="B209" s="214">
        <f t="shared" si="17"/>
        <v>0</v>
      </c>
      <c r="C209" s="227">
        <f t="shared" si="17"/>
        <v>0</v>
      </c>
      <c r="D209" s="226">
        <f t="shared" si="18"/>
        <v>0</v>
      </c>
      <c r="E209" s="214">
        <f t="shared" si="19"/>
        <v>1710.0015504</v>
      </c>
      <c r="F209" s="227">
        <f t="shared" si="19"/>
        <v>0</v>
      </c>
      <c r="G209" s="226">
        <f t="shared" si="20"/>
        <v>1710.0015504</v>
      </c>
      <c r="H209" s="228">
        <v>58</v>
      </c>
    </row>
    <row r="210" spans="1:8" x14ac:dyDescent="0.25">
      <c r="A210" s="226">
        <f t="shared" si="16"/>
        <v>1710.0015504</v>
      </c>
      <c r="B210" s="214">
        <f t="shared" si="17"/>
        <v>0</v>
      </c>
      <c r="C210" s="227">
        <f t="shared" si="17"/>
        <v>0</v>
      </c>
      <c r="D210" s="226">
        <f t="shared" si="18"/>
        <v>0</v>
      </c>
      <c r="E210" s="214">
        <f t="shared" si="19"/>
        <v>1710.0015504</v>
      </c>
      <c r="F210" s="227">
        <f t="shared" si="19"/>
        <v>0</v>
      </c>
      <c r="G210" s="226">
        <f t="shared" si="20"/>
        <v>1710.0015504</v>
      </c>
      <c r="H210" s="228">
        <v>57</v>
      </c>
    </row>
    <row r="211" spans="1:8" x14ac:dyDescent="0.25">
      <c r="A211" s="226">
        <f t="shared" si="16"/>
        <v>1710.0015504</v>
      </c>
      <c r="B211" s="214">
        <f t="shared" si="17"/>
        <v>0</v>
      </c>
      <c r="C211" s="227">
        <f t="shared" si="17"/>
        <v>0</v>
      </c>
      <c r="D211" s="226">
        <f t="shared" si="18"/>
        <v>0</v>
      </c>
      <c r="E211" s="214">
        <f t="shared" si="19"/>
        <v>1710.0015504</v>
      </c>
      <c r="F211" s="227">
        <f t="shared" si="19"/>
        <v>0</v>
      </c>
      <c r="G211" s="226">
        <f t="shared" si="20"/>
        <v>1710.0015504</v>
      </c>
      <c r="H211" s="228">
        <v>56</v>
      </c>
    </row>
    <row r="212" spans="1:8" x14ac:dyDescent="0.25">
      <c r="A212" s="226">
        <f t="shared" si="16"/>
        <v>1710.0015504</v>
      </c>
      <c r="B212" s="214">
        <f t="shared" si="17"/>
        <v>0</v>
      </c>
      <c r="C212" s="227">
        <f t="shared" si="17"/>
        <v>0</v>
      </c>
      <c r="D212" s="226">
        <f t="shared" si="18"/>
        <v>0</v>
      </c>
      <c r="E212" s="214">
        <f t="shared" si="19"/>
        <v>1710.0015504</v>
      </c>
      <c r="F212" s="227">
        <f t="shared" si="19"/>
        <v>0</v>
      </c>
      <c r="G212" s="226">
        <f t="shared" si="20"/>
        <v>1710.0015504</v>
      </c>
      <c r="H212" s="228">
        <v>55</v>
      </c>
    </row>
    <row r="213" spans="1:8" x14ac:dyDescent="0.25">
      <c r="A213" s="226">
        <f t="shared" si="16"/>
        <v>1710.0015504</v>
      </c>
      <c r="B213" s="214">
        <f t="shared" si="17"/>
        <v>0</v>
      </c>
      <c r="C213" s="227">
        <f t="shared" si="17"/>
        <v>0</v>
      </c>
      <c r="D213" s="226">
        <f t="shared" si="18"/>
        <v>0</v>
      </c>
      <c r="E213" s="214">
        <f t="shared" si="19"/>
        <v>1710.0015504</v>
      </c>
      <c r="F213" s="227">
        <f t="shared" si="19"/>
        <v>0</v>
      </c>
      <c r="G213" s="226">
        <f t="shared" si="20"/>
        <v>1710.0015504</v>
      </c>
      <c r="H213" s="228">
        <v>54</v>
      </c>
    </row>
    <row r="214" spans="1:8" x14ac:dyDescent="0.25">
      <c r="A214" s="226">
        <f t="shared" si="16"/>
        <v>1710.0015504</v>
      </c>
      <c r="B214" s="214">
        <f t="shared" si="17"/>
        <v>0</v>
      </c>
      <c r="C214" s="227">
        <f t="shared" si="17"/>
        <v>0</v>
      </c>
      <c r="D214" s="226">
        <f t="shared" si="18"/>
        <v>0</v>
      </c>
      <c r="E214" s="214">
        <f t="shared" si="19"/>
        <v>1710.0015504</v>
      </c>
      <c r="F214" s="227">
        <f t="shared" si="19"/>
        <v>0</v>
      </c>
      <c r="G214" s="226">
        <f t="shared" si="20"/>
        <v>1710.0015504</v>
      </c>
      <c r="H214" s="228">
        <v>53</v>
      </c>
    </row>
    <row r="215" spans="1:8" x14ac:dyDescent="0.25">
      <c r="A215" s="226">
        <f t="shared" si="16"/>
        <v>1710.0015504</v>
      </c>
      <c r="B215" s="214">
        <f t="shared" si="17"/>
        <v>0</v>
      </c>
      <c r="C215" s="227">
        <f t="shared" si="17"/>
        <v>0</v>
      </c>
      <c r="D215" s="226">
        <f t="shared" si="18"/>
        <v>0</v>
      </c>
      <c r="E215" s="214">
        <f t="shared" si="19"/>
        <v>1710.0015504</v>
      </c>
      <c r="F215" s="227">
        <f t="shared" si="19"/>
        <v>0</v>
      </c>
      <c r="G215" s="226">
        <f t="shared" si="20"/>
        <v>1710.0015504</v>
      </c>
      <c r="H215" s="228">
        <v>52</v>
      </c>
    </row>
    <row r="216" spans="1:8" x14ac:dyDescent="0.25">
      <c r="A216" s="226">
        <f t="shared" si="16"/>
        <v>1710.0015504</v>
      </c>
      <c r="B216" s="214">
        <f t="shared" si="17"/>
        <v>0</v>
      </c>
      <c r="C216" s="227">
        <f t="shared" si="17"/>
        <v>0</v>
      </c>
      <c r="D216" s="226">
        <f t="shared" si="18"/>
        <v>0</v>
      </c>
      <c r="E216" s="214">
        <f t="shared" si="19"/>
        <v>1710.0015504</v>
      </c>
      <c r="F216" s="227">
        <f t="shared" si="19"/>
        <v>0</v>
      </c>
      <c r="G216" s="226">
        <f t="shared" si="20"/>
        <v>1710.0015504</v>
      </c>
      <c r="H216" s="228">
        <v>51</v>
      </c>
    </row>
    <row r="217" spans="1:8" x14ac:dyDescent="0.25">
      <c r="A217" s="226">
        <f t="shared" si="16"/>
        <v>1710.0015504</v>
      </c>
      <c r="B217" s="214">
        <f t="shared" si="17"/>
        <v>0</v>
      </c>
      <c r="C217" s="227">
        <f t="shared" si="17"/>
        <v>0</v>
      </c>
      <c r="D217" s="226">
        <f t="shared" si="18"/>
        <v>0</v>
      </c>
      <c r="E217" s="214">
        <f t="shared" si="19"/>
        <v>1710.0015504</v>
      </c>
      <c r="F217" s="227">
        <f t="shared" si="19"/>
        <v>0</v>
      </c>
      <c r="G217" s="226">
        <f t="shared" si="20"/>
        <v>1710.0015504</v>
      </c>
      <c r="H217" s="228">
        <v>50</v>
      </c>
    </row>
    <row r="218" spans="1:8" x14ac:dyDescent="0.25">
      <c r="A218" s="226">
        <f t="shared" si="16"/>
        <v>1710.0015504</v>
      </c>
      <c r="B218" s="214">
        <f t="shared" si="17"/>
        <v>0</v>
      </c>
      <c r="C218" s="227">
        <f>C219*1.07</f>
        <v>0</v>
      </c>
      <c r="D218" s="226">
        <f t="shared" si="18"/>
        <v>0</v>
      </c>
      <c r="E218" s="214">
        <f t="shared" si="19"/>
        <v>1710.0015504</v>
      </c>
      <c r="F218" s="227">
        <f>F219*1.07</f>
        <v>0</v>
      </c>
      <c r="G218" s="226">
        <f t="shared" si="20"/>
        <v>1710.0015504</v>
      </c>
      <c r="H218" s="228">
        <v>49</v>
      </c>
    </row>
    <row r="219" spans="1:8" x14ac:dyDescent="0.25">
      <c r="A219" s="226">
        <f t="shared" ref="A219:A266" si="21">G219-D219</f>
        <v>1710.0015504</v>
      </c>
      <c r="B219" s="214">
        <f t="shared" ref="B219:C264" si="22">B220</f>
        <v>0</v>
      </c>
      <c r="C219" s="227">
        <f t="shared" si="22"/>
        <v>0</v>
      </c>
      <c r="D219" s="226">
        <f t="shared" ref="D219:D254" si="23">D220+C219</f>
        <v>0</v>
      </c>
      <c r="E219" s="214">
        <f t="shared" ref="E219:F264" si="24">E220</f>
        <v>1710.0015504</v>
      </c>
      <c r="F219" s="227">
        <f t="shared" si="24"/>
        <v>0</v>
      </c>
      <c r="G219" s="226">
        <f t="shared" ref="G219:G265" si="25">G220+F219</f>
        <v>1710.0015504</v>
      </c>
      <c r="H219" s="228">
        <v>48</v>
      </c>
    </row>
    <row r="220" spans="1:8" x14ac:dyDescent="0.25">
      <c r="A220" s="226">
        <f t="shared" si="21"/>
        <v>1710.0015504</v>
      </c>
      <c r="B220" s="214">
        <f t="shared" si="22"/>
        <v>0</v>
      </c>
      <c r="C220" s="227">
        <f t="shared" si="22"/>
        <v>0</v>
      </c>
      <c r="D220" s="226">
        <f t="shared" si="23"/>
        <v>0</v>
      </c>
      <c r="E220" s="214">
        <f t="shared" si="24"/>
        <v>1710.0015504</v>
      </c>
      <c r="F220" s="227">
        <f t="shared" si="24"/>
        <v>0</v>
      </c>
      <c r="G220" s="226">
        <f t="shared" si="25"/>
        <v>1710.0015504</v>
      </c>
      <c r="H220" s="228">
        <v>47</v>
      </c>
    </row>
    <row r="221" spans="1:8" x14ac:dyDescent="0.25">
      <c r="A221" s="226">
        <f t="shared" si="21"/>
        <v>1710.0015504</v>
      </c>
      <c r="B221" s="214">
        <f t="shared" si="22"/>
        <v>0</v>
      </c>
      <c r="C221" s="227">
        <f t="shared" si="22"/>
        <v>0</v>
      </c>
      <c r="D221" s="226">
        <f t="shared" si="23"/>
        <v>0</v>
      </c>
      <c r="E221" s="214">
        <f t="shared" si="24"/>
        <v>1710.0015504</v>
      </c>
      <c r="F221" s="227">
        <f t="shared" si="24"/>
        <v>0</v>
      </c>
      <c r="G221" s="226">
        <f t="shared" si="25"/>
        <v>1710.0015504</v>
      </c>
      <c r="H221" s="228">
        <v>46</v>
      </c>
    </row>
    <row r="222" spans="1:8" x14ac:dyDescent="0.25">
      <c r="A222" s="226">
        <f t="shared" si="21"/>
        <v>1710.0015504</v>
      </c>
      <c r="B222" s="214">
        <f t="shared" si="22"/>
        <v>0</v>
      </c>
      <c r="C222" s="227">
        <f t="shared" si="22"/>
        <v>0</v>
      </c>
      <c r="D222" s="226">
        <f t="shared" si="23"/>
        <v>0</v>
      </c>
      <c r="E222" s="214">
        <f t="shared" si="24"/>
        <v>1710.0015504</v>
      </c>
      <c r="F222" s="227">
        <f t="shared" si="24"/>
        <v>0</v>
      </c>
      <c r="G222" s="226">
        <f t="shared" si="25"/>
        <v>1710.0015504</v>
      </c>
      <c r="H222" s="228">
        <v>45</v>
      </c>
    </row>
    <row r="223" spans="1:8" x14ac:dyDescent="0.25">
      <c r="A223" s="226">
        <f t="shared" si="21"/>
        <v>1710.0015504</v>
      </c>
      <c r="B223" s="214">
        <f t="shared" si="22"/>
        <v>0</v>
      </c>
      <c r="C223" s="227">
        <f t="shared" si="22"/>
        <v>0</v>
      </c>
      <c r="D223" s="226">
        <f t="shared" si="23"/>
        <v>0</v>
      </c>
      <c r="E223" s="214">
        <f t="shared" si="24"/>
        <v>1710.0015504</v>
      </c>
      <c r="F223" s="227">
        <f t="shared" si="24"/>
        <v>0</v>
      </c>
      <c r="G223" s="226">
        <f t="shared" si="25"/>
        <v>1710.0015504</v>
      </c>
      <c r="H223" s="228">
        <v>44</v>
      </c>
    </row>
    <row r="224" spans="1:8" x14ac:dyDescent="0.25">
      <c r="A224" s="226">
        <f t="shared" si="21"/>
        <v>1710.0015504</v>
      </c>
      <c r="B224" s="214">
        <f t="shared" si="22"/>
        <v>0</v>
      </c>
      <c r="C224" s="227">
        <f t="shared" si="22"/>
        <v>0</v>
      </c>
      <c r="D224" s="226">
        <f t="shared" si="23"/>
        <v>0</v>
      </c>
      <c r="E224" s="214">
        <f t="shared" si="24"/>
        <v>1710.0015504</v>
      </c>
      <c r="F224" s="227">
        <f t="shared" si="24"/>
        <v>0</v>
      </c>
      <c r="G224" s="226">
        <f t="shared" si="25"/>
        <v>1710.0015504</v>
      </c>
      <c r="H224" s="228">
        <v>43</v>
      </c>
    </row>
    <row r="225" spans="1:8" x14ac:dyDescent="0.25">
      <c r="A225" s="226">
        <f t="shared" si="21"/>
        <v>1710.0015504</v>
      </c>
      <c r="B225" s="214">
        <f t="shared" si="22"/>
        <v>0</v>
      </c>
      <c r="C225" s="227">
        <f t="shared" si="22"/>
        <v>0</v>
      </c>
      <c r="D225" s="226">
        <f t="shared" si="23"/>
        <v>0</v>
      </c>
      <c r="E225" s="214">
        <f t="shared" si="24"/>
        <v>1710.0015504</v>
      </c>
      <c r="F225" s="227">
        <f t="shared" si="24"/>
        <v>0</v>
      </c>
      <c r="G225" s="226">
        <f t="shared" si="25"/>
        <v>1710.0015504</v>
      </c>
      <c r="H225" s="228">
        <v>42</v>
      </c>
    </row>
    <row r="226" spans="1:8" x14ac:dyDescent="0.25">
      <c r="A226" s="226">
        <f t="shared" si="21"/>
        <v>1710.0015504</v>
      </c>
      <c r="B226" s="214">
        <f t="shared" si="22"/>
        <v>0</v>
      </c>
      <c r="C226" s="227">
        <f t="shared" si="22"/>
        <v>0</v>
      </c>
      <c r="D226" s="226">
        <f t="shared" si="23"/>
        <v>0</v>
      </c>
      <c r="E226" s="214">
        <f t="shared" si="24"/>
        <v>1710.0015504</v>
      </c>
      <c r="F226" s="227">
        <f t="shared" si="24"/>
        <v>0</v>
      </c>
      <c r="G226" s="226">
        <f t="shared" si="25"/>
        <v>1710.0015504</v>
      </c>
      <c r="H226" s="228">
        <v>41</v>
      </c>
    </row>
    <row r="227" spans="1:8" x14ac:dyDescent="0.25">
      <c r="A227" s="226">
        <f t="shared" si="21"/>
        <v>1710.0015504</v>
      </c>
      <c r="B227" s="214">
        <f t="shared" si="22"/>
        <v>0</v>
      </c>
      <c r="C227" s="227">
        <f t="shared" si="22"/>
        <v>0</v>
      </c>
      <c r="D227" s="226">
        <f t="shared" si="23"/>
        <v>0</v>
      </c>
      <c r="E227" s="214">
        <f t="shared" si="24"/>
        <v>1710.0015504</v>
      </c>
      <c r="F227" s="227">
        <f t="shared" si="24"/>
        <v>0</v>
      </c>
      <c r="G227" s="226">
        <f t="shared" si="25"/>
        <v>1710.0015504</v>
      </c>
      <c r="H227" s="228">
        <v>40</v>
      </c>
    </row>
    <row r="228" spans="1:8" x14ac:dyDescent="0.25">
      <c r="A228" s="226">
        <f t="shared" si="21"/>
        <v>1710.0015504</v>
      </c>
      <c r="B228" s="214">
        <f t="shared" si="22"/>
        <v>0</v>
      </c>
      <c r="C228" s="227">
        <f t="shared" si="22"/>
        <v>0</v>
      </c>
      <c r="D228" s="226">
        <f t="shared" si="23"/>
        <v>0</v>
      </c>
      <c r="E228" s="214">
        <f t="shared" si="24"/>
        <v>1710.0015504</v>
      </c>
      <c r="F228" s="227">
        <f t="shared" si="24"/>
        <v>0</v>
      </c>
      <c r="G228" s="226">
        <f t="shared" si="25"/>
        <v>1710.0015504</v>
      </c>
      <c r="H228" s="228">
        <v>39</v>
      </c>
    </row>
    <row r="229" spans="1:8" x14ac:dyDescent="0.25">
      <c r="A229" s="226">
        <f t="shared" si="21"/>
        <v>1710.0015504</v>
      </c>
      <c r="B229" s="214">
        <f t="shared" si="22"/>
        <v>0</v>
      </c>
      <c r="C229" s="227">
        <f t="shared" si="22"/>
        <v>0</v>
      </c>
      <c r="D229" s="226">
        <f t="shared" si="23"/>
        <v>0</v>
      </c>
      <c r="E229" s="214">
        <f t="shared" si="24"/>
        <v>1710.0015504</v>
      </c>
      <c r="F229" s="227">
        <f t="shared" si="24"/>
        <v>0</v>
      </c>
      <c r="G229" s="226">
        <f t="shared" si="25"/>
        <v>1710.0015504</v>
      </c>
      <c r="H229" s="228">
        <v>38</v>
      </c>
    </row>
    <row r="230" spans="1:8" x14ac:dyDescent="0.25">
      <c r="A230" s="226">
        <f t="shared" si="21"/>
        <v>1710.0015504</v>
      </c>
      <c r="B230" s="214">
        <f t="shared" si="22"/>
        <v>0</v>
      </c>
      <c r="C230" s="227">
        <f>C231*1.07</f>
        <v>0</v>
      </c>
      <c r="D230" s="226">
        <f t="shared" si="23"/>
        <v>0</v>
      </c>
      <c r="E230" s="214">
        <f t="shared" si="24"/>
        <v>1710.0015504</v>
      </c>
      <c r="F230" s="227">
        <f>F231*1.07</f>
        <v>0</v>
      </c>
      <c r="G230" s="226">
        <f t="shared" si="25"/>
        <v>1710.0015504</v>
      </c>
      <c r="H230" s="228">
        <v>37</v>
      </c>
    </row>
    <row r="231" spans="1:8" x14ac:dyDescent="0.25">
      <c r="A231" s="226">
        <f t="shared" si="21"/>
        <v>1710.0015504</v>
      </c>
      <c r="B231" s="214">
        <f t="shared" si="22"/>
        <v>0</v>
      </c>
      <c r="C231" s="227">
        <f t="shared" si="22"/>
        <v>0</v>
      </c>
      <c r="D231" s="226">
        <f t="shared" si="23"/>
        <v>0</v>
      </c>
      <c r="E231" s="214">
        <f t="shared" si="24"/>
        <v>1710.0015504</v>
      </c>
      <c r="F231" s="227">
        <f t="shared" si="24"/>
        <v>0</v>
      </c>
      <c r="G231" s="226">
        <f t="shared" si="25"/>
        <v>1710.0015504</v>
      </c>
      <c r="H231" s="228">
        <v>36</v>
      </c>
    </row>
    <row r="232" spans="1:8" x14ac:dyDescent="0.25">
      <c r="A232" s="226">
        <f t="shared" si="21"/>
        <v>1710.0015504</v>
      </c>
      <c r="B232" s="214">
        <f t="shared" si="22"/>
        <v>0</v>
      </c>
      <c r="C232" s="227">
        <f t="shared" si="22"/>
        <v>0</v>
      </c>
      <c r="D232" s="226">
        <f t="shared" si="23"/>
        <v>0</v>
      </c>
      <c r="E232" s="214">
        <f t="shared" si="24"/>
        <v>1710.0015504</v>
      </c>
      <c r="F232" s="227">
        <f t="shared" si="24"/>
        <v>0</v>
      </c>
      <c r="G232" s="226">
        <f t="shared" si="25"/>
        <v>1710.0015504</v>
      </c>
      <c r="H232" s="228">
        <v>35</v>
      </c>
    </row>
    <row r="233" spans="1:8" x14ac:dyDescent="0.25">
      <c r="A233" s="226">
        <f t="shared" si="21"/>
        <v>1710.0015504</v>
      </c>
      <c r="B233" s="214">
        <f t="shared" si="22"/>
        <v>0</v>
      </c>
      <c r="C233" s="227">
        <f t="shared" si="22"/>
        <v>0</v>
      </c>
      <c r="D233" s="226">
        <f t="shared" si="23"/>
        <v>0</v>
      </c>
      <c r="E233" s="214">
        <f t="shared" si="24"/>
        <v>1710.0015504</v>
      </c>
      <c r="F233" s="227">
        <f t="shared" si="24"/>
        <v>0</v>
      </c>
      <c r="G233" s="226">
        <f t="shared" si="25"/>
        <v>1710.0015504</v>
      </c>
      <c r="H233" s="228">
        <v>34</v>
      </c>
    </row>
    <row r="234" spans="1:8" x14ac:dyDescent="0.25">
      <c r="A234" s="226">
        <f t="shared" si="21"/>
        <v>1710.0015504</v>
      </c>
      <c r="B234" s="214">
        <f t="shared" si="22"/>
        <v>0</v>
      </c>
      <c r="C234" s="227">
        <f t="shared" si="22"/>
        <v>0</v>
      </c>
      <c r="D234" s="226">
        <f t="shared" si="23"/>
        <v>0</v>
      </c>
      <c r="E234" s="214">
        <f t="shared" si="24"/>
        <v>1710.0015504</v>
      </c>
      <c r="F234" s="227">
        <f t="shared" si="24"/>
        <v>0</v>
      </c>
      <c r="G234" s="226">
        <f t="shared" si="25"/>
        <v>1710.0015504</v>
      </c>
      <c r="H234" s="228">
        <v>33</v>
      </c>
    </row>
    <row r="235" spans="1:8" x14ac:dyDescent="0.25">
      <c r="A235" s="226">
        <f t="shared" si="21"/>
        <v>1710.0015504</v>
      </c>
      <c r="B235" s="214">
        <f t="shared" si="22"/>
        <v>0</v>
      </c>
      <c r="C235" s="227">
        <f t="shared" si="22"/>
        <v>0</v>
      </c>
      <c r="D235" s="226">
        <f t="shared" si="23"/>
        <v>0</v>
      </c>
      <c r="E235" s="214">
        <f t="shared" si="24"/>
        <v>1710.0015504</v>
      </c>
      <c r="F235" s="227">
        <f t="shared" si="24"/>
        <v>0</v>
      </c>
      <c r="G235" s="226">
        <f t="shared" si="25"/>
        <v>1710.0015504</v>
      </c>
      <c r="H235" s="228">
        <v>32</v>
      </c>
    </row>
    <row r="236" spans="1:8" x14ac:dyDescent="0.25">
      <c r="A236" s="226">
        <f t="shared" si="21"/>
        <v>1710.0015504</v>
      </c>
      <c r="B236" s="214">
        <f t="shared" si="22"/>
        <v>0</v>
      </c>
      <c r="C236" s="227">
        <f t="shared" si="22"/>
        <v>0</v>
      </c>
      <c r="D236" s="226">
        <f t="shared" si="23"/>
        <v>0</v>
      </c>
      <c r="E236" s="214">
        <f t="shared" si="24"/>
        <v>1710.0015504</v>
      </c>
      <c r="F236" s="227">
        <f t="shared" si="24"/>
        <v>0</v>
      </c>
      <c r="G236" s="226">
        <f t="shared" si="25"/>
        <v>1710.0015504</v>
      </c>
      <c r="H236" s="228">
        <v>31</v>
      </c>
    </row>
    <row r="237" spans="1:8" x14ac:dyDescent="0.25">
      <c r="A237" s="226">
        <f t="shared" si="21"/>
        <v>1710.0015504</v>
      </c>
      <c r="B237" s="214">
        <f t="shared" si="22"/>
        <v>0</v>
      </c>
      <c r="C237" s="227">
        <f t="shared" si="22"/>
        <v>0</v>
      </c>
      <c r="D237" s="226">
        <f t="shared" si="23"/>
        <v>0</v>
      </c>
      <c r="E237" s="214">
        <f t="shared" si="24"/>
        <v>1710.0015504</v>
      </c>
      <c r="F237" s="227">
        <f t="shared" si="24"/>
        <v>0</v>
      </c>
      <c r="G237" s="226">
        <f t="shared" si="25"/>
        <v>1710.0015504</v>
      </c>
      <c r="H237" s="228">
        <v>30</v>
      </c>
    </row>
    <row r="238" spans="1:8" x14ac:dyDescent="0.25">
      <c r="A238" s="226">
        <f t="shared" si="21"/>
        <v>1710.0015504</v>
      </c>
      <c r="B238" s="214">
        <f t="shared" si="22"/>
        <v>0</v>
      </c>
      <c r="C238" s="227">
        <f t="shared" si="22"/>
        <v>0</v>
      </c>
      <c r="D238" s="226">
        <f t="shared" si="23"/>
        <v>0</v>
      </c>
      <c r="E238" s="214">
        <f t="shared" si="24"/>
        <v>1710.0015504</v>
      </c>
      <c r="F238" s="227">
        <f t="shared" si="24"/>
        <v>0</v>
      </c>
      <c r="G238" s="226">
        <f t="shared" si="25"/>
        <v>1710.0015504</v>
      </c>
      <c r="H238" s="228">
        <v>29</v>
      </c>
    </row>
    <row r="239" spans="1:8" x14ac:dyDescent="0.25">
      <c r="A239" s="226">
        <f t="shared" si="21"/>
        <v>1710.0015504</v>
      </c>
      <c r="B239" s="214">
        <f t="shared" si="22"/>
        <v>0</v>
      </c>
      <c r="C239" s="227">
        <f t="shared" si="22"/>
        <v>0</v>
      </c>
      <c r="D239" s="226">
        <f t="shared" si="23"/>
        <v>0</v>
      </c>
      <c r="E239" s="214">
        <f t="shared" si="24"/>
        <v>1710.0015504</v>
      </c>
      <c r="F239" s="227">
        <f t="shared" si="24"/>
        <v>0</v>
      </c>
      <c r="G239" s="226">
        <f t="shared" si="25"/>
        <v>1710.0015504</v>
      </c>
      <c r="H239" s="228">
        <v>28</v>
      </c>
    </row>
    <row r="240" spans="1:8" x14ac:dyDescent="0.25">
      <c r="A240" s="226">
        <f t="shared" si="21"/>
        <v>1710.0015504</v>
      </c>
      <c r="B240" s="214">
        <f t="shared" si="22"/>
        <v>0</v>
      </c>
      <c r="C240" s="227">
        <f t="shared" si="22"/>
        <v>0</v>
      </c>
      <c r="D240" s="226">
        <f t="shared" si="23"/>
        <v>0</v>
      </c>
      <c r="E240" s="214">
        <f t="shared" si="24"/>
        <v>1710.0015504</v>
      </c>
      <c r="F240" s="227">
        <f t="shared" si="24"/>
        <v>0</v>
      </c>
      <c r="G240" s="226">
        <f t="shared" si="25"/>
        <v>1710.0015504</v>
      </c>
      <c r="H240" s="228">
        <v>27</v>
      </c>
    </row>
    <row r="241" spans="1:8" x14ac:dyDescent="0.25">
      <c r="A241" s="226">
        <f t="shared" si="21"/>
        <v>1710.0015504</v>
      </c>
      <c r="B241" s="214">
        <f t="shared" si="22"/>
        <v>0</v>
      </c>
      <c r="C241" s="227">
        <f t="shared" si="22"/>
        <v>0</v>
      </c>
      <c r="D241" s="226">
        <f t="shared" si="23"/>
        <v>0</v>
      </c>
      <c r="E241" s="214">
        <f t="shared" si="24"/>
        <v>1710.0015504</v>
      </c>
      <c r="F241" s="227">
        <f t="shared" si="24"/>
        <v>0</v>
      </c>
      <c r="G241" s="226">
        <f t="shared" si="25"/>
        <v>1710.0015504</v>
      </c>
      <c r="H241" s="228">
        <v>26</v>
      </c>
    </row>
    <row r="242" spans="1:8" x14ac:dyDescent="0.25">
      <c r="A242" s="226">
        <f t="shared" si="21"/>
        <v>1710.0015504</v>
      </c>
      <c r="B242" s="214">
        <f t="shared" si="22"/>
        <v>0</v>
      </c>
      <c r="C242" s="227">
        <f>C243*1.07</f>
        <v>0</v>
      </c>
      <c r="D242" s="226">
        <f t="shared" si="23"/>
        <v>0</v>
      </c>
      <c r="E242" s="214">
        <f t="shared" si="24"/>
        <v>1710.0015504</v>
      </c>
      <c r="F242" s="227">
        <f>F243*1.07</f>
        <v>0</v>
      </c>
      <c r="G242" s="226">
        <f t="shared" si="25"/>
        <v>1710.0015504</v>
      </c>
      <c r="H242" s="228">
        <v>25</v>
      </c>
    </row>
    <row r="243" spans="1:8" x14ac:dyDescent="0.25">
      <c r="A243" s="226">
        <f t="shared" si="21"/>
        <v>1710.0015504</v>
      </c>
      <c r="B243" s="214">
        <f t="shared" si="22"/>
        <v>0</v>
      </c>
      <c r="C243" s="227">
        <f t="shared" si="22"/>
        <v>0</v>
      </c>
      <c r="D243" s="226">
        <f t="shared" si="23"/>
        <v>0</v>
      </c>
      <c r="E243" s="214">
        <f t="shared" si="24"/>
        <v>1710.0015504</v>
      </c>
      <c r="F243" s="227">
        <f t="shared" si="24"/>
        <v>0</v>
      </c>
      <c r="G243" s="226">
        <f t="shared" si="25"/>
        <v>1710.0015504</v>
      </c>
      <c r="H243" s="228">
        <v>24</v>
      </c>
    </row>
    <row r="244" spans="1:8" x14ac:dyDescent="0.25">
      <c r="A244" s="226">
        <f t="shared" si="21"/>
        <v>1710.0015504</v>
      </c>
      <c r="B244" s="214">
        <f t="shared" si="22"/>
        <v>0</v>
      </c>
      <c r="C244" s="227">
        <f t="shared" si="22"/>
        <v>0</v>
      </c>
      <c r="D244" s="226">
        <f t="shared" si="23"/>
        <v>0</v>
      </c>
      <c r="E244" s="214">
        <f t="shared" si="24"/>
        <v>1710.0015504</v>
      </c>
      <c r="F244" s="227">
        <f t="shared" si="24"/>
        <v>0</v>
      </c>
      <c r="G244" s="226">
        <f t="shared" si="25"/>
        <v>1710.0015504</v>
      </c>
      <c r="H244" s="228">
        <v>23</v>
      </c>
    </row>
    <row r="245" spans="1:8" x14ac:dyDescent="0.25">
      <c r="A245" s="226">
        <f t="shared" si="21"/>
        <v>1710.0015504</v>
      </c>
      <c r="B245" s="214">
        <f t="shared" si="22"/>
        <v>0</v>
      </c>
      <c r="C245" s="227">
        <f t="shared" si="22"/>
        <v>0</v>
      </c>
      <c r="D245" s="226">
        <f t="shared" si="23"/>
        <v>0</v>
      </c>
      <c r="E245" s="214">
        <f t="shared" si="24"/>
        <v>1710.0015504</v>
      </c>
      <c r="F245" s="227">
        <f t="shared" si="24"/>
        <v>0</v>
      </c>
      <c r="G245" s="226">
        <f t="shared" si="25"/>
        <v>1710.0015504</v>
      </c>
      <c r="H245" s="228">
        <v>22</v>
      </c>
    </row>
    <row r="246" spans="1:8" x14ac:dyDescent="0.25">
      <c r="A246" s="226">
        <f t="shared" si="21"/>
        <v>1710.0015504</v>
      </c>
      <c r="B246" s="214">
        <f t="shared" si="22"/>
        <v>0</v>
      </c>
      <c r="C246" s="227">
        <f t="shared" si="22"/>
        <v>0</v>
      </c>
      <c r="D246" s="226">
        <f t="shared" si="23"/>
        <v>0</v>
      </c>
      <c r="E246" s="214">
        <f t="shared" si="24"/>
        <v>1710.0015504</v>
      </c>
      <c r="F246" s="227">
        <f t="shared" si="24"/>
        <v>0</v>
      </c>
      <c r="G246" s="226">
        <f t="shared" si="25"/>
        <v>1710.0015504</v>
      </c>
      <c r="H246" s="228">
        <v>21</v>
      </c>
    </row>
    <row r="247" spans="1:8" x14ac:dyDescent="0.25">
      <c r="A247" s="226">
        <f t="shared" si="21"/>
        <v>1710.0015504</v>
      </c>
      <c r="B247" s="214">
        <f t="shared" si="22"/>
        <v>0</v>
      </c>
      <c r="C247" s="227">
        <f t="shared" si="22"/>
        <v>0</v>
      </c>
      <c r="D247" s="226">
        <f t="shared" si="23"/>
        <v>0</v>
      </c>
      <c r="E247" s="214">
        <f t="shared" si="24"/>
        <v>1710.0015504</v>
      </c>
      <c r="F247" s="227">
        <f t="shared" si="24"/>
        <v>0</v>
      </c>
      <c r="G247" s="226">
        <f t="shared" si="25"/>
        <v>1710.0015504</v>
      </c>
      <c r="H247" s="228">
        <v>20</v>
      </c>
    </row>
    <row r="248" spans="1:8" x14ac:dyDescent="0.25">
      <c r="A248" s="226">
        <f t="shared" si="21"/>
        <v>1710.0015504</v>
      </c>
      <c r="B248" s="214">
        <f t="shared" si="22"/>
        <v>0</v>
      </c>
      <c r="C248" s="227">
        <f t="shared" si="22"/>
        <v>0</v>
      </c>
      <c r="D248" s="226">
        <f t="shared" si="23"/>
        <v>0</v>
      </c>
      <c r="E248" s="214">
        <f t="shared" si="24"/>
        <v>1710.0015504</v>
      </c>
      <c r="F248" s="227">
        <f t="shared" si="24"/>
        <v>0</v>
      </c>
      <c r="G248" s="226">
        <f t="shared" si="25"/>
        <v>1710.0015504</v>
      </c>
      <c r="H248" s="228">
        <v>19</v>
      </c>
    </row>
    <row r="249" spans="1:8" x14ac:dyDescent="0.25">
      <c r="A249" s="226">
        <f t="shared" si="21"/>
        <v>1710.0015504</v>
      </c>
      <c r="B249" s="214">
        <f t="shared" si="22"/>
        <v>0</v>
      </c>
      <c r="C249" s="227">
        <f t="shared" si="22"/>
        <v>0</v>
      </c>
      <c r="D249" s="226">
        <f t="shared" si="23"/>
        <v>0</v>
      </c>
      <c r="E249" s="214">
        <f t="shared" si="24"/>
        <v>1710.0015504</v>
      </c>
      <c r="F249" s="227">
        <f t="shared" si="24"/>
        <v>0</v>
      </c>
      <c r="G249" s="226">
        <f t="shared" si="25"/>
        <v>1710.0015504</v>
      </c>
      <c r="H249" s="228">
        <v>18</v>
      </c>
    </row>
    <row r="250" spans="1:8" x14ac:dyDescent="0.25">
      <c r="A250" s="226">
        <f t="shared" si="21"/>
        <v>1710.0015504</v>
      </c>
      <c r="B250" s="214">
        <f t="shared" si="22"/>
        <v>0</v>
      </c>
      <c r="C250" s="227">
        <f t="shared" si="22"/>
        <v>0</v>
      </c>
      <c r="D250" s="226">
        <f t="shared" si="23"/>
        <v>0</v>
      </c>
      <c r="E250" s="214">
        <f t="shared" si="24"/>
        <v>1710.0015504</v>
      </c>
      <c r="F250" s="227">
        <f t="shared" si="24"/>
        <v>0</v>
      </c>
      <c r="G250" s="226">
        <f t="shared" si="25"/>
        <v>1710.0015504</v>
      </c>
      <c r="H250" s="228">
        <v>17</v>
      </c>
    </row>
    <row r="251" spans="1:8" x14ac:dyDescent="0.25">
      <c r="A251" s="226">
        <f t="shared" si="21"/>
        <v>1710.0015504</v>
      </c>
      <c r="B251" s="214">
        <f t="shared" si="22"/>
        <v>0</v>
      </c>
      <c r="C251" s="227">
        <f t="shared" si="22"/>
        <v>0</v>
      </c>
      <c r="D251" s="226">
        <f t="shared" si="23"/>
        <v>0</v>
      </c>
      <c r="E251" s="214">
        <f t="shared" si="24"/>
        <v>1710.0015504</v>
      </c>
      <c r="F251" s="227">
        <f t="shared" si="24"/>
        <v>0</v>
      </c>
      <c r="G251" s="226">
        <f t="shared" si="25"/>
        <v>1710.0015504</v>
      </c>
      <c r="H251" s="228">
        <v>16</v>
      </c>
    </row>
    <row r="252" spans="1:8" x14ac:dyDescent="0.25">
      <c r="A252" s="226">
        <f t="shared" si="21"/>
        <v>1710.0015504</v>
      </c>
      <c r="B252" s="214">
        <f t="shared" si="22"/>
        <v>0</v>
      </c>
      <c r="C252" s="227">
        <f t="shared" si="22"/>
        <v>0</v>
      </c>
      <c r="D252" s="226">
        <f t="shared" si="23"/>
        <v>0</v>
      </c>
      <c r="E252" s="214">
        <f t="shared" si="24"/>
        <v>1710.0015504</v>
      </c>
      <c r="F252" s="227">
        <f t="shared" si="24"/>
        <v>0</v>
      </c>
      <c r="G252" s="226">
        <f t="shared" si="25"/>
        <v>1710.0015504</v>
      </c>
      <c r="H252" s="228">
        <v>15</v>
      </c>
    </row>
    <row r="253" spans="1:8" x14ac:dyDescent="0.25">
      <c r="A253" s="226">
        <f t="shared" si="21"/>
        <v>1710.0015504</v>
      </c>
      <c r="B253" s="214">
        <f t="shared" si="22"/>
        <v>0</v>
      </c>
      <c r="C253" s="227">
        <f t="shared" si="22"/>
        <v>0</v>
      </c>
      <c r="D253" s="226">
        <f t="shared" si="23"/>
        <v>0</v>
      </c>
      <c r="E253" s="214">
        <f t="shared" si="24"/>
        <v>1710.0015504</v>
      </c>
      <c r="F253" s="227">
        <f t="shared" si="24"/>
        <v>0</v>
      </c>
      <c r="G253" s="226">
        <f t="shared" si="25"/>
        <v>1710.0015504</v>
      </c>
      <c r="H253" s="228">
        <v>14</v>
      </c>
    </row>
    <row r="254" spans="1:8" x14ac:dyDescent="0.25">
      <c r="A254" s="226">
        <f t="shared" si="21"/>
        <v>1710.0015504</v>
      </c>
      <c r="B254" s="214">
        <f t="shared" si="22"/>
        <v>0</v>
      </c>
      <c r="C254" s="227">
        <f>C255*1.07</f>
        <v>0</v>
      </c>
      <c r="D254" s="226">
        <f t="shared" si="23"/>
        <v>0</v>
      </c>
      <c r="E254" s="214">
        <f t="shared" si="24"/>
        <v>1710.0015504</v>
      </c>
      <c r="F254" s="227">
        <f>F255*1.07</f>
        <v>0</v>
      </c>
      <c r="G254" s="226">
        <f t="shared" si="25"/>
        <v>1710.0015504</v>
      </c>
      <c r="H254" s="228">
        <v>13</v>
      </c>
    </row>
    <row r="255" spans="1:8" x14ac:dyDescent="0.25">
      <c r="A255" s="226">
        <f t="shared" si="21"/>
        <v>1710.0015504</v>
      </c>
      <c r="B255" s="214">
        <f t="shared" si="22"/>
        <v>0</v>
      </c>
      <c r="C255" s="227">
        <f t="shared" ref="C255:C264" si="26">C256</f>
        <v>0</v>
      </c>
      <c r="D255" s="226">
        <f t="shared" ref="D255:D264" si="27">D256+C255</f>
        <v>0</v>
      </c>
      <c r="E255" s="214">
        <f t="shared" si="24"/>
        <v>1710.0015504</v>
      </c>
      <c r="F255" s="227">
        <f t="shared" ref="F255:F265" si="28">F256</f>
        <v>0</v>
      </c>
      <c r="G255" s="226">
        <f t="shared" si="25"/>
        <v>1710.0015504</v>
      </c>
      <c r="H255" s="228">
        <v>12</v>
      </c>
    </row>
    <row r="256" spans="1:8" x14ac:dyDescent="0.25">
      <c r="A256" s="226">
        <f t="shared" si="21"/>
        <v>1710.0015504</v>
      </c>
      <c r="B256" s="214">
        <f t="shared" si="22"/>
        <v>0</v>
      </c>
      <c r="C256" s="227">
        <f t="shared" si="26"/>
        <v>0</v>
      </c>
      <c r="D256" s="226">
        <f t="shared" si="27"/>
        <v>0</v>
      </c>
      <c r="E256" s="214">
        <f t="shared" si="24"/>
        <v>1710.0015504</v>
      </c>
      <c r="F256" s="227">
        <f t="shared" si="28"/>
        <v>0</v>
      </c>
      <c r="G256" s="226">
        <f t="shared" si="25"/>
        <v>1710.0015504</v>
      </c>
      <c r="H256" s="228">
        <v>11</v>
      </c>
    </row>
    <row r="257" spans="1:8" x14ac:dyDescent="0.25">
      <c r="A257" s="226">
        <f t="shared" si="21"/>
        <v>1710.0015504</v>
      </c>
      <c r="B257" s="214">
        <f t="shared" si="22"/>
        <v>0</v>
      </c>
      <c r="C257" s="227">
        <f t="shared" si="26"/>
        <v>0</v>
      </c>
      <c r="D257" s="226">
        <f t="shared" si="27"/>
        <v>0</v>
      </c>
      <c r="E257" s="214">
        <f t="shared" si="24"/>
        <v>1710.0015504</v>
      </c>
      <c r="F257" s="227">
        <f t="shared" si="28"/>
        <v>0</v>
      </c>
      <c r="G257" s="226">
        <f t="shared" si="25"/>
        <v>1710.0015504</v>
      </c>
      <c r="H257" s="228">
        <v>10</v>
      </c>
    </row>
    <row r="258" spans="1:8" x14ac:dyDescent="0.25">
      <c r="A258" s="226">
        <f t="shared" si="21"/>
        <v>1710.0015504</v>
      </c>
      <c r="B258" s="214">
        <f t="shared" si="22"/>
        <v>0</v>
      </c>
      <c r="C258" s="227">
        <f t="shared" si="26"/>
        <v>0</v>
      </c>
      <c r="D258" s="226">
        <f t="shared" si="27"/>
        <v>0</v>
      </c>
      <c r="E258" s="214">
        <f t="shared" si="24"/>
        <v>1710.0015504</v>
      </c>
      <c r="F258" s="227">
        <f t="shared" si="28"/>
        <v>0</v>
      </c>
      <c r="G258" s="226">
        <f t="shared" si="25"/>
        <v>1710.0015504</v>
      </c>
      <c r="H258" s="228">
        <v>9</v>
      </c>
    </row>
    <row r="259" spans="1:8" x14ac:dyDescent="0.25">
      <c r="A259" s="226">
        <f t="shared" si="21"/>
        <v>1710.0015504</v>
      </c>
      <c r="B259" s="214">
        <f t="shared" si="22"/>
        <v>0</v>
      </c>
      <c r="C259" s="227">
        <f t="shared" si="26"/>
        <v>0</v>
      </c>
      <c r="D259" s="226">
        <f t="shared" si="27"/>
        <v>0</v>
      </c>
      <c r="E259" s="214">
        <f t="shared" si="24"/>
        <v>1710.0015504</v>
      </c>
      <c r="F259" s="227">
        <f t="shared" si="28"/>
        <v>0</v>
      </c>
      <c r="G259" s="226">
        <f t="shared" si="25"/>
        <v>1710.0015504</v>
      </c>
      <c r="H259" s="228">
        <v>8</v>
      </c>
    </row>
    <row r="260" spans="1:8" x14ac:dyDescent="0.25">
      <c r="A260" s="226">
        <f t="shared" si="21"/>
        <v>1710.0015504</v>
      </c>
      <c r="B260" s="214">
        <f t="shared" si="22"/>
        <v>0</v>
      </c>
      <c r="C260" s="227">
        <f t="shared" si="26"/>
        <v>0</v>
      </c>
      <c r="D260" s="226">
        <f t="shared" si="27"/>
        <v>0</v>
      </c>
      <c r="E260" s="214">
        <f t="shared" si="24"/>
        <v>1710.0015504</v>
      </c>
      <c r="F260" s="227">
        <f t="shared" si="28"/>
        <v>0</v>
      </c>
      <c r="G260" s="226">
        <f t="shared" si="25"/>
        <v>1710.0015504</v>
      </c>
      <c r="H260" s="228">
        <v>7</v>
      </c>
    </row>
    <row r="261" spans="1:8" x14ac:dyDescent="0.25">
      <c r="A261" s="226">
        <f t="shared" si="21"/>
        <v>1710.0015504</v>
      </c>
      <c r="B261" s="214">
        <f t="shared" si="22"/>
        <v>0</v>
      </c>
      <c r="C261" s="227">
        <f t="shared" si="26"/>
        <v>0</v>
      </c>
      <c r="D261" s="226">
        <f t="shared" si="27"/>
        <v>0</v>
      </c>
      <c r="E261" s="214">
        <f t="shared" si="24"/>
        <v>1710.0015504</v>
      </c>
      <c r="F261" s="227">
        <f t="shared" si="28"/>
        <v>0</v>
      </c>
      <c r="G261" s="226">
        <f t="shared" si="25"/>
        <v>1710.0015504</v>
      </c>
      <c r="H261" s="228">
        <v>6</v>
      </c>
    </row>
    <row r="262" spans="1:8" x14ac:dyDescent="0.25">
      <c r="A262" s="226">
        <f t="shared" si="21"/>
        <v>1710.0015504</v>
      </c>
      <c r="B262" s="214">
        <f t="shared" si="22"/>
        <v>0</v>
      </c>
      <c r="C262" s="227">
        <f t="shared" si="26"/>
        <v>0</v>
      </c>
      <c r="D262" s="226">
        <f t="shared" si="27"/>
        <v>0</v>
      </c>
      <c r="E262" s="214">
        <f t="shared" si="24"/>
        <v>1710.0015504</v>
      </c>
      <c r="F262" s="227">
        <f t="shared" si="28"/>
        <v>0</v>
      </c>
      <c r="G262" s="226">
        <f t="shared" si="25"/>
        <v>1710.0015504</v>
      </c>
      <c r="H262" s="228">
        <v>5</v>
      </c>
    </row>
    <row r="263" spans="1:8" x14ac:dyDescent="0.25">
      <c r="A263" s="226">
        <f t="shared" si="21"/>
        <v>1710.0015504</v>
      </c>
      <c r="B263" s="214">
        <f t="shared" si="22"/>
        <v>0</v>
      </c>
      <c r="C263" s="227">
        <f t="shared" si="26"/>
        <v>0</v>
      </c>
      <c r="D263" s="226">
        <f t="shared" si="27"/>
        <v>0</v>
      </c>
      <c r="E263" s="214">
        <f t="shared" si="24"/>
        <v>1710.0015504</v>
      </c>
      <c r="F263" s="227">
        <f t="shared" si="28"/>
        <v>0</v>
      </c>
      <c r="G263" s="226">
        <f t="shared" si="25"/>
        <v>1710.0015504</v>
      </c>
      <c r="H263" s="228">
        <v>4</v>
      </c>
    </row>
    <row r="264" spans="1:8" x14ac:dyDescent="0.25">
      <c r="A264" s="226">
        <f t="shared" si="21"/>
        <v>1710.0015504</v>
      </c>
      <c r="B264" s="214">
        <f t="shared" si="22"/>
        <v>0</v>
      </c>
      <c r="C264" s="227">
        <f t="shared" si="26"/>
        <v>0</v>
      </c>
      <c r="D264" s="226">
        <f t="shared" si="27"/>
        <v>0</v>
      </c>
      <c r="E264" s="214">
        <f t="shared" si="24"/>
        <v>1710.0015504</v>
      </c>
      <c r="F264" s="227">
        <f t="shared" si="28"/>
        <v>0</v>
      </c>
      <c r="G264" s="226">
        <f t="shared" si="25"/>
        <v>1710.0015504</v>
      </c>
      <c r="H264" s="228">
        <v>3</v>
      </c>
    </row>
    <row r="265" spans="1:8" x14ac:dyDescent="0.25">
      <c r="A265" s="226">
        <f t="shared" si="21"/>
        <v>1710.0015504</v>
      </c>
      <c r="B265" s="214">
        <f>B266</f>
        <v>0</v>
      </c>
      <c r="C265" s="227">
        <f>C266</f>
        <v>0</v>
      </c>
      <c r="D265" s="226">
        <f>D266+C265</f>
        <v>0</v>
      </c>
      <c r="E265" s="214">
        <f>E266</f>
        <v>1710.0015504</v>
      </c>
      <c r="F265" s="227">
        <f t="shared" si="28"/>
        <v>0</v>
      </c>
      <c r="G265" s="226">
        <f t="shared" si="25"/>
        <v>1710.0015504</v>
      </c>
      <c r="H265" s="228">
        <v>2</v>
      </c>
    </row>
    <row r="266" spans="1:8" x14ac:dyDescent="0.25">
      <c r="A266" s="226">
        <f t="shared" si="21"/>
        <v>1710.0015504</v>
      </c>
      <c r="B266" s="214">
        <f>B3</f>
        <v>0</v>
      </c>
      <c r="C266" s="227">
        <f>SUM(B4:B10)/12</f>
        <v>0</v>
      </c>
      <c r="D266" s="226">
        <f>B266+C266</f>
        <v>0</v>
      </c>
      <c r="E266" s="214">
        <f>B15</f>
        <v>1710.0015504</v>
      </c>
      <c r="F266" s="227">
        <f>SUM(B16:B22)/12</f>
        <v>0</v>
      </c>
      <c r="G266" s="226">
        <f>E266+F266</f>
        <v>1710.0015504</v>
      </c>
      <c r="H266" s="228">
        <v>1</v>
      </c>
    </row>
  </sheetData>
  <sheetProtection selectLockedCells="1" selectUnlockedCells="1"/>
  <mergeCells count="5">
    <mergeCell ref="A25:H25"/>
    <mergeCell ref="A13:A14"/>
    <mergeCell ref="A1:A2"/>
    <mergeCell ref="B1:K1"/>
    <mergeCell ref="B13:K13"/>
  </mergeCells>
  <printOptions horizontalCentered="1"/>
  <pageMargins left="0.5" right="0.5"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40"/>
  <sheetViews>
    <sheetView zoomScaleNormal="100" workbookViewId="0">
      <pane ySplit="3" topLeftCell="A4" activePane="bottomLeft" state="frozen"/>
      <selection pane="bottomLeft" sqref="A1:A3"/>
    </sheetView>
  </sheetViews>
  <sheetFormatPr defaultColWidth="8.81640625" defaultRowHeight="12.5" x14ac:dyDescent="0.25"/>
  <cols>
    <col min="1" max="1" width="6.1796875" style="2" bestFit="1" customWidth="1"/>
    <col min="2" max="2" width="4.7265625" style="2" bestFit="1" customWidth="1"/>
    <col min="3" max="3" width="8.1796875" style="2" bestFit="1" customWidth="1"/>
    <col min="4" max="4" width="6" style="2" bestFit="1" customWidth="1"/>
    <col min="5" max="5" width="7.7265625" style="2" bestFit="1" customWidth="1"/>
    <col min="6" max="6" width="11.453125" style="2" bestFit="1" customWidth="1"/>
    <col min="7" max="7" width="9.81640625" style="2" bestFit="1" customWidth="1"/>
    <col min="8" max="8" width="10.1796875" style="4" bestFit="1" customWidth="1"/>
    <col min="9" max="9" width="11.1796875" style="2" bestFit="1" customWidth="1"/>
    <col min="10" max="10" width="8.54296875" style="4" bestFit="1" customWidth="1"/>
    <col min="11" max="11" width="5.7265625" style="2" customWidth="1"/>
    <col min="12" max="12" width="13.453125" style="2" bestFit="1" customWidth="1"/>
    <col min="13" max="13" width="6.7265625" style="2" bestFit="1" customWidth="1"/>
    <col min="14" max="14" width="8.26953125" style="2" bestFit="1" customWidth="1"/>
    <col min="15" max="15" width="11.7265625" style="2" bestFit="1" customWidth="1"/>
    <col min="16" max="16" width="10.7265625" style="4" bestFit="1" customWidth="1"/>
    <col min="17" max="17" width="7.54296875" style="4" bestFit="1" customWidth="1"/>
    <col min="18" max="18" width="8.54296875" style="4" bestFit="1" customWidth="1"/>
    <col min="19" max="21" width="8.81640625" style="3"/>
    <col min="22" max="22" width="14.81640625" style="3" bestFit="1" customWidth="1"/>
    <col min="23" max="16384" width="8.81640625" style="3"/>
  </cols>
  <sheetData>
    <row r="1" spans="1:18" s="1" customFormat="1" ht="13" x14ac:dyDescent="0.3">
      <c r="A1" s="391" t="s">
        <v>214</v>
      </c>
      <c r="B1" s="390" t="s">
        <v>224</v>
      </c>
      <c r="C1" s="390"/>
      <c r="D1" s="390"/>
      <c r="E1" s="390"/>
      <c r="F1" s="390"/>
      <c r="G1" s="390"/>
      <c r="H1" s="390"/>
      <c r="I1" s="390"/>
      <c r="J1" s="390"/>
      <c r="K1" s="389" t="s">
        <v>225</v>
      </c>
      <c r="L1" s="389"/>
      <c r="M1" s="389"/>
      <c r="N1" s="389"/>
      <c r="O1" s="389"/>
      <c r="P1" s="389"/>
      <c r="Q1" s="389"/>
      <c r="R1" s="389"/>
    </row>
    <row r="2" spans="1:18" s="1" customFormat="1" ht="13" x14ac:dyDescent="0.3">
      <c r="A2" s="391"/>
      <c r="B2" s="394" t="s">
        <v>226</v>
      </c>
      <c r="C2" s="394" t="s">
        <v>215</v>
      </c>
      <c r="D2" s="157" t="s">
        <v>227</v>
      </c>
      <c r="E2" s="157" t="s">
        <v>228</v>
      </c>
      <c r="F2" s="157" t="s">
        <v>229</v>
      </c>
      <c r="G2" s="157" t="s">
        <v>109</v>
      </c>
      <c r="H2" s="157" t="s">
        <v>232</v>
      </c>
      <c r="I2" s="157" t="s">
        <v>233</v>
      </c>
      <c r="J2" s="157" t="s">
        <v>234</v>
      </c>
      <c r="K2" s="395" t="s">
        <v>226</v>
      </c>
      <c r="L2" s="395" t="s">
        <v>215</v>
      </c>
      <c r="M2" s="156" t="s">
        <v>227</v>
      </c>
      <c r="N2" s="156" t="s">
        <v>236</v>
      </c>
      <c r="O2" s="156" t="s">
        <v>229</v>
      </c>
      <c r="P2" s="156" t="s">
        <v>237</v>
      </c>
      <c r="Q2" s="156" t="s">
        <v>223</v>
      </c>
      <c r="R2" s="156" t="s">
        <v>234</v>
      </c>
    </row>
    <row r="3" spans="1:18" s="1" customFormat="1" ht="13" x14ac:dyDescent="0.3">
      <c r="A3" s="391"/>
      <c r="B3" s="394"/>
      <c r="C3" s="394"/>
      <c r="D3" s="149" t="s">
        <v>230</v>
      </c>
      <c r="E3" s="149" t="s">
        <v>231</v>
      </c>
      <c r="F3" s="149" t="s">
        <v>216</v>
      </c>
      <c r="G3" s="150" t="s">
        <v>235</v>
      </c>
      <c r="H3" s="150" t="s">
        <v>235</v>
      </c>
      <c r="I3" s="150" t="s">
        <v>235</v>
      </c>
      <c r="J3" s="150" t="s">
        <v>235</v>
      </c>
      <c r="K3" s="395"/>
      <c r="L3" s="395"/>
      <c r="M3" s="151" t="s">
        <v>216</v>
      </c>
      <c r="N3" s="151" t="s">
        <v>216</v>
      </c>
      <c r="O3" s="151" t="s">
        <v>216</v>
      </c>
      <c r="P3" s="151" t="s">
        <v>235</v>
      </c>
      <c r="Q3" s="151" t="s">
        <v>235</v>
      </c>
      <c r="R3" s="151" t="s">
        <v>235</v>
      </c>
    </row>
    <row r="4" spans="1:18" s="5" customFormat="1" x14ac:dyDescent="0.25">
      <c r="A4" s="154">
        <v>0</v>
      </c>
      <c r="B4" s="146"/>
      <c r="C4" s="146"/>
      <c r="D4" s="146"/>
      <c r="E4" s="145"/>
      <c r="F4" s="145"/>
      <c r="G4" s="146"/>
      <c r="H4" s="147"/>
      <c r="I4" s="146"/>
      <c r="J4" s="146"/>
      <c r="K4" s="146"/>
      <c r="L4" s="146"/>
      <c r="M4" s="145"/>
      <c r="N4" s="145"/>
      <c r="O4" s="145"/>
      <c r="P4" s="147"/>
      <c r="Q4" s="147"/>
      <c r="R4" s="146"/>
    </row>
    <row r="5" spans="1:18" x14ac:dyDescent="0.25">
      <c r="A5" s="154">
        <v>70</v>
      </c>
      <c r="B5" s="146">
        <v>1</v>
      </c>
      <c r="C5" s="146" t="s">
        <v>65</v>
      </c>
      <c r="D5" s="153">
        <v>6.5</v>
      </c>
      <c r="E5" s="145">
        <v>800</v>
      </c>
      <c r="F5" s="145">
        <v>34</v>
      </c>
      <c r="G5" s="147">
        <v>2744.2197200000001</v>
      </c>
      <c r="H5" s="147">
        <v>0</v>
      </c>
      <c r="I5" s="146">
        <v>248</v>
      </c>
      <c r="J5" s="147">
        <f>SUM(G5:I5)</f>
        <v>2992.2197200000001</v>
      </c>
      <c r="K5" s="146">
        <v>1</v>
      </c>
      <c r="L5" s="152" t="s">
        <v>217</v>
      </c>
      <c r="M5" s="145">
        <v>117</v>
      </c>
      <c r="N5" s="145">
        <v>181</v>
      </c>
      <c r="O5" s="145">
        <v>29</v>
      </c>
      <c r="P5" s="233">
        <v>20738</v>
      </c>
      <c r="Q5" s="147">
        <v>1940.05</v>
      </c>
      <c r="R5" s="147">
        <f t="shared" ref="R5:R36" si="0">SUM(P5:Q5)</f>
        <v>22678.05</v>
      </c>
    </row>
    <row r="6" spans="1:18" x14ac:dyDescent="0.25">
      <c r="A6" s="154">
        <v>86</v>
      </c>
      <c r="B6" s="146">
        <v>1</v>
      </c>
      <c r="C6" s="146" t="s">
        <v>66</v>
      </c>
      <c r="D6" s="153">
        <v>9</v>
      </c>
      <c r="E6" s="145">
        <v>1200</v>
      </c>
      <c r="F6" s="145">
        <v>44</v>
      </c>
      <c r="G6" s="147">
        <v>3365.2902800000002</v>
      </c>
      <c r="H6" s="147">
        <v>0</v>
      </c>
      <c r="I6" s="146">
        <v>248</v>
      </c>
      <c r="J6" s="147">
        <f t="shared" ref="J6:J36" si="1">SUM(G6:I6)</f>
        <v>3613.2902800000002</v>
      </c>
      <c r="K6" s="146">
        <v>1</v>
      </c>
      <c r="L6" s="152" t="s">
        <v>217</v>
      </c>
      <c r="M6" s="145">
        <v>117</v>
      </c>
      <c r="N6" s="145">
        <v>181</v>
      </c>
      <c r="O6" s="145">
        <v>29</v>
      </c>
      <c r="P6" s="233">
        <v>20738</v>
      </c>
      <c r="Q6" s="147">
        <v>1940.05</v>
      </c>
      <c r="R6" s="147">
        <f t="shared" si="0"/>
        <v>22678.05</v>
      </c>
    </row>
    <row r="7" spans="1:18" x14ac:dyDescent="0.25">
      <c r="A7" s="154">
        <v>116</v>
      </c>
      <c r="B7" s="146">
        <v>1</v>
      </c>
      <c r="C7" s="146" t="s">
        <v>67</v>
      </c>
      <c r="D7" s="153">
        <v>11.8</v>
      </c>
      <c r="E7" s="145">
        <v>1900</v>
      </c>
      <c r="F7" s="145">
        <v>47</v>
      </c>
      <c r="G7" s="147">
        <v>4419.58572</v>
      </c>
      <c r="H7" s="147">
        <v>0</v>
      </c>
      <c r="I7" s="146">
        <v>248</v>
      </c>
      <c r="J7" s="147">
        <f t="shared" si="1"/>
        <v>4667.58572</v>
      </c>
      <c r="K7" s="146">
        <v>1</v>
      </c>
      <c r="L7" s="152" t="s">
        <v>217</v>
      </c>
      <c r="M7" s="145">
        <v>117</v>
      </c>
      <c r="N7" s="145">
        <v>181</v>
      </c>
      <c r="O7" s="145">
        <v>29</v>
      </c>
      <c r="P7" s="233">
        <v>20738</v>
      </c>
      <c r="Q7" s="147">
        <v>1940.05</v>
      </c>
      <c r="R7" s="147">
        <f t="shared" si="0"/>
        <v>22678.05</v>
      </c>
    </row>
    <row r="8" spans="1:18" x14ac:dyDescent="0.25">
      <c r="A8" s="154">
        <v>146</v>
      </c>
      <c r="B8" s="146">
        <v>1</v>
      </c>
      <c r="C8" s="146" t="s">
        <v>68</v>
      </c>
      <c r="D8" s="153">
        <v>12.6</v>
      </c>
      <c r="E8" s="145">
        <v>1500</v>
      </c>
      <c r="F8" s="145">
        <v>40</v>
      </c>
      <c r="G8" s="147">
        <v>7811.49</v>
      </c>
      <c r="H8" s="147">
        <v>2646.4240000000004</v>
      </c>
      <c r="I8" s="146">
        <v>248</v>
      </c>
      <c r="J8" s="147">
        <f t="shared" si="1"/>
        <v>10705.914000000001</v>
      </c>
      <c r="K8" s="146">
        <v>1</v>
      </c>
      <c r="L8" s="152" t="s">
        <v>218</v>
      </c>
      <c r="M8" s="145">
        <v>146</v>
      </c>
      <c r="N8" s="145">
        <v>181</v>
      </c>
      <c r="O8" s="145">
        <v>29</v>
      </c>
      <c r="P8" s="233">
        <v>24320</v>
      </c>
      <c r="Q8" s="147">
        <v>2090.06</v>
      </c>
      <c r="R8" s="147">
        <f t="shared" si="0"/>
        <v>26410.06</v>
      </c>
    </row>
    <row r="9" spans="1:18" x14ac:dyDescent="0.25">
      <c r="A9" s="154">
        <v>161</v>
      </c>
      <c r="B9" s="146">
        <v>1</v>
      </c>
      <c r="C9" s="146" t="s">
        <v>69</v>
      </c>
      <c r="D9" s="153">
        <v>14</v>
      </c>
      <c r="E9" s="145">
        <v>1600</v>
      </c>
      <c r="F9" s="145">
        <v>41</v>
      </c>
      <c r="G9" s="147">
        <v>8206.9599999999991</v>
      </c>
      <c r="H9" s="147">
        <v>2646.4240000000004</v>
      </c>
      <c r="I9" s="146">
        <v>248</v>
      </c>
      <c r="J9" s="147">
        <f t="shared" si="1"/>
        <v>11101.384</v>
      </c>
      <c r="K9" s="146">
        <v>1</v>
      </c>
      <c r="L9" s="152" t="s">
        <v>218</v>
      </c>
      <c r="M9" s="145">
        <v>146</v>
      </c>
      <c r="N9" s="145">
        <v>181</v>
      </c>
      <c r="O9" s="145">
        <v>29</v>
      </c>
      <c r="P9" s="233">
        <v>24320</v>
      </c>
      <c r="Q9" s="147">
        <v>2090.06</v>
      </c>
      <c r="R9" s="147">
        <f t="shared" si="0"/>
        <v>26410.06</v>
      </c>
    </row>
    <row r="10" spans="1:18" x14ac:dyDescent="0.25">
      <c r="A10" s="154">
        <v>176</v>
      </c>
      <c r="B10" s="146">
        <v>1</v>
      </c>
      <c r="C10" s="146" t="s">
        <v>70</v>
      </c>
      <c r="D10" s="153">
        <v>15.4</v>
      </c>
      <c r="E10" s="145">
        <v>1800</v>
      </c>
      <c r="F10" s="145">
        <v>42</v>
      </c>
      <c r="G10" s="147">
        <v>7926.73</v>
      </c>
      <c r="H10" s="147">
        <v>2646.4240000000004</v>
      </c>
      <c r="I10" s="146">
        <v>248</v>
      </c>
      <c r="J10" s="147">
        <f t="shared" si="1"/>
        <v>10821.154</v>
      </c>
      <c r="K10" s="146">
        <v>1</v>
      </c>
      <c r="L10" s="152" t="s">
        <v>219</v>
      </c>
      <c r="M10" s="145">
        <v>176</v>
      </c>
      <c r="N10" s="145">
        <v>181</v>
      </c>
      <c r="O10" s="145">
        <v>29</v>
      </c>
      <c r="P10" s="233">
        <v>27864</v>
      </c>
      <c r="Q10" s="147">
        <v>2090.06</v>
      </c>
      <c r="R10" s="147">
        <f t="shared" si="0"/>
        <v>29954.06</v>
      </c>
    </row>
    <row r="11" spans="1:18" x14ac:dyDescent="0.25">
      <c r="A11" s="154">
        <v>193</v>
      </c>
      <c r="B11" s="146">
        <v>1</v>
      </c>
      <c r="C11" s="146" t="s">
        <v>71</v>
      </c>
      <c r="D11" s="153">
        <v>17.100000000000001</v>
      </c>
      <c r="E11" s="145">
        <v>2300</v>
      </c>
      <c r="F11" s="145">
        <v>45</v>
      </c>
      <c r="G11" s="147">
        <v>8190.14</v>
      </c>
      <c r="H11" s="147">
        <v>2646.4240000000004</v>
      </c>
      <c r="I11" s="146">
        <v>248</v>
      </c>
      <c r="J11" s="147">
        <f t="shared" si="1"/>
        <v>11084.564</v>
      </c>
      <c r="K11" s="146">
        <v>1</v>
      </c>
      <c r="L11" s="152" t="s">
        <v>219</v>
      </c>
      <c r="M11" s="145">
        <v>176</v>
      </c>
      <c r="N11" s="145">
        <v>181</v>
      </c>
      <c r="O11" s="145">
        <v>29</v>
      </c>
      <c r="P11" s="233">
        <v>27864</v>
      </c>
      <c r="Q11" s="147">
        <v>2090.06</v>
      </c>
      <c r="R11" s="147">
        <f t="shared" si="0"/>
        <v>29954.06</v>
      </c>
    </row>
    <row r="12" spans="1:18" x14ac:dyDescent="0.25">
      <c r="A12" s="154">
        <v>221</v>
      </c>
      <c r="B12" s="146">
        <v>1</v>
      </c>
      <c r="C12" s="146" t="s">
        <v>72</v>
      </c>
      <c r="D12" s="153">
        <v>20.399999999999999</v>
      </c>
      <c r="E12" s="145">
        <v>2700</v>
      </c>
      <c r="F12" s="145">
        <v>63</v>
      </c>
      <c r="G12" s="147">
        <v>9029.2000000000007</v>
      </c>
      <c r="H12" s="147">
        <v>2646.4240000000004</v>
      </c>
      <c r="I12" s="146">
        <v>248</v>
      </c>
      <c r="J12" s="147">
        <f t="shared" si="1"/>
        <v>11923.624000000002</v>
      </c>
      <c r="K12" s="146">
        <v>1</v>
      </c>
      <c r="L12" s="152" t="s">
        <v>220</v>
      </c>
      <c r="M12" s="145">
        <v>205</v>
      </c>
      <c r="N12" s="145">
        <v>181</v>
      </c>
      <c r="O12" s="145">
        <v>29</v>
      </c>
      <c r="P12" s="233">
        <v>32569</v>
      </c>
      <c r="Q12" s="147">
        <v>2090.06</v>
      </c>
      <c r="R12" s="147">
        <f t="shared" si="0"/>
        <v>34659.06</v>
      </c>
    </row>
    <row r="13" spans="1:18" x14ac:dyDescent="0.25">
      <c r="A13" s="154">
        <v>251</v>
      </c>
      <c r="B13" s="146">
        <v>1</v>
      </c>
      <c r="C13" s="146" t="s">
        <v>73</v>
      </c>
      <c r="D13" s="153">
        <v>23.9</v>
      </c>
      <c r="E13" s="145">
        <v>3200</v>
      </c>
      <c r="F13" s="145">
        <v>69</v>
      </c>
      <c r="G13" s="147">
        <v>10769.5</v>
      </c>
      <c r="H13" s="147">
        <v>3592.3360000000007</v>
      </c>
      <c r="I13" s="146">
        <v>248</v>
      </c>
      <c r="J13" s="147">
        <f t="shared" si="1"/>
        <v>14609.836000000001</v>
      </c>
      <c r="K13" s="146">
        <v>1</v>
      </c>
      <c r="L13" s="152" t="s">
        <v>221</v>
      </c>
      <c r="M13" s="145">
        <v>234</v>
      </c>
      <c r="N13" s="145">
        <v>181</v>
      </c>
      <c r="O13" s="145">
        <v>29</v>
      </c>
      <c r="P13" s="233">
        <v>39203</v>
      </c>
      <c r="Q13" s="147">
        <v>2258.7199999999998</v>
      </c>
      <c r="R13" s="147">
        <f t="shared" si="0"/>
        <v>41461.72</v>
      </c>
    </row>
    <row r="14" spans="1:18" x14ac:dyDescent="0.25">
      <c r="A14" s="154">
        <v>313</v>
      </c>
      <c r="B14" s="146">
        <v>1</v>
      </c>
      <c r="C14" s="146" t="s">
        <v>75</v>
      </c>
      <c r="D14" s="153">
        <v>27.7</v>
      </c>
      <c r="E14" s="145">
        <v>4300</v>
      </c>
      <c r="F14" s="145">
        <v>70</v>
      </c>
      <c r="G14" s="147">
        <v>11260.29</v>
      </c>
      <c r="H14" s="147">
        <v>3592.3360000000007</v>
      </c>
      <c r="I14" s="146">
        <v>248</v>
      </c>
      <c r="J14" s="147">
        <f t="shared" si="1"/>
        <v>15100.626000000002</v>
      </c>
      <c r="K14" s="146">
        <v>1</v>
      </c>
      <c r="L14" s="152" t="s">
        <v>222</v>
      </c>
      <c r="M14" s="145">
        <v>294</v>
      </c>
      <c r="N14" s="145">
        <v>181</v>
      </c>
      <c r="O14" s="145">
        <v>29</v>
      </c>
      <c r="P14" s="233">
        <v>41509</v>
      </c>
      <c r="Q14" s="147">
        <v>2258.7199999999998</v>
      </c>
      <c r="R14" s="147">
        <f t="shared" si="0"/>
        <v>43767.72</v>
      </c>
    </row>
    <row r="15" spans="1:18" x14ac:dyDescent="0.25">
      <c r="A15" s="154">
        <v>376</v>
      </c>
      <c r="B15" s="146">
        <v>1</v>
      </c>
      <c r="C15" s="146" t="s">
        <v>76</v>
      </c>
      <c r="D15" s="153">
        <v>31.7</v>
      </c>
      <c r="E15" s="145">
        <v>4900</v>
      </c>
      <c r="F15" s="145">
        <v>75</v>
      </c>
      <c r="G15" s="147">
        <v>12689.32</v>
      </c>
      <c r="H15" s="147">
        <v>3592.3360000000007</v>
      </c>
      <c r="I15" s="146">
        <v>248</v>
      </c>
      <c r="J15" s="147">
        <f t="shared" si="1"/>
        <v>16529.656000000003</v>
      </c>
      <c r="K15" s="146">
        <v>1</v>
      </c>
      <c r="L15" s="152" t="s">
        <v>74</v>
      </c>
      <c r="M15" s="145">
        <v>381</v>
      </c>
      <c r="N15" s="145">
        <v>159</v>
      </c>
      <c r="O15" s="145">
        <v>27</v>
      </c>
      <c r="P15" s="233">
        <v>53395</v>
      </c>
      <c r="Q15" s="147">
        <v>2476.0700000000002</v>
      </c>
      <c r="R15" s="147">
        <f t="shared" si="0"/>
        <v>55871.07</v>
      </c>
    </row>
    <row r="16" spans="1:18" x14ac:dyDescent="0.25">
      <c r="A16" s="154">
        <v>431</v>
      </c>
      <c r="B16" s="146">
        <v>1</v>
      </c>
      <c r="C16" s="146" t="s">
        <v>77</v>
      </c>
      <c r="D16" s="153">
        <v>35.700000000000003</v>
      </c>
      <c r="E16" s="145">
        <v>5500</v>
      </c>
      <c r="F16" s="145">
        <v>82</v>
      </c>
      <c r="G16" s="147">
        <v>12960.65</v>
      </c>
      <c r="H16" s="147">
        <v>3592.3360000000007</v>
      </c>
      <c r="I16" s="146">
        <v>248</v>
      </c>
      <c r="J16" s="147">
        <f t="shared" si="1"/>
        <v>16800.986000000001</v>
      </c>
      <c r="K16" s="146">
        <v>1</v>
      </c>
      <c r="L16" s="152" t="s">
        <v>74</v>
      </c>
      <c r="M16" s="145">
        <v>381</v>
      </c>
      <c r="N16" s="145">
        <v>159</v>
      </c>
      <c r="O16" s="145">
        <v>27</v>
      </c>
      <c r="P16" s="233">
        <v>53395</v>
      </c>
      <c r="Q16" s="147">
        <v>2476.0700000000002</v>
      </c>
      <c r="R16" s="147">
        <f t="shared" si="0"/>
        <v>55871.07</v>
      </c>
    </row>
    <row r="17" spans="1:18" x14ac:dyDescent="0.25">
      <c r="A17" s="154">
        <v>476</v>
      </c>
      <c r="B17" s="146">
        <v>2</v>
      </c>
      <c r="C17" s="146" t="s">
        <v>72</v>
      </c>
      <c r="D17" s="153">
        <v>40.799999999999997</v>
      </c>
      <c r="E17" s="145">
        <v>5400</v>
      </c>
      <c r="F17" s="145">
        <v>105</v>
      </c>
      <c r="G17" s="147">
        <v>18058.400000000001</v>
      </c>
      <c r="H17" s="147">
        <v>6072.4400000000005</v>
      </c>
      <c r="I17" s="146">
        <v>248</v>
      </c>
      <c r="J17" s="147">
        <f t="shared" si="1"/>
        <v>24378.840000000004</v>
      </c>
      <c r="K17" s="146">
        <v>1</v>
      </c>
      <c r="L17" s="152" t="s">
        <v>74</v>
      </c>
      <c r="M17" s="145">
        <v>381</v>
      </c>
      <c r="N17" s="145">
        <v>159</v>
      </c>
      <c r="O17" s="145">
        <v>27</v>
      </c>
      <c r="P17" s="233">
        <v>53395</v>
      </c>
      <c r="Q17" s="147">
        <v>2476.0700000000002</v>
      </c>
      <c r="R17" s="147">
        <f t="shared" si="0"/>
        <v>55871.07</v>
      </c>
    </row>
    <row r="18" spans="1:18" x14ac:dyDescent="0.25">
      <c r="A18" s="154">
        <v>516</v>
      </c>
      <c r="B18" s="146">
        <v>2</v>
      </c>
      <c r="C18" s="146" t="s">
        <v>78</v>
      </c>
      <c r="D18" s="153">
        <v>47.4</v>
      </c>
      <c r="E18" s="145">
        <v>7200</v>
      </c>
      <c r="F18" s="145">
        <v>110</v>
      </c>
      <c r="G18" s="147">
        <v>20636.099999999999</v>
      </c>
      <c r="H18" s="147">
        <v>6072.4400000000005</v>
      </c>
      <c r="I18" s="146">
        <v>248</v>
      </c>
      <c r="J18" s="147">
        <f t="shared" si="1"/>
        <v>26956.54</v>
      </c>
      <c r="K18" s="146">
        <v>1</v>
      </c>
      <c r="L18" s="152" t="s">
        <v>79</v>
      </c>
      <c r="M18" s="145">
        <v>572</v>
      </c>
      <c r="N18" s="145">
        <v>250</v>
      </c>
      <c r="O18" s="145">
        <v>33</v>
      </c>
      <c r="P18" s="233">
        <v>72869</v>
      </c>
      <c r="Q18" s="147">
        <v>3411.61</v>
      </c>
      <c r="R18" s="147">
        <f t="shared" si="0"/>
        <v>76280.61</v>
      </c>
    </row>
    <row r="19" spans="1:18" x14ac:dyDescent="0.25">
      <c r="A19" s="154">
        <v>533</v>
      </c>
      <c r="B19" s="146">
        <v>2</v>
      </c>
      <c r="C19" s="146" t="s">
        <v>73</v>
      </c>
      <c r="D19" s="153">
        <v>47.8</v>
      </c>
      <c r="E19" s="145">
        <v>6400</v>
      </c>
      <c r="F19" s="145">
        <v>116</v>
      </c>
      <c r="G19" s="147">
        <v>21539</v>
      </c>
      <c r="H19" s="147">
        <v>6072.4400000000005</v>
      </c>
      <c r="I19" s="146">
        <v>248</v>
      </c>
      <c r="J19" s="147">
        <f t="shared" si="1"/>
        <v>27859.440000000002</v>
      </c>
      <c r="K19" s="146">
        <v>1</v>
      </c>
      <c r="L19" s="152" t="s">
        <v>79</v>
      </c>
      <c r="M19" s="145">
        <v>572</v>
      </c>
      <c r="N19" s="145">
        <v>250</v>
      </c>
      <c r="O19" s="145">
        <v>33</v>
      </c>
      <c r="P19" s="233">
        <v>72869</v>
      </c>
      <c r="Q19" s="147">
        <v>3411.61</v>
      </c>
      <c r="R19" s="147">
        <f t="shared" si="0"/>
        <v>76280.61</v>
      </c>
    </row>
    <row r="20" spans="1:18" x14ac:dyDescent="0.25">
      <c r="A20" s="155">
        <v>590</v>
      </c>
      <c r="B20" s="146">
        <v>2</v>
      </c>
      <c r="C20" s="146" t="s">
        <v>80</v>
      </c>
      <c r="D20" s="153">
        <v>54.8</v>
      </c>
      <c r="E20" s="145">
        <v>7400</v>
      </c>
      <c r="F20" s="145">
        <v>125</v>
      </c>
      <c r="G20" s="147">
        <v>23629.9</v>
      </c>
      <c r="H20" s="147">
        <v>6072.4400000000005</v>
      </c>
      <c r="I20" s="146">
        <v>248</v>
      </c>
      <c r="J20" s="147">
        <f t="shared" si="1"/>
        <v>29950.340000000004</v>
      </c>
      <c r="K20" s="146">
        <v>1</v>
      </c>
      <c r="L20" s="152" t="s">
        <v>79</v>
      </c>
      <c r="M20" s="145">
        <v>572</v>
      </c>
      <c r="N20" s="145">
        <v>250</v>
      </c>
      <c r="O20" s="145">
        <v>33</v>
      </c>
      <c r="P20" s="233">
        <v>72869</v>
      </c>
      <c r="Q20" s="147">
        <v>3411.61</v>
      </c>
      <c r="R20" s="147">
        <f t="shared" si="0"/>
        <v>76280.61</v>
      </c>
    </row>
    <row r="21" spans="1:18" x14ac:dyDescent="0.25">
      <c r="A21" s="155">
        <v>685</v>
      </c>
      <c r="B21" s="146">
        <v>2</v>
      </c>
      <c r="C21" s="146" t="s">
        <v>75</v>
      </c>
      <c r="D21" s="153">
        <v>55.4</v>
      </c>
      <c r="E21" s="145">
        <v>8600</v>
      </c>
      <c r="F21" s="145">
        <v>128</v>
      </c>
      <c r="G21" s="147">
        <v>22520.58</v>
      </c>
      <c r="H21" s="147">
        <v>6072.4400000000005</v>
      </c>
      <c r="I21" s="146">
        <v>248</v>
      </c>
      <c r="J21" s="147">
        <f t="shared" si="1"/>
        <v>28841.020000000004</v>
      </c>
      <c r="K21" s="146">
        <v>1</v>
      </c>
      <c r="L21" s="152" t="s">
        <v>79</v>
      </c>
      <c r="M21" s="145">
        <v>572</v>
      </c>
      <c r="N21" s="145">
        <v>250</v>
      </c>
      <c r="O21" s="145">
        <v>33</v>
      </c>
      <c r="P21" s="233">
        <v>72869</v>
      </c>
      <c r="Q21" s="147">
        <v>3411.61</v>
      </c>
      <c r="R21" s="147">
        <f t="shared" si="0"/>
        <v>76280.61</v>
      </c>
    </row>
    <row r="22" spans="1:18" x14ac:dyDescent="0.25">
      <c r="A22" s="155">
        <v>693</v>
      </c>
      <c r="B22" s="146">
        <v>2</v>
      </c>
      <c r="C22" s="146" t="s">
        <v>76</v>
      </c>
      <c r="D22" s="153">
        <v>63.4</v>
      </c>
      <c r="E22" s="145">
        <v>9800</v>
      </c>
      <c r="F22" s="145">
        <v>138</v>
      </c>
      <c r="G22" s="147">
        <v>25378.639999999999</v>
      </c>
      <c r="H22" s="147">
        <v>6072.4400000000005</v>
      </c>
      <c r="I22" s="146">
        <v>248</v>
      </c>
      <c r="J22" s="147">
        <f t="shared" si="1"/>
        <v>31699.08</v>
      </c>
      <c r="K22" s="146">
        <v>1</v>
      </c>
      <c r="L22" s="152" t="s">
        <v>79</v>
      </c>
      <c r="M22" s="145">
        <v>572</v>
      </c>
      <c r="N22" s="145">
        <v>250</v>
      </c>
      <c r="O22" s="145">
        <v>33</v>
      </c>
      <c r="P22" s="233">
        <v>72869</v>
      </c>
      <c r="Q22" s="147">
        <v>3411.61</v>
      </c>
      <c r="R22" s="147">
        <f t="shared" si="0"/>
        <v>76280.61</v>
      </c>
    </row>
    <row r="23" spans="1:18" x14ac:dyDescent="0.25">
      <c r="A23" s="154">
        <v>802</v>
      </c>
      <c r="B23" s="146">
        <v>4</v>
      </c>
      <c r="C23" s="146" t="s">
        <v>71</v>
      </c>
      <c r="D23" s="153">
        <v>68.400000000000006</v>
      </c>
      <c r="E23" s="145">
        <v>9200</v>
      </c>
      <c r="F23" s="145">
        <v>102</v>
      </c>
      <c r="G23" s="147">
        <v>32760.560000000001</v>
      </c>
      <c r="H23" s="147">
        <v>12285.438</v>
      </c>
      <c r="I23" s="146">
        <v>496</v>
      </c>
      <c r="J23" s="147">
        <f t="shared" si="1"/>
        <v>45541.998</v>
      </c>
      <c r="K23" s="146">
        <v>1</v>
      </c>
      <c r="L23" s="152" t="s">
        <v>81</v>
      </c>
      <c r="M23" s="145">
        <v>812</v>
      </c>
      <c r="N23" s="145">
        <v>441</v>
      </c>
      <c r="O23" s="145">
        <v>44</v>
      </c>
      <c r="P23" s="233">
        <v>99057</v>
      </c>
      <c r="Q23" s="147">
        <v>3411.61</v>
      </c>
      <c r="R23" s="147">
        <f t="shared" si="0"/>
        <v>102468.61</v>
      </c>
    </row>
    <row r="24" spans="1:18" x14ac:dyDescent="0.25">
      <c r="A24" s="154">
        <v>856</v>
      </c>
      <c r="B24" s="146">
        <v>4</v>
      </c>
      <c r="C24" s="146" t="s">
        <v>72</v>
      </c>
      <c r="D24" s="153">
        <v>81.599999999999994</v>
      </c>
      <c r="E24" s="145">
        <v>10800</v>
      </c>
      <c r="F24" s="145">
        <v>112</v>
      </c>
      <c r="G24" s="147">
        <v>36116.800000000003</v>
      </c>
      <c r="H24" s="147">
        <v>12285.438</v>
      </c>
      <c r="I24" s="146">
        <v>496</v>
      </c>
      <c r="J24" s="147">
        <f t="shared" si="1"/>
        <v>48898.238000000005</v>
      </c>
      <c r="K24" s="146">
        <v>1</v>
      </c>
      <c r="L24" s="152" t="s">
        <v>81</v>
      </c>
      <c r="M24" s="145">
        <v>812</v>
      </c>
      <c r="N24" s="145">
        <v>441</v>
      </c>
      <c r="O24" s="145">
        <v>44</v>
      </c>
      <c r="P24" s="233">
        <v>99057</v>
      </c>
      <c r="Q24" s="147">
        <v>3411.61</v>
      </c>
      <c r="R24" s="147">
        <f t="shared" si="0"/>
        <v>102468.61</v>
      </c>
    </row>
    <row r="25" spans="1:18" x14ac:dyDescent="0.25">
      <c r="A25" s="154">
        <v>1019</v>
      </c>
      <c r="B25" s="146">
        <v>4</v>
      </c>
      <c r="C25" s="146" t="s">
        <v>73</v>
      </c>
      <c r="D25" s="153">
        <v>95.6</v>
      </c>
      <c r="E25" s="145">
        <v>12800</v>
      </c>
      <c r="F25" s="145">
        <v>122</v>
      </c>
      <c r="G25" s="147">
        <v>43078</v>
      </c>
      <c r="H25" s="147">
        <v>12285.438</v>
      </c>
      <c r="I25" s="146">
        <v>496</v>
      </c>
      <c r="J25" s="147">
        <f t="shared" si="1"/>
        <v>55859.438000000002</v>
      </c>
      <c r="K25" s="146">
        <v>1</v>
      </c>
      <c r="L25" s="152" t="s">
        <v>81</v>
      </c>
      <c r="M25" s="145">
        <v>812</v>
      </c>
      <c r="N25" s="145">
        <v>441</v>
      </c>
      <c r="O25" s="145">
        <v>44</v>
      </c>
      <c r="P25" s="233">
        <v>99057</v>
      </c>
      <c r="Q25" s="147">
        <v>3411.61</v>
      </c>
      <c r="R25" s="147">
        <f t="shared" si="0"/>
        <v>102468.61</v>
      </c>
    </row>
    <row r="26" spans="1:18" x14ac:dyDescent="0.25">
      <c r="A26" s="154">
        <v>1138</v>
      </c>
      <c r="B26" s="146">
        <v>4</v>
      </c>
      <c r="C26" s="146" t="s">
        <v>75</v>
      </c>
      <c r="D26" s="153">
        <v>110.8</v>
      </c>
      <c r="E26" s="145">
        <v>17200</v>
      </c>
      <c r="F26" s="145">
        <v>135</v>
      </c>
      <c r="G26" s="147">
        <v>45041.16</v>
      </c>
      <c r="H26" s="147">
        <v>11431.248277900002</v>
      </c>
      <c r="I26" s="146">
        <v>496</v>
      </c>
      <c r="J26" s="147">
        <f t="shared" si="1"/>
        <v>56968.408277900002</v>
      </c>
      <c r="K26" s="146">
        <v>1</v>
      </c>
      <c r="L26" s="152" t="s">
        <v>82</v>
      </c>
      <c r="M26" s="145">
        <v>1211</v>
      </c>
      <c r="N26" s="145">
        <v>615</v>
      </c>
      <c r="O26" s="145">
        <v>58</v>
      </c>
      <c r="P26" s="233">
        <v>123957</v>
      </c>
      <c r="Q26" s="147">
        <v>5338.01</v>
      </c>
      <c r="R26" s="147">
        <f t="shared" si="0"/>
        <v>129295.01</v>
      </c>
    </row>
    <row r="27" spans="1:18" x14ac:dyDescent="0.25">
      <c r="A27" s="154">
        <v>1383</v>
      </c>
      <c r="B27" s="146">
        <v>4</v>
      </c>
      <c r="C27" s="146" t="s">
        <v>76</v>
      </c>
      <c r="D27" s="153">
        <v>126.8</v>
      </c>
      <c r="E27" s="145">
        <v>19600</v>
      </c>
      <c r="F27" s="145">
        <v>145</v>
      </c>
      <c r="G27" s="147">
        <v>50757.279999999999</v>
      </c>
      <c r="H27" s="147">
        <v>19574.819000000003</v>
      </c>
      <c r="I27" s="146">
        <v>496</v>
      </c>
      <c r="J27" s="147">
        <f t="shared" si="1"/>
        <v>70828.099000000002</v>
      </c>
      <c r="K27" s="146">
        <v>1</v>
      </c>
      <c r="L27" s="152" t="s">
        <v>82</v>
      </c>
      <c r="M27" s="145">
        <v>1211</v>
      </c>
      <c r="N27" s="145">
        <v>615</v>
      </c>
      <c r="O27" s="145">
        <v>58</v>
      </c>
      <c r="P27" s="233">
        <v>123957</v>
      </c>
      <c r="Q27" s="147">
        <v>5338.01</v>
      </c>
      <c r="R27" s="147">
        <f t="shared" si="0"/>
        <v>129295.01</v>
      </c>
    </row>
    <row r="28" spans="1:18" x14ac:dyDescent="0.25">
      <c r="A28" s="154">
        <v>1576</v>
      </c>
      <c r="B28" s="146">
        <v>4</v>
      </c>
      <c r="C28" s="146" t="s">
        <v>77</v>
      </c>
      <c r="D28" s="153">
        <v>142.80000000000001</v>
      </c>
      <c r="E28" s="145">
        <v>22000</v>
      </c>
      <c r="F28" s="145">
        <v>175</v>
      </c>
      <c r="G28" s="147">
        <v>51842.6</v>
      </c>
      <c r="H28" s="147">
        <v>19574.819000000003</v>
      </c>
      <c r="I28" s="148">
        <v>496</v>
      </c>
      <c r="J28" s="147">
        <f t="shared" si="1"/>
        <v>71913.418999999994</v>
      </c>
      <c r="K28" s="146">
        <v>1</v>
      </c>
      <c r="L28" s="152" t="s">
        <v>82</v>
      </c>
      <c r="M28" s="145">
        <v>1211</v>
      </c>
      <c r="N28" s="145">
        <v>615</v>
      </c>
      <c r="O28" s="145">
        <v>58</v>
      </c>
      <c r="P28" s="233">
        <v>123957</v>
      </c>
      <c r="Q28" s="147">
        <v>5338.01</v>
      </c>
      <c r="R28" s="147">
        <f t="shared" si="0"/>
        <v>129295.01</v>
      </c>
    </row>
    <row r="29" spans="1:18" x14ac:dyDescent="0.25">
      <c r="A29" s="154">
        <v>1697</v>
      </c>
      <c r="B29" s="146">
        <v>4</v>
      </c>
      <c r="C29" s="146" t="s">
        <v>191</v>
      </c>
      <c r="D29" s="153">
        <v>158.80000000000001</v>
      </c>
      <c r="E29" s="145">
        <v>24400</v>
      </c>
      <c r="F29" s="145">
        <v>186</v>
      </c>
      <c r="G29" s="147">
        <v>52928</v>
      </c>
      <c r="H29" s="147">
        <v>25403.026000000002</v>
      </c>
      <c r="I29" s="148">
        <v>496</v>
      </c>
      <c r="J29" s="147">
        <f t="shared" si="1"/>
        <v>78827.025999999998</v>
      </c>
      <c r="K29" s="146">
        <v>1</v>
      </c>
      <c r="L29" s="152" t="s">
        <v>83</v>
      </c>
      <c r="M29" s="145">
        <v>1625</v>
      </c>
      <c r="N29" s="145">
        <v>841</v>
      </c>
      <c r="O29" s="145">
        <v>72</v>
      </c>
      <c r="P29" s="233">
        <v>144645</v>
      </c>
      <c r="Q29" s="147">
        <v>7603.4</v>
      </c>
      <c r="R29" s="147">
        <f t="shared" si="0"/>
        <v>152248.4</v>
      </c>
    </row>
    <row r="30" spans="1:18" x14ac:dyDescent="0.25">
      <c r="A30" s="154">
        <v>1951</v>
      </c>
      <c r="B30" s="146">
        <v>4</v>
      </c>
      <c r="C30" s="146" t="s">
        <v>192</v>
      </c>
      <c r="D30" s="153">
        <v>174.8</v>
      </c>
      <c r="E30" s="145">
        <v>26800</v>
      </c>
      <c r="F30" s="145">
        <v>201</v>
      </c>
      <c r="G30" s="147">
        <v>54013.2</v>
      </c>
      <c r="H30" s="147">
        <v>25403.026000000002</v>
      </c>
      <c r="I30" s="148">
        <v>496</v>
      </c>
      <c r="J30" s="147">
        <f t="shared" si="1"/>
        <v>79912.225999999995</v>
      </c>
      <c r="K30" s="146">
        <v>1</v>
      </c>
      <c r="L30" s="152" t="s">
        <v>83</v>
      </c>
      <c r="M30" s="145">
        <v>1625</v>
      </c>
      <c r="N30" s="145">
        <v>841</v>
      </c>
      <c r="O30" s="145">
        <v>72</v>
      </c>
      <c r="P30" s="233">
        <v>144645</v>
      </c>
      <c r="Q30" s="147">
        <v>7603.4</v>
      </c>
      <c r="R30" s="147">
        <f t="shared" si="0"/>
        <v>152248.4</v>
      </c>
    </row>
    <row r="31" spans="1:18" x14ac:dyDescent="0.25">
      <c r="A31" s="154">
        <v>2276</v>
      </c>
      <c r="B31" s="146">
        <v>4</v>
      </c>
      <c r="C31" s="146" t="s">
        <v>192</v>
      </c>
      <c r="D31" s="153">
        <v>174.8</v>
      </c>
      <c r="E31" s="145">
        <v>26800</v>
      </c>
      <c r="F31" s="145">
        <v>201</v>
      </c>
      <c r="G31" s="147">
        <v>54013.2</v>
      </c>
      <c r="H31" s="147">
        <v>25403.026000000002</v>
      </c>
      <c r="I31" s="148">
        <v>496</v>
      </c>
      <c r="J31" s="147">
        <f t="shared" si="1"/>
        <v>79912.225999999995</v>
      </c>
      <c r="K31" s="146">
        <v>2</v>
      </c>
      <c r="L31" s="152" t="s">
        <v>82</v>
      </c>
      <c r="M31" s="145">
        <v>2422</v>
      </c>
      <c r="N31" s="145">
        <v>1230</v>
      </c>
      <c r="O31" s="145">
        <v>116</v>
      </c>
      <c r="P31" s="233">
        <v>247914</v>
      </c>
      <c r="Q31" s="147">
        <v>10676.02</v>
      </c>
      <c r="R31" s="147">
        <f t="shared" si="0"/>
        <v>258590.02</v>
      </c>
    </row>
    <row r="32" spans="1:18" x14ac:dyDescent="0.25">
      <c r="A32" s="154">
        <v>2378</v>
      </c>
      <c r="B32" s="146">
        <v>4</v>
      </c>
      <c r="C32" s="146" t="s">
        <v>193</v>
      </c>
      <c r="D32" s="153">
        <v>203.2</v>
      </c>
      <c r="E32" s="145">
        <v>40000</v>
      </c>
      <c r="F32" s="145">
        <v>204</v>
      </c>
      <c r="G32" s="147">
        <v>79809.16</v>
      </c>
      <c r="H32" s="147">
        <v>25403.026000000002</v>
      </c>
      <c r="I32" s="148">
        <v>496</v>
      </c>
      <c r="J32" s="147">
        <f t="shared" si="1"/>
        <v>105708.186</v>
      </c>
      <c r="K32" s="146">
        <v>2</v>
      </c>
      <c r="L32" s="152" t="s">
        <v>82</v>
      </c>
      <c r="M32" s="145">
        <v>2422</v>
      </c>
      <c r="N32" s="145">
        <v>1230</v>
      </c>
      <c r="O32" s="145">
        <v>116</v>
      </c>
      <c r="P32" s="233">
        <v>247914</v>
      </c>
      <c r="Q32" s="147">
        <v>10676.02</v>
      </c>
      <c r="R32" s="147">
        <f t="shared" si="0"/>
        <v>258590.02</v>
      </c>
    </row>
    <row r="33" spans="1:18" x14ac:dyDescent="0.25">
      <c r="A33" s="154">
        <v>2686</v>
      </c>
      <c r="B33" s="146">
        <v>4</v>
      </c>
      <c r="C33" s="146" t="s">
        <v>194</v>
      </c>
      <c r="D33" s="153">
        <v>233.2</v>
      </c>
      <c r="E33" s="145">
        <v>43600</v>
      </c>
      <c r="F33" s="145">
        <v>218</v>
      </c>
      <c r="G33" s="147">
        <v>81019.960000000006</v>
      </c>
      <c r="H33" s="147">
        <v>25403.026000000002</v>
      </c>
      <c r="I33" s="148">
        <v>496</v>
      </c>
      <c r="J33" s="147">
        <f t="shared" si="1"/>
        <v>106918.986</v>
      </c>
      <c r="K33" s="146">
        <v>2</v>
      </c>
      <c r="L33" s="152" t="s">
        <v>82</v>
      </c>
      <c r="M33" s="145">
        <v>2422</v>
      </c>
      <c r="N33" s="145">
        <v>1230</v>
      </c>
      <c r="O33" s="145">
        <v>116</v>
      </c>
      <c r="P33" s="233">
        <v>247914</v>
      </c>
      <c r="Q33" s="147">
        <v>10676.02</v>
      </c>
      <c r="R33" s="147">
        <f t="shared" si="0"/>
        <v>258590.02</v>
      </c>
    </row>
    <row r="34" spans="1:18" x14ac:dyDescent="0.25">
      <c r="A34" s="154">
        <v>2907</v>
      </c>
      <c r="B34" s="146">
        <v>4</v>
      </c>
      <c r="C34" s="146" t="s">
        <v>195</v>
      </c>
      <c r="D34" s="153">
        <v>243.2</v>
      </c>
      <c r="E34" s="145">
        <v>48000</v>
      </c>
      <c r="F34" s="145">
        <v>233</v>
      </c>
      <c r="G34" s="147">
        <v>85242.64</v>
      </c>
      <c r="H34" s="147">
        <v>25403.026000000002</v>
      </c>
      <c r="I34" s="148">
        <v>496</v>
      </c>
      <c r="J34" s="147">
        <f t="shared" si="1"/>
        <v>111141.666</v>
      </c>
      <c r="K34" s="146">
        <v>2</v>
      </c>
      <c r="L34" s="152" t="s">
        <v>83</v>
      </c>
      <c r="M34" s="145">
        <v>3250</v>
      </c>
      <c r="N34" s="145">
        <v>1682</v>
      </c>
      <c r="O34" s="145">
        <v>144</v>
      </c>
      <c r="P34" s="233">
        <v>289290</v>
      </c>
      <c r="Q34" s="147">
        <v>15206.8</v>
      </c>
      <c r="R34" s="147">
        <f t="shared" si="0"/>
        <v>304496.8</v>
      </c>
    </row>
    <row r="35" spans="1:18" x14ac:dyDescent="0.25">
      <c r="A35" s="154">
        <v>3576</v>
      </c>
      <c r="B35" s="146">
        <v>6</v>
      </c>
      <c r="C35" s="146" t="s">
        <v>193</v>
      </c>
      <c r="D35" s="153">
        <v>304.8</v>
      </c>
      <c r="E35" s="145">
        <v>60000</v>
      </c>
      <c r="F35" s="145">
        <v>323</v>
      </c>
      <c r="G35" s="147">
        <v>119712</v>
      </c>
      <c r="H35" s="147">
        <v>34485</v>
      </c>
      <c r="I35" s="148">
        <v>744</v>
      </c>
      <c r="J35" s="147">
        <f t="shared" si="1"/>
        <v>154941</v>
      </c>
      <c r="K35" s="146">
        <v>2</v>
      </c>
      <c r="L35" s="152" t="s">
        <v>83</v>
      </c>
      <c r="M35" s="145">
        <v>3250</v>
      </c>
      <c r="N35" s="145">
        <v>1682</v>
      </c>
      <c r="O35" s="145">
        <v>144</v>
      </c>
      <c r="P35" s="233">
        <v>289290</v>
      </c>
      <c r="Q35" s="147">
        <v>15206.8</v>
      </c>
      <c r="R35" s="147">
        <f t="shared" si="0"/>
        <v>304496.8</v>
      </c>
    </row>
    <row r="36" spans="1:18" x14ac:dyDescent="0.25">
      <c r="A36" s="154">
        <v>4079</v>
      </c>
      <c r="B36" s="146">
        <v>6</v>
      </c>
      <c r="C36" s="146" t="s">
        <v>194</v>
      </c>
      <c r="D36" s="153">
        <v>334.8</v>
      </c>
      <c r="E36" s="145">
        <v>65400</v>
      </c>
      <c r="F36" s="145">
        <v>345</v>
      </c>
      <c r="G36" s="147">
        <v>121529.94</v>
      </c>
      <c r="H36" s="147">
        <v>34485</v>
      </c>
      <c r="I36" s="148">
        <v>744</v>
      </c>
      <c r="J36" s="147">
        <f t="shared" si="1"/>
        <v>156758.94</v>
      </c>
      <c r="K36" s="146">
        <v>2</v>
      </c>
      <c r="L36" s="152" t="s">
        <v>83</v>
      </c>
      <c r="M36" s="145">
        <v>3250</v>
      </c>
      <c r="N36" s="145">
        <v>1682</v>
      </c>
      <c r="O36" s="145">
        <v>144</v>
      </c>
      <c r="P36" s="233">
        <v>289290</v>
      </c>
      <c r="Q36" s="147">
        <v>15206.8</v>
      </c>
      <c r="R36" s="147">
        <f t="shared" si="0"/>
        <v>304496.8</v>
      </c>
    </row>
    <row r="37" spans="1:18" x14ac:dyDescent="0.25">
      <c r="A37" s="154">
        <v>4551</v>
      </c>
      <c r="B37" s="146"/>
      <c r="C37" s="146"/>
      <c r="D37" s="153"/>
      <c r="E37" s="145"/>
      <c r="F37" s="145"/>
      <c r="G37" s="146"/>
      <c r="H37" s="147"/>
      <c r="I37" s="146"/>
      <c r="J37" s="147"/>
      <c r="K37" s="146"/>
      <c r="L37" s="152" t="s">
        <v>83</v>
      </c>
      <c r="M37" s="145">
        <v>3250</v>
      </c>
      <c r="N37" s="145">
        <v>1682</v>
      </c>
      <c r="O37" s="145"/>
      <c r="P37" s="147"/>
      <c r="Q37" s="147"/>
      <c r="R37" s="147"/>
    </row>
    <row r="39" spans="1:18" ht="13" x14ac:dyDescent="0.3">
      <c r="C39" s="137"/>
      <c r="D39" s="137"/>
      <c r="H39" s="2"/>
      <c r="J39" s="393" t="s">
        <v>121</v>
      </c>
      <c r="K39" s="393"/>
      <c r="L39" s="146">
        <v>12213</v>
      </c>
      <c r="M39" s="146"/>
      <c r="N39" s="146"/>
      <c r="O39" s="146"/>
      <c r="P39" s="147">
        <v>1379.9541184</v>
      </c>
      <c r="Q39" s="147"/>
      <c r="R39" s="147">
        <f>SUM(P39:Q39)</f>
        <v>1379.9541184</v>
      </c>
    </row>
    <row r="40" spans="1:18" x14ac:dyDescent="0.25">
      <c r="C40" s="135"/>
      <c r="D40" s="136"/>
      <c r="J40" s="392" t="s">
        <v>238</v>
      </c>
      <c r="K40" s="392"/>
      <c r="L40" s="146">
        <v>11737</v>
      </c>
      <c r="M40" s="146"/>
      <c r="N40" s="146"/>
      <c r="O40" s="146"/>
      <c r="P40" s="147">
        <v>330.04743200000007</v>
      </c>
      <c r="Q40" s="147"/>
      <c r="R40" s="147">
        <f>SUM(P40:Q40)</f>
        <v>330.04743200000007</v>
      </c>
    </row>
  </sheetData>
  <sheetProtection algorithmName="SHA-512" hashValue="8Z4BenQRi1OQS6h4zGYjOcJ1E1sVgTvyh/XR9Fr21fzJo1UE3cPXFYeloTa5Z9694W7weXNycU2mtqa8JNoNIg==" saltValue="Yh29F+b1OcORFwJWXToF1Q==" spinCount="100000" sheet="1" selectLockedCells="1" selectUnlockedCells="1"/>
  <protectedRanges>
    <protectedRange sqref="G5:I7 G8:G36 I8:I36" name="Sand Pricing"/>
    <protectedRange sqref="Q18:Q36 P5:Q17" name="Defender Pricing"/>
    <protectedRange sqref="H8:H36" name="Sand Pricing_1"/>
  </protectedRanges>
  <mergeCells count="9">
    <mergeCell ref="K1:R1"/>
    <mergeCell ref="B1:J1"/>
    <mergeCell ref="A1:A3"/>
    <mergeCell ref="J40:K40"/>
    <mergeCell ref="J39:K39"/>
    <mergeCell ref="B2:B3"/>
    <mergeCell ref="C2:C3"/>
    <mergeCell ref="K2:K3"/>
    <mergeCell ref="L2:L3"/>
  </mergeCells>
  <printOptions horizontalCentered="1"/>
  <pageMargins left="0.5" right="0.5" top="1.5" bottom="0.75" header="0.3" footer="0.3"/>
  <pageSetup scale="83" orientation="landscape" r:id="rId1"/>
  <ignoredErrors>
    <ignoredError sqref="R5" formulaRange="1"/>
  </ignoredErrors>
</worksheet>
</file>

<file path=docMetadata/LabelInfo.xml><?xml version="1.0" encoding="utf-8"?>
<clbl:labelList xmlns:clbl="http://schemas.microsoft.com/office/2020/mipLabelMetadata">
  <clbl:label id="{eb4425a1-30d0-4cf3-a093-e7aec1c2804d}" enabled="1" method="Standard" siteId="{87789cc7-933c-4e19-99b3-73a1953e3d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INPUTS</vt:lpstr>
      <vt:lpstr>GRAPH</vt:lpstr>
      <vt:lpstr>SUMMARY</vt:lpstr>
      <vt:lpstr>DETAIL</vt:lpstr>
      <vt:lpstr>GRAPH DATA</vt:lpstr>
      <vt:lpstr>TABLE</vt:lpstr>
      <vt:lpstr>DETAIL!Print_Area</vt:lpstr>
      <vt:lpstr>GRAPH!Print_Area</vt:lpstr>
      <vt:lpstr>INPUTS!Print_Area</vt:lpstr>
      <vt:lpstr>SUMMARY!Print_Area</vt:lpstr>
    </vt:vector>
  </TitlesOfParts>
  <Company>Water Technology,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brianf</dc:creator>
  <cp:lastModifiedBy>Huser, James R - Xylem</cp:lastModifiedBy>
  <cp:lastPrinted>2019-01-04T14:25:41Z</cp:lastPrinted>
  <dcterms:created xsi:type="dcterms:W3CDTF">2005-02-25T16:52:38Z</dcterms:created>
  <dcterms:modified xsi:type="dcterms:W3CDTF">2026-03-23T19:20:07Z</dcterms:modified>
</cp:coreProperties>
</file>