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944B064-36E0-4B3D-BCAA-7F2EE66B936A}" xr6:coauthVersionLast="43" xr6:coauthVersionMax="43" xr10:uidLastSave="{00000000-0000-0000-0000-000000000000}"/>
  <bookViews>
    <workbookView xWindow="5748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B7" i="1" l="1"/>
  <c r="B17" i="1" l="1"/>
  <c r="C22" i="1" l="1"/>
  <c r="M6" i="1"/>
  <c r="M7" i="1"/>
  <c r="N7" i="1" s="1"/>
  <c r="O7" i="1" s="1"/>
  <c r="M8" i="1"/>
  <c r="N8" i="1" s="1"/>
  <c r="O8" i="1" s="1"/>
  <c r="K8" i="1"/>
  <c r="I7" i="1"/>
  <c r="K7" i="1" s="1"/>
  <c r="I8" i="1"/>
  <c r="C24" i="1" l="1"/>
  <c r="C25" i="1"/>
  <c r="N6" i="1"/>
  <c r="B25" i="1" s="1"/>
  <c r="C27" i="1" l="1"/>
  <c r="C29" i="1" s="1"/>
  <c r="N9" i="1"/>
  <c r="M5" i="1"/>
  <c r="N5" i="1" s="1"/>
  <c r="B24" i="1" s="1"/>
  <c r="B31" i="1" s="1"/>
  <c r="I6" i="1"/>
  <c r="K6" i="1" s="1"/>
  <c r="I5" i="1"/>
  <c r="K5" i="1" s="1"/>
  <c r="O9" i="1" l="1"/>
  <c r="D23" i="1"/>
  <c r="C26" i="1"/>
  <c r="C30" i="1" s="1"/>
  <c r="O6" i="1"/>
  <c r="O5" i="1"/>
  <c r="D26" i="1" l="1"/>
  <c r="D31" i="1"/>
  <c r="D27" i="1"/>
  <c r="D29" i="1" s="1"/>
  <c r="B27" i="1"/>
  <c r="B32" i="1" s="1"/>
  <c r="B33" i="1" s="1"/>
  <c r="D32" i="1" l="1"/>
  <c r="D30" i="1"/>
  <c r="B29" i="1"/>
  <c r="B26" i="1"/>
  <c r="B30" i="1" l="1"/>
</calcChain>
</file>

<file path=xl/sharedStrings.xml><?xml version="1.0" encoding="utf-8"?>
<sst xmlns="http://schemas.openxmlformats.org/spreadsheetml/2006/main" count="62" uniqueCount="51">
  <si>
    <t>Preis</t>
  </si>
  <si>
    <t>nm</t>
  </si>
  <si>
    <t>weiß</t>
  </si>
  <si>
    <t>Strom</t>
  </si>
  <si>
    <t>eV</t>
  </si>
  <si>
    <t>Photonen/J</t>
  </si>
  <si>
    <t>Photonen/s</t>
  </si>
  <si>
    <t>µmol/s</t>
  </si>
  <si>
    <t>k.A.</t>
  </si>
  <si>
    <t>Beleuchtung/Tag</t>
  </si>
  <si>
    <t>Jahre</t>
  </si>
  <si>
    <t>Gewünschte µmol/s</t>
  </si>
  <si>
    <t>Preis/kwh</t>
  </si>
  <si>
    <t>Anschaffungskosten</t>
  </si>
  <si>
    <t>Energieverbrauch</t>
  </si>
  <si>
    <t>Effizienzgrad</t>
  </si>
  <si>
    <t>korr. Energieverbrauch</t>
  </si>
  <si>
    <t>Angenommer Faktor mit der die Pflanzen das Licht verarbeiten können</t>
  </si>
  <si>
    <t>Gesamtkosten</t>
  </si>
  <si>
    <t>µmol/W</t>
  </si>
  <si>
    <t>Alle LEDs wurden ohne die Netzteilverluste berechnet</t>
  </si>
  <si>
    <t>Anteil blau</t>
  </si>
  <si>
    <t>Anz. LED blau</t>
  </si>
  <si>
    <t>-</t>
  </si>
  <si>
    <t>Preis Oslon LEDs jeweils bei Abnahme von 25 Stück</t>
  </si>
  <si>
    <t>rot 350 mA</t>
  </si>
  <si>
    <t>blau 350 mA</t>
  </si>
  <si>
    <t>Preis Konstantstromquelle €/W</t>
  </si>
  <si>
    <t>rot 700 mA</t>
  </si>
  <si>
    <t>blau 700 mA</t>
  </si>
  <si>
    <t>rot+blau
350 mA</t>
  </si>
  <si>
    <t>rot+blau
700 mA</t>
  </si>
  <si>
    <t>Anzahl Substitube Röhren</t>
  </si>
  <si>
    <t>Anz. LED rot</t>
  </si>
  <si>
    <t>Der Preis für einen Kühlkörper und die benötigten Platine wurde bei den Oslons vernachlässigt</t>
  </si>
  <si>
    <t>Substitube: 22,6 W ist Leistung unter Abzug der 10 % Netzteilverlust, da bei der Berechnung für die Oslons die Netzteilverluste vernachlässigt werden</t>
  </si>
  <si>
    <t xml:space="preserve"> </t>
  </si>
  <si>
    <t>Lumen / 
Watt</t>
  </si>
  <si>
    <t>Lumen / 
µmol</t>
  </si>
  <si>
    <t>Strahlungs-
leistung [W]</t>
  </si>
  <si>
    <t>V</t>
  </si>
  <si>
    <t>Wirkungs-
grad %</t>
  </si>
  <si>
    <t>entspricht Lumen</t>
  </si>
  <si>
    <t>PAR W</t>
  </si>
  <si>
    <t>Wirkungsgrad</t>
  </si>
  <si>
    <t>Wert</t>
  </si>
  <si>
    <t>Parameter</t>
  </si>
  <si>
    <t>Weiße LED, hier Substitube</t>
  </si>
  <si>
    <t xml:space="preserve">Leistung 
[W] </t>
  </si>
  <si>
    <t>Dieses Dokument vergleicht die Kosten zwischen Oslon SSL und weißen LED-Leuchten. Die Parameter sind flexibel anpassbar</t>
  </si>
  <si>
    <t>Wirkungsgrad mit Netzteilverslust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</si>
</sst>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Standard" xfId="0" builtinId="0"/>
  </cellStyles>
  <dxfs count="1"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O9" totalsRowShown="0">
  <tableColumns count="15">
    <tableColumn id="1" xr3:uid="{00000000-0010-0000-0000-000001000000}" name=" "/>
    <tableColumn id="2" xr3:uid="{00000000-0010-0000-0000-000002000000}" name="Preis"/>
    <tableColumn id="3" xr3:uid="{00000000-0010-0000-0000-000003000000}" name="Lumen / _x000a_Watt"/>
    <tableColumn id="4" xr3:uid="{00000000-0010-0000-0000-000004000000}" name="Lumen / _x000a_µmol"/>
    <tableColumn id="5" xr3:uid="{00000000-0010-0000-0000-000005000000}" name="V"/>
    <tableColumn id="6" xr3:uid="{00000000-0010-0000-0000-000006000000}" name="nm"/>
    <tableColumn id="7" xr3:uid="{00000000-0010-0000-0000-000007000000}" name="eV"/>
    <tableColumn id="8" xr3:uid="{00000000-0010-0000-0000-000008000000}" name="Strom"/>
    <tableColumn id="9" xr3:uid="{00000000-0010-0000-0000-000009000000}" name="Leistung _x000a_[W] "/>
    <tableColumn id="10" xr3:uid="{00000000-0010-0000-0000-00000A000000}" name="Strahlungs-_x000a_leistung [W]"/>
    <tableColumn id="11" xr3:uid="{00000000-0010-0000-0000-00000B000000}" name="Wirkungs-_x000a_grad %"/>
    <tableColumn id="12" xr3:uid="{00000000-0010-0000-0000-00000C000000}" name="Photonen/J" dataDxfId="0"/>
    <tableColumn id="13" xr3:uid="{00000000-0010-0000-0000-00000D000000}" name="Photonen/s"/>
    <tableColumn id="14" xr3:uid="{00000000-0010-0000-0000-00000E000000}" name="µmol/s"/>
    <tableColumn id="15" xr3:uid="{00000000-0010-0000-0000-00000F000000}" name="µmol/W">
      <calculatedColumnFormula>N5/I5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21:D33" totalsRowShown="0">
  <tableColumns count="4">
    <tableColumn id="1" xr3:uid="{00000000-0010-0000-0100-000001000000}" name=" "/>
    <tableColumn id="2" xr3:uid="{00000000-0010-0000-0100-000002000000}" name="rot+blau_x000a_350 mA"/>
    <tableColumn id="3" xr3:uid="{00000000-0010-0000-0100-000003000000}" name="rot+blau_x000a_700 mA"/>
    <tableColumn id="4" xr3:uid="{00000000-0010-0000-0100-000004000000}" name="weiß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le4" displayName="Tabelle4" ref="A13:B19" totalsRowShown="0">
  <tableColumns count="2">
    <tableColumn id="1" xr3:uid="{00000000-0010-0000-0200-000001000000}" name="Parameter"/>
    <tableColumn id="2" xr3:uid="{00000000-0010-0000-0200-000002000000}" name="Wert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10" workbookViewId="0">
      <selection activeCell="C40" sqref="C40"/>
    </sheetView>
  </sheetViews>
  <sheetFormatPr baseColWidth="10" defaultColWidth="9.140625" defaultRowHeight="15" x14ac:dyDescent="0.25"/>
  <cols>
    <col min="1" max="1" width="32.5703125" customWidth="1"/>
    <col min="2" max="2" width="10.28515625" customWidth="1"/>
    <col min="3" max="4" width="8.28515625" style="12" customWidth="1"/>
    <col min="5" max="5" width="5" customWidth="1"/>
    <col min="6" max="6" width="5.42578125" customWidth="1"/>
    <col min="7" max="7" width="5" style="6" customWidth="1"/>
    <col min="8" max="8" width="6.28515625" customWidth="1"/>
    <col min="9" max="9" width="8.7109375" customWidth="1"/>
    <col min="10" max="10" width="12" style="8" customWidth="1"/>
    <col min="11" max="11" width="10.140625" style="13" customWidth="1"/>
    <col min="12" max="12" width="23.7109375" customWidth="1"/>
    <col min="13" max="13" width="12" customWidth="1"/>
    <col min="14" max="15" width="12" bestFit="1" customWidth="1"/>
  </cols>
  <sheetData>
    <row r="1" spans="1:15" s="13" customFormat="1" x14ac:dyDescent="0.25">
      <c r="A1" s="13" t="s">
        <v>49</v>
      </c>
    </row>
    <row r="2" spans="1:15" s="13" customFormat="1" x14ac:dyDescent="0.25"/>
    <row r="3" spans="1:15" s="13" customFormat="1" x14ac:dyDescent="0.25"/>
    <row r="4" spans="1:15" ht="30" x14ac:dyDescent="0.25">
      <c r="A4" s="1" t="s">
        <v>36</v>
      </c>
      <c r="B4" s="1" t="s">
        <v>0</v>
      </c>
      <c r="C4" s="14" t="s">
        <v>37</v>
      </c>
      <c r="D4" s="14" t="s">
        <v>38</v>
      </c>
      <c r="E4" s="2" t="s">
        <v>40</v>
      </c>
      <c r="F4" s="4" t="s">
        <v>1</v>
      </c>
      <c r="G4" s="7" t="s">
        <v>4</v>
      </c>
      <c r="H4" s="5" t="s">
        <v>3</v>
      </c>
      <c r="I4" s="14" t="s">
        <v>48</v>
      </c>
      <c r="J4" s="14" t="s">
        <v>39</v>
      </c>
      <c r="K4" s="14" t="s">
        <v>41</v>
      </c>
      <c r="L4" s="8" t="s">
        <v>5</v>
      </c>
      <c r="M4" s="11" t="s">
        <v>6</v>
      </c>
      <c r="N4" s="12" t="s">
        <v>7</v>
      </c>
      <c r="O4" t="s">
        <v>19</v>
      </c>
    </row>
    <row r="5" spans="1:15" x14ac:dyDescent="0.25">
      <c r="A5" s="1" t="s">
        <v>25</v>
      </c>
      <c r="B5" s="1">
        <v>1.57</v>
      </c>
      <c r="C5" s="12" t="s">
        <v>8</v>
      </c>
      <c r="D5" s="12" t="s">
        <v>8</v>
      </c>
      <c r="E5" s="2">
        <v>2.15</v>
      </c>
      <c r="F5" s="4">
        <v>660</v>
      </c>
      <c r="G5" s="7">
        <v>1.88</v>
      </c>
      <c r="H5" s="5">
        <v>0.35</v>
      </c>
      <c r="I5" s="6">
        <f>H5*E5</f>
        <v>0.75249999999999995</v>
      </c>
      <c r="J5" s="10">
        <v>0.42499999999999999</v>
      </c>
      <c r="K5" s="15">
        <f>J5/I5 * 100</f>
        <v>56.478405315614623</v>
      </c>
      <c r="L5" s="9">
        <v>3.3225172254082002E+18</v>
      </c>
      <c r="M5" s="11">
        <f>J5*L5</f>
        <v>1.412069820798485E+18</v>
      </c>
      <c r="N5" s="12">
        <f>M5/(6.022*10^23)*10^6</f>
        <v>2.3448519109905099</v>
      </c>
      <c r="O5">
        <f>N5/I5</f>
        <v>3.1160822737415415</v>
      </c>
    </row>
    <row r="6" spans="1:15" x14ac:dyDescent="0.25">
      <c r="A6" s="1" t="s">
        <v>26</v>
      </c>
      <c r="B6" s="1">
        <v>1.1399999999999999</v>
      </c>
      <c r="C6" s="12" t="s">
        <v>8</v>
      </c>
      <c r="D6" s="12" t="s">
        <v>8</v>
      </c>
      <c r="E6" s="2">
        <v>2.85</v>
      </c>
      <c r="F6" s="4">
        <v>451</v>
      </c>
      <c r="G6" s="7">
        <v>2.75</v>
      </c>
      <c r="H6" s="5">
        <v>0.35</v>
      </c>
      <c r="I6" s="6">
        <f>H6*E6</f>
        <v>0.99749999999999994</v>
      </c>
      <c r="J6" s="10">
        <v>0.69</v>
      </c>
      <c r="K6" s="15">
        <f t="shared" ref="K6:K8" si="0">J6/I6 * 100</f>
        <v>69.172932330827066</v>
      </c>
      <c r="L6" s="9">
        <v>2.2703867706956001E+18</v>
      </c>
      <c r="M6" s="13">
        <f t="shared" ref="M6:M8" si="1">J6*L6</f>
        <v>1.5665668717799639E+18</v>
      </c>
      <c r="N6" s="12">
        <f>M6/(6.022*10^23)*10^6</f>
        <v>2.6014062965459384</v>
      </c>
      <c r="O6" s="13">
        <f>N6/I6</f>
        <v>2.6079261118255022</v>
      </c>
    </row>
    <row r="7" spans="1:15" s="13" customFormat="1" x14ac:dyDescent="0.25">
      <c r="A7" s="13" t="s">
        <v>28</v>
      </c>
      <c r="B7" s="13">
        <f>B5</f>
        <v>1.57</v>
      </c>
      <c r="C7" s="13" t="s">
        <v>8</v>
      </c>
      <c r="D7" s="13" t="s">
        <v>8</v>
      </c>
      <c r="E7" s="13">
        <v>2.4</v>
      </c>
      <c r="F7" s="13">
        <v>660</v>
      </c>
      <c r="G7" s="13">
        <v>1.88</v>
      </c>
      <c r="H7" s="13">
        <v>0.7</v>
      </c>
      <c r="I7" s="13">
        <f t="shared" ref="I7:I8" si="2">H7*E7</f>
        <v>1.68</v>
      </c>
      <c r="J7" s="13">
        <v>0.82050000000000001</v>
      </c>
      <c r="K7" s="15">
        <f t="shared" si="0"/>
        <v>48.839285714285715</v>
      </c>
      <c r="L7" s="9">
        <v>3.3225172254082002E+18</v>
      </c>
      <c r="M7" s="13">
        <f t="shared" si="1"/>
        <v>2.7261253834474281E+18</v>
      </c>
      <c r="N7" s="13">
        <f t="shared" ref="N7:N8" si="3">M7/(6.022*10^23)*10^6</f>
        <v>4.5269435128652082</v>
      </c>
      <c r="O7" s="13">
        <f t="shared" ref="O7:O8" si="4">N7/I7</f>
        <v>2.6946092338483383</v>
      </c>
    </row>
    <row r="8" spans="1:15" s="13" customFormat="1" x14ac:dyDescent="0.25">
      <c r="A8" s="13" t="s">
        <v>29</v>
      </c>
      <c r="B8" s="13">
        <v>1.3</v>
      </c>
      <c r="C8" s="13" t="s">
        <v>8</v>
      </c>
      <c r="D8" s="13" t="s">
        <v>8</v>
      </c>
      <c r="E8" s="13">
        <v>2.96</v>
      </c>
      <c r="F8" s="13">
        <v>451</v>
      </c>
      <c r="G8" s="13">
        <v>2.75</v>
      </c>
      <c r="H8" s="13">
        <v>0.7</v>
      </c>
      <c r="I8" s="13">
        <f t="shared" si="2"/>
        <v>2.0720000000000001</v>
      </c>
      <c r="J8" s="13">
        <v>1.173</v>
      </c>
      <c r="K8" s="15">
        <f t="shared" si="0"/>
        <v>56.61196911196911</v>
      </c>
      <c r="L8" s="9">
        <v>2.2703867706956001E+18</v>
      </c>
      <c r="M8" s="13">
        <f t="shared" si="1"/>
        <v>2.6631636820259389E+18</v>
      </c>
      <c r="N8" s="13">
        <f t="shared" si="3"/>
        <v>4.4223907041280954</v>
      </c>
      <c r="O8" s="13">
        <f t="shared" si="4"/>
        <v>2.1343584479382698</v>
      </c>
    </row>
    <row r="9" spans="1:15" x14ac:dyDescent="0.25">
      <c r="A9" s="3" t="s">
        <v>47</v>
      </c>
      <c r="B9" s="3">
        <v>16.5</v>
      </c>
      <c r="C9" s="12">
        <v>167</v>
      </c>
      <c r="D9" s="12">
        <v>65</v>
      </c>
      <c r="F9" t="s">
        <v>2</v>
      </c>
      <c r="G9" s="7"/>
      <c r="I9" s="6">
        <v>22.6</v>
      </c>
      <c r="J9" s="10"/>
      <c r="L9" s="8"/>
      <c r="M9" s="11"/>
      <c r="N9" s="12">
        <f>I9*C9/D9</f>
        <v>58.064615384615387</v>
      </c>
      <c r="O9" s="13">
        <f>N9/I9</f>
        <v>2.569230769230769</v>
      </c>
    </row>
    <row r="10" spans="1:15" s="13" customFormat="1" x14ac:dyDescent="0.25"/>
    <row r="11" spans="1:15" x14ac:dyDescent="0.25">
      <c r="A11" t="s">
        <v>24</v>
      </c>
      <c r="E11" t="s">
        <v>35</v>
      </c>
    </row>
    <row r="12" spans="1:15" x14ac:dyDescent="0.25">
      <c r="G12" s="7"/>
      <c r="J12" s="10"/>
      <c r="L12" s="8"/>
      <c r="M12" s="11"/>
      <c r="N12" s="12"/>
    </row>
    <row r="13" spans="1:15" x14ac:dyDescent="0.25">
      <c r="A13" s="13" t="s">
        <v>46</v>
      </c>
      <c r="B13" s="13" t="s">
        <v>45</v>
      </c>
    </row>
    <row r="14" spans="1:15" s="13" customFormat="1" x14ac:dyDescent="0.25">
      <c r="A14" s="13" t="s">
        <v>9</v>
      </c>
      <c r="B14" s="13">
        <v>20</v>
      </c>
    </row>
    <row r="15" spans="1:15" s="13" customFormat="1" x14ac:dyDescent="0.25">
      <c r="A15" s="13" t="s">
        <v>10</v>
      </c>
      <c r="B15" s="13">
        <v>5</v>
      </c>
    </row>
    <row r="16" spans="1:15" s="13" customFormat="1" x14ac:dyDescent="0.25">
      <c r="A16" s="13" t="s">
        <v>11</v>
      </c>
      <c r="B16" s="13">
        <v>400</v>
      </c>
    </row>
    <row r="17" spans="1:14" x14ac:dyDescent="0.25">
      <c r="A17" s="13" t="s">
        <v>42</v>
      </c>
      <c r="B17" s="13">
        <f>B16*56</f>
        <v>22400</v>
      </c>
      <c r="G17" s="7"/>
      <c r="J17" s="10"/>
      <c r="L17" s="8"/>
      <c r="M17" s="11"/>
      <c r="N17" s="12"/>
    </row>
    <row r="18" spans="1:14" s="13" customFormat="1" x14ac:dyDescent="0.25">
      <c r="A18" s="13" t="s">
        <v>12</v>
      </c>
      <c r="B18" s="13">
        <v>0.25</v>
      </c>
    </row>
    <row r="19" spans="1:14" s="13" customFormat="1" x14ac:dyDescent="0.25">
      <c r="A19" s="13" t="s">
        <v>27</v>
      </c>
      <c r="B19" s="13">
        <v>0.5</v>
      </c>
    </row>
    <row r="20" spans="1:14" s="13" customFormat="1" x14ac:dyDescent="0.25"/>
    <row r="21" spans="1:14" ht="45" x14ac:dyDescent="0.25">
      <c r="A21" t="s">
        <v>36</v>
      </c>
      <c r="B21" s="14" t="s">
        <v>30</v>
      </c>
      <c r="C21" s="14" t="s">
        <v>31</v>
      </c>
      <c r="D21" s="12" t="s">
        <v>2</v>
      </c>
      <c r="E21" s="12"/>
      <c r="G21" s="7"/>
      <c r="J21" s="10"/>
      <c r="L21" s="8"/>
      <c r="M21" s="11"/>
      <c r="N21" s="12"/>
    </row>
    <row r="22" spans="1:14" s="13" customFormat="1" x14ac:dyDescent="0.25">
      <c r="A22" s="13" t="s">
        <v>21</v>
      </c>
      <c r="B22" s="13">
        <v>0.5</v>
      </c>
      <c r="C22" s="13">
        <f>B22</f>
        <v>0.5</v>
      </c>
      <c r="D22" s="13" t="s">
        <v>23</v>
      </c>
    </row>
    <row r="23" spans="1:14" s="13" customFormat="1" x14ac:dyDescent="0.25">
      <c r="A23" s="13" t="s">
        <v>32</v>
      </c>
      <c r="B23" s="13" t="s">
        <v>23</v>
      </c>
      <c r="C23" s="13" t="s">
        <v>23</v>
      </c>
      <c r="D23" s="13">
        <f>B16/N9</f>
        <v>6.8888771130305759</v>
      </c>
    </row>
    <row r="24" spans="1:14" x14ac:dyDescent="0.25">
      <c r="A24" t="s">
        <v>33</v>
      </c>
      <c r="B24">
        <f>(1-B22)*$B$16/N5</f>
        <v>85.293232831712686</v>
      </c>
      <c r="C24" s="13">
        <f>(1-C22)*$B$16/N7</f>
        <v>44.179919504543435</v>
      </c>
      <c r="E24" s="12"/>
      <c r="G24" s="7"/>
      <c r="J24" s="10"/>
      <c r="L24" s="8"/>
      <c r="M24" s="11"/>
      <c r="N24" s="12"/>
    </row>
    <row r="25" spans="1:14" s="13" customFormat="1" x14ac:dyDescent="0.25">
      <c r="A25" s="13" t="s">
        <v>22</v>
      </c>
      <c r="B25" s="13">
        <f>B22*$B$16/N6</f>
        <v>76.881493008436792</v>
      </c>
      <c r="C25" s="13">
        <f>C22*$B$16/N8</f>
        <v>45.22440765202164</v>
      </c>
    </row>
    <row r="26" spans="1:14" x14ac:dyDescent="0.25">
      <c r="A26" t="s">
        <v>13</v>
      </c>
      <c r="B26">
        <f>$B$5*B24+$B$6*B25+B27*$B$19</f>
        <v>291.99150106629662</v>
      </c>
      <c r="C26" s="13">
        <f>$B$5*C24+$B$6*C25+C27*$B$19</f>
        <v>204.88191705674876</v>
      </c>
      <c r="D26" s="12">
        <f>D23*B9</f>
        <v>113.66647236500451</v>
      </c>
      <c r="E26" s="12"/>
    </row>
    <row r="27" spans="1:14" x14ac:dyDescent="0.25">
      <c r="A27" t="s">
        <v>14</v>
      </c>
      <c r="B27">
        <f>B24*I5+B25*I6</f>
        <v>140.87244698177949</v>
      </c>
      <c r="C27" s="13">
        <f>C24*I7+C25*I8</f>
        <v>167.9272374226218</v>
      </c>
      <c r="D27" s="12">
        <f>D23*I9</f>
        <v>155.68862275449104</v>
      </c>
      <c r="E27" s="12"/>
    </row>
    <row r="28" spans="1:14" x14ac:dyDescent="0.25">
      <c r="A28" t="s">
        <v>15</v>
      </c>
      <c r="B28">
        <v>0.95</v>
      </c>
      <c r="C28" s="12">
        <v>0.95</v>
      </c>
      <c r="D28" s="12">
        <v>0.85</v>
      </c>
      <c r="E28" s="12" t="s">
        <v>17</v>
      </c>
      <c r="G28" s="7"/>
      <c r="J28" s="10"/>
      <c r="L28" s="8"/>
      <c r="M28" s="11"/>
      <c r="N28" s="12"/>
    </row>
    <row r="29" spans="1:14" x14ac:dyDescent="0.25">
      <c r="A29" t="s">
        <v>16</v>
      </c>
      <c r="B29">
        <f>B27/B28</f>
        <v>148.28678629660999</v>
      </c>
      <c r="C29" s="13">
        <f>C27/C28</f>
        <v>176.76551307644402</v>
      </c>
      <c r="D29" s="13">
        <f>D27/D28</f>
        <v>183.16308559351887</v>
      </c>
      <c r="E29" s="12"/>
      <c r="G29" s="7"/>
      <c r="J29" s="10"/>
      <c r="L29" s="8"/>
      <c r="M29" s="11"/>
      <c r="N29" s="12"/>
    </row>
    <row r="30" spans="1:14" x14ac:dyDescent="0.25">
      <c r="A30" t="s">
        <v>18</v>
      </c>
      <c r="B30">
        <f>B26+B29*$B$14*365*$B$15*$B$18/1000</f>
        <v>1645.1084260228629</v>
      </c>
      <c r="C30" s="13">
        <f>C26+C29*$B$14*365*$B$15*$B$18/1000</f>
        <v>1817.8672238793004</v>
      </c>
      <c r="D30" s="13">
        <f>D26+D29*$B$14*365*$B$15*$B$18/1000</f>
        <v>1785.0296284058643</v>
      </c>
      <c r="E30" s="12"/>
    </row>
    <row r="31" spans="1:14" x14ac:dyDescent="0.25">
      <c r="A31" t="s">
        <v>43</v>
      </c>
      <c r="B31">
        <f>B24*J5+B25*J6</f>
        <v>89.297854129299282</v>
      </c>
      <c r="D31" s="12">
        <f>D23*I9*0.51</f>
        <v>79.401197604790426</v>
      </c>
    </row>
    <row r="32" spans="1:14" x14ac:dyDescent="0.25">
      <c r="A32" t="s">
        <v>44</v>
      </c>
      <c r="B32">
        <f>B31/B27</f>
        <v>0.63389155255356011</v>
      </c>
      <c r="D32" s="13">
        <f>D31/D27</f>
        <v>0.51</v>
      </c>
    </row>
    <row r="33" spans="1:2" x14ac:dyDescent="0.25">
      <c r="A33" t="s">
        <v>50</v>
      </c>
      <c r="B33">
        <f>B32*0.9</f>
        <v>0.57050239729820407</v>
      </c>
    </row>
    <row r="35" spans="1:2" x14ac:dyDescent="0.25">
      <c r="A35" t="s">
        <v>20</v>
      </c>
    </row>
    <row r="36" spans="1:2" x14ac:dyDescent="0.25">
      <c r="A36" t="s">
        <v>34</v>
      </c>
    </row>
  </sheetData>
  <pageMargins left="0.7" right="0.7" top="0.75" bottom="0.75" header="0.3" footer="0.3"/>
  <pageSetup paperSize="9" orientation="portrait" horizontalDpi="4294967293" verticalDpi="36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topLeftCell="A10" workbookViewId="0">
      <selection activeCell="A5" sqref="A5"/>
    </sheetView>
  </sheetViews>
  <sheetFormatPr baseColWidth="10" defaultColWidth="9.140625" defaultRowHeight="15" x14ac:dyDescent="0.25"/>
  <cols>
    <col min="1" max="1" width="29.5703125" customWidth="1"/>
  </cols>
  <sheetData>
    <row r="1" spans="2:5" s="13" customFormat="1" x14ac:dyDescent="0.25">
      <c r="B1"/>
      <c r="E1"/>
    </row>
  </sheetData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2021-01-24T21:19:12Z</dcterms:modified>
</cp:coreProperties>
</file>