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crii\PycharmProjects\DHLLDV\DHLLDV_viewer\static\pipelines\"/>
    </mc:Choice>
  </mc:AlternateContent>
  <xr:revisionPtr revIDLastSave="0" documentId="13_ncr:1_{378CDEE4-161D-49E2-99C2-30849B2EDC56}" xr6:coauthVersionLast="47" xr6:coauthVersionMax="47" xr10:uidLastSave="{00000000-0000-0000-0000-000000000000}"/>
  <bookViews>
    <workbookView xWindow="-110" yWindow="-110" windowWidth="19420" windowHeight="10300" activeTab="3" xr2:uid="{36A6D056-07A8-4E30-AFB9-7896CA916417}"/>
  </bookViews>
  <sheets>
    <sheet name="Pipeline" sheetId="11" r:id="rId1"/>
    <sheet name="UWPump" sheetId="14" r:id="rId2"/>
    <sheet name="MainPump" sheetId="12" r:id="rId3"/>
    <sheet name="MainDriver" sheetId="13" r:id="rId4"/>
  </sheets>
  <definedNames>
    <definedName name="avail_power" localSheetId="2">MainPump!$D$10</definedName>
    <definedName name="avail_power" localSheetId="1">UWPump!$D$10</definedName>
    <definedName name="CFS_to_GPM" localSheetId="2">MainPump!$I$1</definedName>
    <definedName name="CFS_to_GPM" localSheetId="1">UWPump!$I$1</definedName>
    <definedName name="discharge" localSheetId="2">MainPump!$D$6</definedName>
    <definedName name="discharge" localSheetId="1">UWPump!$D$6</definedName>
    <definedName name="driver_name" localSheetId="3">MainDriver!$B$1</definedName>
    <definedName name="gear_ratio" localSheetId="3">MainDriver!$B$3</definedName>
    <definedName name="impeller" localSheetId="2">MainPump!$D$4</definedName>
    <definedName name="impeller" localSheetId="1">UWPump!$D$4</definedName>
    <definedName name="limited" localSheetId="2">MainPump!$D$9</definedName>
    <definedName name="limited" localSheetId="1">UWPump!$D$9</definedName>
    <definedName name="pipeline_name" localSheetId="0">Pipeline!$B$1</definedName>
    <definedName name="power_curve" localSheetId="3">MainDriver!$D$5:$E$14</definedName>
    <definedName name="pump_curve" localSheetId="2">MainPump!$H$13:$J$29</definedName>
    <definedName name="pump_curve" localSheetId="1">UWPump!$H$13:$J$29</definedName>
    <definedName name="pump_name" localSheetId="2">MainPump!$B$2</definedName>
    <definedName name="pump_name" localSheetId="1">UWPump!$B$2</definedName>
    <definedName name="speed" localSheetId="2">MainPump!$D$7</definedName>
    <definedName name="speed" localSheetId="1">UWPump!$D$7</definedName>
    <definedName name="suction" localSheetId="2">MainPump!$D$5</definedName>
    <definedName name="suction" localSheetId="1">UWPump!$D$5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4" l="1"/>
  <c r="J29" i="14"/>
  <c r="I29" i="14"/>
  <c r="G29" i="14"/>
  <c r="J28" i="14"/>
  <c r="I28" i="14"/>
  <c r="G28" i="14"/>
  <c r="J27" i="14"/>
  <c r="I27" i="14"/>
  <c r="G27" i="14"/>
  <c r="J26" i="14"/>
  <c r="I26" i="14"/>
  <c r="G26" i="14"/>
  <c r="J25" i="14"/>
  <c r="I25" i="14"/>
  <c r="G25" i="14"/>
  <c r="J24" i="14"/>
  <c r="I24" i="14"/>
  <c r="G24" i="14"/>
  <c r="J23" i="14"/>
  <c r="I23" i="14"/>
  <c r="G23" i="14"/>
  <c r="J22" i="14"/>
  <c r="I22" i="14"/>
  <c r="G22" i="14"/>
  <c r="J21" i="14"/>
  <c r="I21" i="14"/>
  <c r="G21" i="14"/>
  <c r="Y20" i="14"/>
  <c r="J20" i="14"/>
  <c r="I20" i="14"/>
  <c r="G20" i="14"/>
  <c r="J19" i="14"/>
  <c r="I19" i="14"/>
  <c r="G19" i="14"/>
  <c r="J18" i="14"/>
  <c r="I18" i="14"/>
  <c r="G18" i="14"/>
  <c r="J17" i="14"/>
  <c r="I17" i="14"/>
  <c r="G17" i="14"/>
  <c r="J16" i="14"/>
  <c r="I16" i="14"/>
  <c r="G16" i="14"/>
  <c r="J15" i="14"/>
  <c r="I15" i="14"/>
  <c r="G15" i="14"/>
  <c r="J14" i="14"/>
  <c r="I14" i="14"/>
  <c r="G14" i="14"/>
  <c r="B10" i="14"/>
  <c r="D10" i="14" s="1"/>
  <c r="D7" i="14"/>
  <c r="H6" i="14"/>
  <c r="B29" i="14" s="1"/>
  <c r="D6" i="14"/>
  <c r="D5" i="14"/>
  <c r="D4" i="14"/>
  <c r="E32" i="11"/>
  <c r="C32" i="11"/>
  <c r="E31" i="11"/>
  <c r="C31" i="11"/>
  <c r="E30" i="11"/>
  <c r="C30" i="11"/>
  <c r="E29" i="11"/>
  <c r="C29" i="11"/>
  <c r="E28" i="11"/>
  <c r="C28" i="11"/>
  <c r="B28" i="11"/>
  <c r="E26" i="11"/>
  <c r="C26" i="11"/>
  <c r="B26" i="11"/>
  <c r="C25" i="11"/>
  <c r="B25" i="11"/>
  <c r="C23" i="11"/>
  <c r="B23" i="11"/>
  <c r="D22" i="11"/>
  <c r="C22" i="11"/>
  <c r="B22" i="11"/>
  <c r="J15" i="11"/>
  <c r="D15" i="11" s="1"/>
  <c r="D32" i="11" s="1"/>
  <c r="I14" i="11"/>
  <c r="D14" i="11" s="1"/>
  <c r="D31" i="11" s="1"/>
  <c r="D13" i="11"/>
  <c r="D30" i="11" s="1"/>
  <c r="D12" i="11"/>
  <c r="D29" i="11" s="1"/>
  <c r="B12" i="11"/>
  <c r="B29" i="11" s="1"/>
  <c r="D11" i="11"/>
  <c r="D28" i="11" s="1"/>
  <c r="D10" i="11"/>
  <c r="D9" i="11"/>
  <c r="D26" i="11" s="1"/>
  <c r="D8" i="11"/>
  <c r="D25" i="11" s="1"/>
  <c r="D7" i="11"/>
  <c r="C16" i="11"/>
  <c r="D6" i="11"/>
  <c r="D23" i="11" s="1"/>
  <c r="E5" i="11"/>
  <c r="E6" i="11" s="1"/>
  <c r="B10" i="12"/>
  <c r="B3" i="13"/>
  <c r="D7" i="13"/>
  <c r="E7" i="13"/>
  <c r="D8" i="13"/>
  <c r="E8" i="13"/>
  <c r="D9" i="13"/>
  <c r="E9" i="13"/>
  <c r="D10" i="13"/>
  <c r="E10" i="13"/>
  <c r="D11" i="13"/>
  <c r="E11" i="13"/>
  <c r="D12" i="13"/>
  <c r="E12" i="13"/>
  <c r="D13" i="13"/>
  <c r="E13" i="13"/>
  <c r="D14" i="13"/>
  <c r="E14" i="13"/>
  <c r="E6" i="13"/>
  <c r="D6" i="13"/>
  <c r="B14" i="14" l="1"/>
  <c r="D14" i="14" s="1"/>
  <c r="B18" i="14"/>
  <c r="D18" i="14" s="1"/>
  <c r="B24" i="14"/>
  <c r="H24" i="14" s="1"/>
  <c r="J41" i="14" s="1"/>
  <c r="B23" i="14"/>
  <c r="B15" i="14"/>
  <c r="H15" i="14" s="1"/>
  <c r="H32" i="14" s="1"/>
  <c r="B17" i="14"/>
  <c r="H17" i="14" s="1"/>
  <c r="J34" i="14" s="1"/>
  <c r="B19" i="14"/>
  <c r="B25" i="14"/>
  <c r="D25" i="14" s="1"/>
  <c r="B27" i="14"/>
  <c r="H27" i="14" s="1"/>
  <c r="J44" i="14" s="1"/>
  <c r="B26" i="14"/>
  <c r="D26" i="14" s="1"/>
  <c r="B16" i="14"/>
  <c r="H16" i="14" s="1"/>
  <c r="B28" i="14"/>
  <c r="J32" i="14"/>
  <c r="K17" i="14"/>
  <c r="H34" i="14"/>
  <c r="K27" i="14"/>
  <c r="D29" i="14"/>
  <c r="H29" i="14"/>
  <c r="J33" i="14"/>
  <c r="H33" i="14"/>
  <c r="K16" i="14"/>
  <c r="H41" i="14"/>
  <c r="D17" i="14"/>
  <c r="D16" i="14"/>
  <c r="B22" i="14"/>
  <c r="B20" i="14"/>
  <c r="B21" i="14"/>
  <c r="G26" i="11"/>
  <c r="C33" i="11"/>
  <c r="G29" i="11"/>
  <c r="E22" i="11"/>
  <c r="F22" i="11" s="1"/>
  <c r="D33" i="11"/>
  <c r="G28" i="11"/>
  <c r="F5" i="11"/>
  <c r="B13" i="11"/>
  <c r="D16" i="11"/>
  <c r="J29" i="12"/>
  <c r="I29" i="12"/>
  <c r="G29" i="12"/>
  <c r="J28" i="12"/>
  <c r="I28" i="12"/>
  <c r="G28" i="12"/>
  <c r="J27" i="12"/>
  <c r="I27" i="12"/>
  <c r="G27" i="12"/>
  <c r="J26" i="12"/>
  <c r="I26" i="12"/>
  <c r="G26" i="12"/>
  <c r="J25" i="12"/>
  <c r="I25" i="12"/>
  <c r="G25" i="12"/>
  <c r="J24" i="12"/>
  <c r="I24" i="12"/>
  <c r="G24" i="12"/>
  <c r="J23" i="12"/>
  <c r="I23" i="12"/>
  <c r="G23" i="12"/>
  <c r="J22" i="12"/>
  <c r="I22" i="12"/>
  <c r="G22" i="12"/>
  <c r="J21" i="12"/>
  <c r="I21" i="12"/>
  <c r="G21" i="12"/>
  <c r="Y20" i="12"/>
  <c r="J20" i="12"/>
  <c r="I20" i="12"/>
  <c r="G20" i="12"/>
  <c r="J19" i="12"/>
  <c r="I19" i="12"/>
  <c r="G19" i="12"/>
  <c r="J18" i="12"/>
  <c r="I18" i="12"/>
  <c r="G18" i="12"/>
  <c r="J17" i="12"/>
  <c r="I17" i="12"/>
  <c r="G17" i="12"/>
  <c r="J16" i="12"/>
  <c r="I16" i="12"/>
  <c r="G16" i="12"/>
  <c r="J15" i="12"/>
  <c r="I15" i="12"/>
  <c r="G15" i="12"/>
  <c r="J14" i="12"/>
  <c r="I14" i="12"/>
  <c r="G14" i="12"/>
  <c r="D10" i="12"/>
  <c r="D7" i="12"/>
  <c r="H6" i="12"/>
  <c r="B29" i="12" s="1"/>
  <c r="D6" i="12"/>
  <c r="D5" i="12"/>
  <c r="D4" i="12"/>
  <c r="H26" i="14" l="1"/>
  <c r="H44" i="14"/>
  <c r="D24" i="14"/>
  <c r="H18" i="14"/>
  <c r="K24" i="14"/>
  <c r="D27" i="14"/>
  <c r="H14" i="14"/>
  <c r="K15" i="14"/>
  <c r="H19" i="14"/>
  <c r="D19" i="14"/>
  <c r="D15" i="14"/>
  <c r="H28" i="14"/>
  <c r="D28" i="14"/>
  <c r="D23" i="14"/>
  <c r="H23" i="14"/>
  <c r="H25" i="14"/>
  <c r="K25" i="14"/>
  <c r="H42" i="14"/>
  <c r="J42" i="14"/>
  <c r="J46" i="14"/>
  <c r="K29" i="14"/>
  <c r="H46" i="14"/>
  <c r="H22" i="14"/>
  <c r="D22" i="14"/>
  <c r="K26" i="14"/>
  <c r="J43" i="14"/>
  <c r="H43" i="14"/>
  <c r="D21" i="14"/>
  <c r="H21" i="14"/>
  <c r="D20" i="14"/>
  <c r="H20" i="14"/>
  <c r="J35" i="14"/>
  <c r="K18" i="14"/>
  <c r="H35" i="14"/>
  <c r="G22" i="11"/>
  <c r="B30" i="11"/>
  <c r="G30" i="11" s="1"/>
  <c r="B14" i="11"/>
  <c r="H29" i="12"/>
  <c r="D29" i="12"/>
  <c r="B28" i="12"/>
  <c r="B18" i="12"/>
  <c r="B27" i="12"/>
  <c r="B16" i="12"/>
  <c r="B25" i="12"/>
  <c r="B19" i="12"/>
  <c r="B15" i="12"/>
  <c r="B24" i="12"/>
  <c r="B14" i="12"/>
  <c r="B23" i="12"/>
  <c r="B22" i="12"/>
  <c r="B17" i="12"/>
  <c r="B26" i="12"/>
  <c r="B20" i="12"/>
  <c r="B21" i="12"/>
  <c r="J31" i="14" l="1"/>
  <c r="H31" i="14"/>
  <c r="K14" i="14"/>
  <c r="H40" i="14"/>
  <c r="J40" i="14"/>
  <c r="K23" i="14"/>
  <c r="J36" i="14"/>
  <c r="K19" i="14"/>
  <c r="H36" i="14"/>
  <c r="J45" i="14"/>
  <c r="H45" i="14"/>
  <c r="K28" i="14"/>
  <c r="K20" i="14"/>
  <c r="J37" i="14"/>
  <c r="H37" i="14"/>
  <c r="J39" i="14"/>
  <c r="K22" i="14"/>
  <c r="H39" i="14"/>
  <c r="J38" i="14"/>
  <c r="K21" i="14"/>
  <c r="H38" i="14"/>
  <c r="B31" i="11"/>
  <c r="G31" i="11" s="1"/>
  <c r="B15" i="11"/>
  <c r="B32" i="11" s="1"/>
  <c r="G32" i="11" s="1"/>
  <c r="H25" i="12"/>
  <c r="D25" i="12"/>
  <c r="D23" i="12"/>
  <c r="H23" i="12"/>
  <c r="H18" i="12"/>
  <c r="D18" i="12"/>
  <c r="H19" i="12"/>
  <c r="D19" i="12"/>
  <c r="H16" i="12"/>
  <c r="D16" i="12"/>
  <c r="D27" i="12"/>
  <c r="H27" i="12"/>
  <c r="D14" i="12"/>
  <c r="H14" i="12"/>
  <c r="H28" i="12"/>
  <c r="D28" i="12"/>
  <c r="H20" i="12"/>
  <c r="D20" i="12"/>
  <c r="H17" i="12"/>
  <c r="D17" i="12"/>
  <c r="H24" i="12"/>
  <c r="D24" i="12"/>
  <c r="H26" i="12"/>
  <c r="D26" i="12"/>
  <c r="D22" i="12"/>
  <c r="H22" i="12"/>
  <c r="D21" i="12"/>
  <c r="H21" i="12"/>
  <c r="H15" i="12"/>
  <c r="D15" i="12"/>
  <c r="J46" i="12"/>
  <c r="K29" i="12"/>
  <c r="H46" i="12"/>
  <c r="J43" i="12" l="1"/>
  <c r="H43" i="12"/>
  <c r="K26" i="12"/>
  <c r="K28" i="12"/>
  <c r="J45" i="12"/>
  <c r="H45" i="12"/>
  <c r="K19" i="12"/>
  <c r="J36" i="12"/>
  <c r="H36" i="12"/>
  <c r="K15" i="12"/>
  <c r="J32" i="12"/>
  <c r="H32" i="12"/>
  <c r="J35" i="12"/>
  <c r="K18" i="12"/>
  <c r="H35" i="12"/>
  <c r="J38" i="12"/>
  <c r="K21" i="12"/>
  <c r="H38" i="12"/>
  <c r="K27" i="12"/>
  <c r="J44" i="12"/>
  <c r="H44" i="12"/>
  <c r="K23" i="12"/>
  <c r="J40" i="12"/>
  <c r="H40" i="12"/>
  <c r="J31" i="12"/>
  <c r="H31" i="12"/>
  <c r="K14" i="12"/>
  <c r="J34" i="12"/>
  <c r="H34" i="12"/>
  <c r="K17" i="12"/>
  <c r="H41" i="12"/>
  <c r="J41" i="12"/>
  <c r="K24" i="12"/>
  <c r="J39" i="12"/>
  <c r="H39" i="12"/>
  <c r="K22" i="12"/>
  <c r="H37" i="12"/>
  <c r="K20" i="12"/>
  <c r="J37" i="12"/>
  <c r="H33" i="12"/>
  <c r="J33" i="12"/>
  <c r="K16" i="12"/>
  <c r="J42" i="12"/>
  <c r="H42" i="12"/>
  <c r="K25" i="12"/>
  <c r="E8" i="11" l="1"/>
  <c r="E25" i="11" s="1"/>
  <c r="G25" i="11" s="1"/>
  <c r="F6" i="11"/>
  <c r="F7" i="11" s="1"/>
  <c r="F8" i="11" s="1"/>
  <c r="F9" i="11" s="1"/>
  <c r="E23" i="11"/>
  <c r="F23" i="11" s="1"/>
  <c r="F24" i="11" s="1"/>
  <c r="G23" i="11"/>
  <c r="F25" i="11" l="1"/>
  <c r="F26" i="11" s="1"/>
</calcChain>
</file>

<file path=xl/sharedStrings.xml><?xml version="1.0" encoding="utf-8"?>
<sst xmlns="http://schemas.openxmlformats.org/spreadsheetml/2006/main" count="138" uniqueCount="82">
  <si>
    <t>Eff</t>
  </si>
  <si>
    <t>Gravity</t>
  </si>
  <si>
    <t>Q GPM</t>
  </si>
  <si>
    <t>H Ft</t>
  </si>
  <si>
    <t>HP =</t>
  </si>
  <si>
    <t>RPM =</t>
  </si>
  <si>
    <t>Hz</t>
  </si>
  <si>
    <t>ft/sec2 =</t>
  </si>
  <si>
    <t>m/sec2</t>
  </si>
  <si>
    <t xml:space="preserve">In = </t>
  </si>
  <si>
    <t>m</t>
  </si>
  <si>
    <t>kW</t>
  </si>
  <si>
    <t>v m/sec</t>
  </si>
  <si>
    <t>McCaskill UWP</t>
  </si>
  <si>
    <t>Eff %</t>
  </si>
  <si>
    <t>Power HP</t>
  </si>
  <si>
    <t>v Ft/sec</t>
  </si>
  <si>
    <t>CFS to GPM:</t>
  </si>
  <si>
    <t>Discharge Pipe Area:</t>
  </si>
  <si>
    <t>ft^2</t>
  </si>
  <si>
    <t>UWP 34x34x60 @ 300RPM</t>
  </si>
  <si>
    <t>Name</t>
  </si>
  <si>
    <t>Gear Ratio</t>
  </si>
  <si>
    <t>Speed RPM</t>
  </si>
  <si>
    <t>Power kW</t>
  </si>
  <si>
    <t>Total</t>
  </si>
  <si>
    <t>SC / 38.5'</t>
  </si>
  <si>
    <t>Shore Line</t>
  </si>
  <si>
    <t>BB / 750'</t>
  </si>
  <si>
    <t>Subline</t>
  </si>
  <si>
    <t>BB 15 BB BB 15 BB</t>
  </si>
  <si>
    <t>Riser</t>
  </si>
  <si>
    <t>Float Hose</t>
  </si>
  <si>
    <t>90 90 90 BB</t>
  </si>
  <si>
    <t>MP 2 Discharge</t>
  </si>
  <si>
    <t>Main Pump 1</t>
  </si>
  <si>
    <t>CL</t>
  </si>
  <si>
    <t>MP 1 Suction</t>
  </si>
  <si>
    <t>90 30</t>
  </si>
  <si>
    <t>UWP to Trunion</t>
  </si>
  <si>
    <t>Underwater Pump</t>
  </si>
  <si>
    <t>UWP Suction</t>
  </si>
  <si>
    <t>Entrance</t>
  </si>
  <si>
    <t>Cleanout</t>
  </si>
  <si>
    <t>Gate Valve</t>
  </si>
  <si>
    <t>Run +</t>
  </si>
  <si>
    <t>Branch +</t>
  </si>
  <si>
    <t>Run T</t>
  </si>
  <si>
    <t>Branch T</t>
  </si>
  <si>
    <t>Scope</t>
  </si>
  <si>
    <t>Ball/Bell</t>
  </si>
  <si>
    <t>Fittings</t>
  </si>
  <si>
    <t>Final Elev</t>
  </si>
  <si>
    <t>delta Z</t>
  </si>
  <si>
    <t>K</t>
  </si>
  <si>
    <t>Len (Ft)</t>
  </si>
  <si>
    <t>Dia (In)</t>
  </si>
  <si>
    <t>Item</t>
  </si>
  <si>
    <t>Ft</t>
  </si>
  <si>
    <t>Dig Depth</t>
  </si>
  <si>
    <t>Dia (m)</t>
  </si>
  <si>
    <t>Dredge Discharge</t>
  </si>
  <si>
    <t>Main Pump</t>
  </si>
  <si>
    <t>copy.copy(Ladder_Pump),</t>
  </si>
  <si>
    <t>copy.copy(Main_Pump),</t>
  </si>
  <si>
    <t>Len (m)</t>
  </si>
  <si>
    <t>delta Z (m)</t>
  </si>
  <si>
    <t>Final Elev (m)</t>
  </si>
  <si>
    <t>Name:</t>
  </si>
  <si>
    <t>Test Excel Load</t>
  </si>
  <si>
    <t>Flow m3/sec</t>
  </si>
  <si>
    <t>Head m</t>
  </si>
  <si>
    <t>Limited</t>
  </si>
  <si>
    <t>0.864x0.864x2.134m Pump at 315 RPM</t>
  </si>
  <si>
    <t>curve</t>
  </si>
  <si>
    <t>EMD 710-20-E23</t>
  </si>
  <si>
    <t>Speed Hz</t>
  </si>
  <si>
    <t>Available power</t>
  </si>
  <si>
    <t>Suction Dia</t>
  </si>
  <si>
    <t>Impeller Dia</t>
  </si>
  <si>
    <t>Discharge Dia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</si>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</sst>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%"/>
    <numFmt numFmtId="165" formatCode="0.000"/>
    <numFmt numFmtId="166" formatCode="0.0"/>
    <numFmt numFmtId="167" formatCode="_(* #,##0.0_);_(* \(#,##0.0\);_(* &quot;-&quot;??_);_(@_)"/>
    <numFmt numFmtId="168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02124"/>
      <name val="Arial"/>
      <family val="2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2" borderId="0" xfId="0" applyFill="1"/>
    <xf numFmtId="165" fontId="0" fillId="0" borderId="0" xfId="0" applyNumberFormat="1"/>
    <xf numFmtId="2" fontId="0" fillId="0" borderId="0" xfId="0" applyNumberFormat="1"/>
    <xf numFmtId="0" fontId="0" fillId="3" borderId="0" xfId="0" applyFill="1"/>
    <xf numFmtId="0" fontId="3" fillId="0" borderId="0" xfId="0" applyFont="1"/>
    <xf numFmtId="0" fontId="0" fillId="0" borderId="0" xfId="0" applyAlignment="1">
      <alignment horizontal="right"/>
    </xf>
    <xf numFmtId="0" fontId="4" fillId="3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6" fontId="0" fillId="0" borderId="0" xfId="0" applyNumberFormat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166" fontId="0" fillId="5" borderId="2" xfId="0" applyNumberFormat="1" applyFill="1" applyBorder="1"/>
    <xf numFmtId="2" fontId="0" fillId="5" borderId="2" xfId="0" applyNumberFormat="1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166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0" fontId="0" fillId="6" borderId="0" xfId="0" applyFill="1" applyAlignment="1">
      <alignment horizontal="center"/>
    </xf>
    <xf numFmtId="166" fontId="0" fillId="6" borderId="0" xfId="0" applyNumberFormat="1" applyFill="1"/>
    <xf numFmtId="2" fontId="0" fillId="6" borderId="0" xfId="0" applyNumberFormat="1" applyFill="1"/>
    <xf numFmtId="0" fontId="0" fillId="0" borderId="0" xfId="0" applyAlignment="1">
      <alignment horizontal="left"/>
    </xf>
    <xf numFmtId="0" fontId="0" fillId="5" borderId="0" xfId="0" applyFill="1" applyAlignment="1">
      <alignment horizontal="right"/>
    </xf>
    <xf numFmtId="166" fontId="0" fillId="5" borderId="0" xfId="0" applyNumberFormat="1" applyFill="1" applyAlignment="1">
      <alignment horizontal="right"/>
    </xf>
    <xf numFmtId="0" fontId="0" fillId="0" borderId="1" xfId="0" applyBorder="1" applyAlignment="1">
      <alignment horizontal="right"/>
    </xf>
    <xf numFmtId="166" fontId="0" fillId="0" borderId="0" xfId="0" applyNumberFormat="1" applyAlignment="1">
      <alignment horizontal="center"/>
    </xf>
    <xf numFmtId="165" fontId="0" fillId="5" borderId="0" xfId="0" applyNumberFormat="1" applyFill="1"/>
    <xf numFmtId="165" fontId="0" fillId="6" borderId="0" xfId="0" applyNumberFormat="1" applyFill="1"/>
    <xf numFmtId="165" fontId="0" fillId="5" borderId="2" xfId="0" applyNumberFormat="1" applyFill="1" applyBorder="1"/>
    <xf numFmtId="0" fontId="0" fillId="0" borderId="0" xfId="0" quotePrefix="1"/>
    <xf numFmtId="168" fontId="0" fillId="0" borderId="0" xfId="2" applyNumberFormat="1" applyFont="1"/>
    <xf numFmtId="166" fontId="0" fillId="3" borderId="0" xfId="0" applyNumberFormat="1" applyFill="1"/>
    <xf numFmtId="167" fontId="4" fillId="3" borderId="0" xfId="2" applyNumberFormat="1" applyFont="1" applyFill="1"/>
    <xf numFmtId="167" fontId="0" fillId="3" borderId="0" xfId="2" applyNumberFormat="1" applyFont="1" applyFill="1"/>
    <xf numFmtId="0" fontId="4" fillId="3" borderId="0" xfId="0" applyFont="1" applyFill="1" applyBorder="1"/>
    <xf numFmtId="167" fontId="4" fillId="3" borderId="0" xfId="2" applyNumberFormat="1" applyFont="1" applyFill="1" applyBorder="1"/>
    <xf numFmtId="0" fontId="0" fillId="0" borderId="0" xfId="0" applyBorder="1"/>
    <xf numFmtId="164" fontId="0" fillId="0" borderId="0" xfId="1" applyNumberFormat="1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8" fontId="0" fillId="0" borderId="0" xfId="2" applyNumberFormat="1" applyFont="1" applyFill="1"/>
    <xf numFmtId="166" fontId="0" fillId="3" borderId="0" xfId="0" applyNumberFormat="1" applyFill="1" applyBorder="1"/>
    <xf numFmtId="166" fontId="0" fillId="0" borderId="0" xfId="0" applyNumberFormat="1" applyFill="1"/>
    <xf numFmtId="0" fontId="5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0" borderId="0" xfId="0" applyFont="1" applyBorder="1"/>
    <xf numFmtId="0" fontId="5" fillId="4" borderId="0" xfId="0" applyFont="1" applyFill="1" applyBorder="1"/>
    <xf numFmtId="0" fontId="6" fillId="0" borderId="0" xfId="0" applyFont="1"/>
    <xf numFmtId="0" fontId="5" fillId="0" borderId="0" xfId="0" applyFont="1" applyAlignment="1">
      <alignment horizontal="right"/>
    </xf>
    <xf numFmtId="2" fontId="5" fillId="0" borderId="0" xfId="0" applyNumberFormat="1" applyFont="1"/>
    <xf numFmtId="168" fontId="5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689724702186325E-2"/>
          <c:y val="3.1406138472519628E-2"/>
          <c:w val="0.8989711566587345"/>
          <c:h val="0.90236040623401736"/>
        </c:manualLayout>
      </c:layout>
      <c:scatterChart>
        <c:scatterStyle val="lineMarker"/>
        <c:varyColors val="0"/>
        <c:ser>
          <c:idx val="0"/>
          <c:order val="0"/>
          <c:tx>
            <c:v>Head Input Ft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7453943218680584E-2"/>
                  <c:y val="-0.22964024571874983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UWPump!$B$14:$B$29</c:f>
              <c:numCache>
                <c:formatCode>_(* #,##0_);_(* \(#,##0\);_(* "-"??_);_(@_)</c:formatCode>
                <c:ptCount val="16"/>
                <c:pt idx="0">
                  <c:v>0</c:v>
                </c:pt>
                <c:pt idx="1">
                  <c:v>5659.760636050989</c:v>
                </c:pt>
                <c:pt idx="2">
                  <c:v>11319.521272101978</c:v>
                </c:pt>
                <c:pt idx="3">
                  <c:v>16979.281908152967</c:v>
                </c:pt>
                <c:pt idx="4">
                  <c:v>22639.042544203956</c:v>
                </c:pt>
                <c:pt idx="5">
                  <c:v>28298.803180254945</c:v>
                </c:pt>
                <c:pt idx="6">
                  <c:v>33958.563816305934</c:v>
                </c:pt>
                <c:pt idx="7">
                  <c:v>39618.324452356923</c:v>
                </c:pt>
                <c:pt idx="8">
                  <c:v>45278.085088407912</c:v>
                </c:pt>
                <c:pt idx="9">
                  <c:v>50937.845724458901</c:v>
                </c:pt>
                <c:pt idx="10">
                  <c:v>56597.60636050989</c:v>
                </c:pt>
                <c:pt idx="11">
                  <c:v>62257.366996560879</c:v>
                </c:pt>
                <c:pt idx="12">
                  <c:v>67917.127632611868</c:v>
                </c:pt>
                <c:pt idx="13">
                  <c:v>73576.888268662864</c:v>
                </c:pt>
                <c:pt idx="14">
                  <c:v>79236.648904713846</c:v>
                </c:pt>
                <c:pt idx="15">
                  <c:v>84896.409540764827</c:v>
                </c:pt>
              </c:numCache>
            </c:numRef>
          </c:xVal>
          <c:yVal>
            <c:numRef>
              <c:f>UWPump!$C$14:$C$29</c:f>
              <c:numCache>
                <c:formatCode>0.0</c:formatCode>
                <c:ptCount val="16"/>
                <c:pt idx="0">
                  <c:v>112.07804413656908</c:v>
                </c:pt>
                <c:pt idx="1">
                  <c:v>111.90921143946368</c:v>
                </c:pt>
                <c:pt idx="2">
                  <c:v>111.44640296562086</c:v>
                </c:pt>
                <c:pt idx="3">
                  <c:v>110.65381637119108</c:v>
                </c:pt>
                <c:pt idx="4">
                  <c:v>109.51051504641677</c:v>
                </c:pt>
                <c:pt idx="5">
                  <c:v>108.01102837157788</c:v>
                </c:pt>
                <c:pt idx="6">
                  <c:v>106.16514088523554</c:v>
                </c:pt>
                <c:pt idx="7">
                  <c:v>103.99682513667045</c:v>
                </c:pt>
                <c:pt idx="8">
                  <c:v>101.54239039924866</c:v>
                </c:pt>
                <c:pt idx="9">
                  <c:v>98.84802155820627</c:v>
                </c:pt>
                <c:pt idx="10">
                  <c:v>95.966952520913182</c:v>
                </c:pt>
                <c:pt idx="11">
                  <c:v>92.956547008200985</c:v>
                </c:pt>
                <c:pt idx="12">
                  <c:v>89.875546479220858</c:v>
                </c:pt>
                <c:pt idx="13">
                  <c:v>86.781698520794137</c:v>
                </c:pt>
                <c:pt idx="14">
                  <c:v>83.729912882852531</c:v>
                </c:pt>
                <c:pt idx="15">
                  <c:v>80.771021393068821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0F-4DEE-B8B5-D803BA52AB15}"/>
            </c:ext>
          </c:extLst>
        </c:ser>
        <c:ser>
          <c:idx val="2"/>
          <c:order val="2"/>
          <c:tx>
            <c:v>Eff Input 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3056968631098524"/>
                  <c:y val="-0.23719188206399253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UWPump!$B$14:$B$29</c:f>
              <c:numCache>
                <c:formatCode>_(* #,##0_);_(* \(#,##0\);_(* "-"??_);_(@_)</c:formatCode>
                <c:ptCount val="16"/>
                <c:pt idx="0">
                  <c:v>0</c:v>
                </c:pt>
                <c:pt idx="1">
                  <c:v>5659.760636050989</c:v>
                </c:pt>
                <c:pt idx="2">
                  <c:v>11319.521272101978</c:v>
                </c:pt>
                <c:pt idx="3">
                  <c:v>16979.281908152967</c:v>
                </c:pt>
                <c:pt idx="4">
                  <c:v>22639.042544203956</c:v>
                </c:pt>
                <c:pt idx="5">
                  <c:v>28298.803180254945</c:v>
                </c:pt>
                <c:pt idx="6">
                  <c:v>33958.563816305934</c:v>
                </c:pt>
                <c:pt idx="7">
                  <c:v>39618.324452356923</c:v>
                </c:pt>
                <c:pt idx="8">
                  <c:v>45278.085088407912</c:v>
                </c:pt>
                <c:pt idx="9">
                  <c:v>50937.845724458901</c:v>
                </c:pt>
                <c:pt idx="10">
                  <c:v>56597.60636050989</c:v>
                </c:pt>
                <c:pt idx="11">
                  <c:v>62257.366996560879</c:v>
                </c:pt>
                <c:pt idx="12">
                  <c:v>67917.127632611868</c:v>
                </c:pt>
                <c:pt idx="13">
                  <c:v>73576.888268662864</c:v>
                </c:pt>
                <c:pt idx="14">
                  <c:v>79236.648904713846</c:v>
                </c:pt>
                <c:pt idx="15">
                  <c:v>84896.409540764827</c:v>
                </c:pt>
              </c:numCache>
            </c:numRef>
          </c:xVal>
          <c:yVal>
            <c:numRef>
              <c:f>UWPump!$D$14:$D$29</c:f>
              <c:numCache>
                <c:formatCode>0.0</c:formatCode>
                <c:ptCount val="16"/>
                <c:pt idx="0">
                  <c:v>0</c:v>
                </c:pt>
                <c:pt idx="1">
                  <c:v>44.993114593352345</c:v>
                </c:pt>
                <c:pt idx="2">
                  <c:v>58.366433328998852</c:v>
                </c:pt>
                <c:pt idx="3">
                  <c:v>66.25243467148313</c:v>
                </c:pt>
                <c:pt idx="4">
                  <c:v>71.418090136807777</c:v>
                </c:pt>
                <c:pt idx="5">
                  <c:v>74.878695252862229</c:v>
                </c:pt>
                <c:pt idx="6">
                  <c:v>77.109628095859165</c:v>
                </c:pt>
                <c:pt idx="7">
                  <c:v>78.355607844983155</c:v>
                </c:pt>
                <c:pt idx="8">
                  <c:v>78.745760545303426</c:v>
                </c:pt>
                <c:pt idx="9">
                  <c:v>78.347575156743346</c:v>
                </c:pt>
                <c:pt idx="10">
                  <c:v>77.197318440056904</c:v>
                </c:pt>
                <c:pt idx="11">
                  <c:v>75.32013568023136</c:v>
                </c:pt>
                <c:pt idx="12">
                  <c:v>72.745048933891951</c:v>
                </c:pt>
                <c:pt idx="13">
                  <c:v>69.516853126649153</c:v>
                </c:pt>
                <c:pt idx="14">
                  <c:v>65.705382939207482</c:v>
                </c:pt>
                <c:pt idx="15">
                  <c:v>61.41179783287653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0F-4DEE-B8B5-D803BA52A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29727"/>
        <c:axId val="100923487"/>
      </c:scatterChart>
      <c:scatterChart>
        <c:scatterStyle val="lineMarker"/>
        <c:varyColors val="0"/>
        <c:ser>
          <c:idx val="1"/>
          <c:order val="1"/>
          <c:tx>
            <c:v>Power Input HP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276027196145548"/>
                  <c:y val="0.62317714568334204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UWPump!$B$14:$B$29</c:f>
              <c:numCache>
                <c:formatCode>_(* #,##0_);_(* \(#,##0\);_(* "-"??_);_(@_)</c:formatCode>
                <c:ptCount val="16"/>
                <c:pt idx="0">
                  <c:v>0</c:v>
                </c:pt>
                <c:pt idx="1">
                  <c:v>5659.760636050989</c:v>
                </c:pt>
                <c:pt idx="2">
                  <c:v>11319.521272101978</c:v>
                </c:pt>
                <c:pt idx="3">
                  <c:v>16979.281908152967</c:v>
                </c:pt>
                <c:pt idx="4">
                  <c:v>22639.042544203956</c:v>
                </c:pt>
                <c:pt idx="5">
                  <c:v>28298.803180254945</c:v>
                </c:pt>
                <c:pt idx="6">
                  <c:v>33958.563816305934</c:v>
                </c:pt>
                <c:pt idx="7">
                  <c:v>39618.324452356923</c:v>
                </c:pt>
                <c:pt idx="8">
                  <c:v>45278.085088407912</c:v>
                </c:pt>
                <c:pt idx="9">
                  <c:v>50937.845724458901</c:v>
                </c:pt>
                <c:pt idx="10">
                  <c:v>56597.60636050989</c:v>
                </c:pt>
                <c:pt idx="11">
                  <c:v>62257.366996560879</c:v>
                </c:pt>
                <c:pt idx="12">
                  <c:v>67917.127632611868</c:v>
                </c:pt>
                <c:pt idx="13">
                  <c:v>73576.888268662864</c:v>
                </c:pt>
                <c:pt idx="14">
                  <c:v>79236.648904713846</c:v>
                </c:pt>
                <c:pt idx="15">
                  <c:v>84896.409540764827</c:v>
                </c:pt>
              </c:numCache>
            </c:numRef>
          </c:xVal>
          <c:yVal>
            <c:numRef>
              <c:f>UWPump!$E$14:$E$29</c:f>
              <c:numCache>
                <c:formatCode>_(* #,##0.0_);_(* \(#,##0.0\);_(* "-"??_);_(@_)</c:formatCode>
                <c:ptCount val="16"/>
                <c:pt idx="0">
                  <c:v>200</c:v>
                </c:pt>
                <c:pt idx="1">
                  <c:v>355.48612643742598</c:v>
                </c:pt>
                <c:pt idx="2">
                  <c:v>545.80281933281822</c:v>
                </c:pt>
                <c:pt idx="3">
                  <c:v>716.12475648939767</c:v>
                </c:pt>
                <c:pt idx="4">
                  <c:v>876.61815166325812</c:v>
                </c:pt>
                <c:pt idx="5">
                  <c:v>1030.8197134146665</c:v>
                </c:pt>
                <c:pt idx="6">
                  <c:v>1180.6670976329533</c:v>
                </c:pt>
                <c:pt idx="7">
                  <c:v>1327.855801945281</c:v>
                </c:pt>
                <c:pt idx="8">
                  <c:v>1474.3923415459931</c:v>
                </c:pt>
                <c:pt idx="9">
                  <c:v>1622.8852365054029</c:v>
                </c:pt>
                <c:pt idx="10">
                  <c:v>1776.7338126596146</c:v>
                </c:pt>
                <c:pt idx="11">
                  <c:v>1940.280204065019</c:v>
                </c:pt>
                <c:pt idx="12">
                  <c:v>2118.9574121870969</c:v>
                </c:pt>
                <c:pt idx="13">
                  <c:v>2319.446034112932</c:v>
                </c:pt>
                <c:pt idx="14">
                  <c:v>2549.8263370917853</c:v>
                </c:pt>
                <c:pt idx="15">
                  <c:v>2819.6675134712896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0F-4DEE-B8B5-D803BA52A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52687"/>
        <c:axId val="381250607"/>
      </c:scatterChart>
      <c:valAx>
        <c:axId val="10092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3487"/>
        <c:crosses val="autoZero"/>
        <c:crossBetween val="midCat"/>
      </c:valAx>
      <c:valAx>
        <c:axId val="10092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9727"/>
        <c:crosses val="autoZero"/>
        <c:crossBetween val="midCat"/>
      </c:valAx>
      <c:valAx>
        <c:axId val="381250607"/>
        <c:scaling>
          <c:orientation val="minMax"/>
        </c:scaling>
        <c:delete val="0"/>
        <c:axPos val="r"/>
        <c:numFmt formatCode="_(* #,##0.0_);_(* \(#,##0.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52687"/>
        <c:crosses val="max"/>
        <c:crossBetween val="midCat"/>
      </c:valAx>
      <c:valAx>
        <c:axId val="381252687"/>
        <c:scaling>
          <c:orientation val="minMax"/>
        </c:scaling>
        <c:delete val="1"/>
        <c:axPos val="b"/>
        <c:numFmt formatCode="_(* #,##0_);_(* \(#,##0\);_(* &quot;-&quot;??_);_(@_)" sourceLinked="1"/>
        <c:majorTickMark val="out"/>
        <c:minorTickMark val="none"/>
        <c:tickLblPos val="nextTo"/>
        <c:crossAx val="381250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689724702186325E-2"/>
          <c:y val="3.1406138472519628E-2"/>
          <c:w val="0.8989711566587345"/>
          <c:h val="0.90236040623401736"/>
        </c:manualLayout>
      </c:layout>
      <c:scatterChart>
        <c:scatterStyle val="lineMarker"/>
        <c:varyColors val="0"/>
        <c:ser>
          <c:idx val="0"/>
          <c:order val="0"/>
          <c:tx>
            <c:v>Head Input Ft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7453943218680584E-2"/>
                  <c:y val="-0.22964024571874983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MainPump!$B$14:$B$29</c:f>
              <c:numCache>
                <c:formatCode>_(* #,##0_);_(* \(#,##0\);_(* "-"??_);_(@_)</c:formatCode>
                <c:ptCount val="16"/>
                <c:pt idx="0">
                  <c:v>0</c:v>
                </c:pt>
                <c:pt idx="1">
                  <c:v>5659.760636050989</c:v>
                </c:pt>
                <c:pt idx="2">
                  <c:v>11319.521272101978</c:v>
                </c:pt>
                <c:pt idx="3">
                  <c:v>16979.281908152967</c:v>
                </c:pt>
                <c:pt idx="4">
                  <c:v>22639.042544203956</c:v>
                </c:pt>
                <c:pt idx="5">
                  <c:v>28298.803180254945</c:v>
                </c:pt>
                <c:pt idx="6">
                  <c:v>33958.563816305934</c:v>
                </c:pt>
                <c:pt idx="7">
                  <c:v>39618.324452356923</c:v>
                </c:pt>
                <c:pt idx="8">
                  <c:v>45278.085088407912</c:v>
                </c:pt>
                <c:pt idx="9">
                  <c:v>50937.845724458901</c:v>
                </c:pt>
                <c:pt idx="10">
                  <c:v>56597.60636050989</c:v>
                </c:pt>
                <c:pt idx="11">
                  <c:v>62257.366996560879</c:v>
                </c:pt>
                <c:pt idx="12">
                  <c:v>67917.127632611868</c:v>
                </c:pt>
                <c:pt idx="13">
                  <c:v>73576.888268662864</c:v>
                </c:pt>
                <c:pt idx="14">
                  <c:v>79236.648904713846</c:v>
                </c:pt>
                <c:pt idx="15">
                  <c:v>84896.409540764827</c:v>
                </c:pt>
              </c:numCache>
            </c:numRef>
          </c:xVal>
          <c:yVal>
            <c:numRef>
              <c:f>MainPump!$C$14:$C$29</c:f>
              <c:numCache>
                <c:formatCode>0.0</c:formatCode>
                <c:ptCount val="16"/>
                <c:pt idx="0">
                  <c:v>284.60390967860326</c:v>
                </c:pt>
                <c:pt idx="1">
                  <c:v>283.63015918273595</c:v>
                </c:pt>
                <c:pt idx="2">
                  <c:v>282.32106151460493</c:v>
                </c:pt>
                <c:pt idx="3">
                  <c:v>280.62143872503043</c:v>
                </c:pt>
                <c:pt idx="4">
                  <c:v>278.49043707319078</c:v>
                </c:pt>
                <c:pt idx="5">
                  <c:v>275.90201786958721</c:v>
                </c:pt>
                <c:pt idx="6">
                  <c:v>272.84510084329219</c:v>
                </c:pt>
                <c:pt idx="7">
                  <c:v>269.32328822176822</c:v>
                </c:pt>
                <c:pt idx="8">
                  <c:v>265.35414000721357</c:v>
                </c:pt>
                <c:pt idx="9">
                  <c:v>260.96801410809252</c:v>
                </c:pt>
                <c:pt idx="10">
                  <c:v>256.2065248654842</c:v>
                </c:pt>
                <c:pt idx="11">
                  <c:v>251.12070616305218</c:v>
                </c:pt>
                <c:pt idx="12">
                  <c:v>245.76898773308471</c:v>
                </c:pt>
                <c:pt idx="13">
                  <c:v>240.21510391176363</c:v>
                </c:pt>
                <c:pt idx="14">
                  <c:v>234.52605302036019</c:v>
                </c:pt>
                <c:pt idx="15">
                  <c:v>228.77021431529786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EA-4E7C-93C8-6D7A0AA2B8B4}"/>
            </c:ext>
          </c:extLst>
        </c:ser>
        <c:ser>
          <c:idx val="2"/>
          <c:order val="2"/>
          <c:tx>
            <c:v>Eff Input 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3056968631098524"/>
                  <c:y val="-0.23719188206399253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MainPump!$B$14:$B$29</c:f>
              <c:numCache>
                <c:formatCode>_(* #,##0_);_(* \(#,##0\);_(* "-"??_);_(@_)</c:formatCode>
                <c:ptCount val="16"/>
                <c:pt idx="0">
                  <c:v>0</c:v>
                </c:pt>
                <c:pt idx="1">
                  <c:v>5659.760636050989</c:v>
                </c:pt>
                <c:pt idx="2">
                  <c:v>11319.521272101978</c:v>
                </c:pt>
                <c:pt idx="3">
                  <c:v>16979.281908152967</c:v>
                </c:pt>
                <c:pt idx="4">
                  <c:v>22639.042544203956</c:v>
                </c:pt>
                <c:pt idx="5">
                  <c:v>28298.803180254945</c:v>
                </c:pt>
                <c:pt idx="6">
                  <c:v>33958.563816305934</c:v>
                </c:pt>
                <c:pt idx="7">
                  <c:v>39618.324452356923</c:v>
                </c:pt>
                <c:pt idx="8">
                  <c:v>45278.085088407912</c:v>
                </c:pt>
                <c:pt idx="9">
                  <c:v>50937.845724458901</c:v>
                </c:pt>
                <c:pt idx="10">
                  <c:v>56597.60636050989</c:v>
                </c:pt>
                <c:pt idx="11">
                  <c:v>62257.366996560879</c:v>
                </c:pt>
                <c:pt idx="12">
                  <c:v>67917.127632611868</c:v>
                </c:pt>
                <c:pt idx="13">
                  <c:v>73576.888268662864</c:v>
                </c:pt>
                <c:pt idx="14">
                  <c:v>79236.648904713846</c:v>
                </c:pt>
                <c:pt idx="15">
                  <c:v>84896.409540764827</c:v>
                </c:pt>
              </c:numCache>
            </c:numRef>
          </c:xVal>
          <c:yVal>
            <c:numRef>
              <c:f>MainPump!$D$14:$D$29</c:f>
              <c:numCache>
                <c:formatCode>0.0</c:formatCode>
                <c:ptCount val="16"/>
                <c:pt idx="0">
                  <c:v>0</c:v>
                </c:pt>
                <c:pt idx="1">
                  <c:v>32.799198934337774</c:v>
                </c:pt>
                <c:pt idx="2">
                  <c:v>44.591817117116321</c:v>
                </c:pt>
                <c:pt idx="3">
                  <c:v>52.405097925520074</c:v>
                </c:pt>
                <c:pt idx="4">
                  <c:v>58.217415029498866</c:v>
                </c:pt>
                <c:pt idx="5">
                  <c:v>62.782468402691066</c:v>
                </c:pt>
                <c:pt idx="6">
                  <c:v>66.475851600047918</c:v>
                </c:pt>
                <c:pt idx="7">
                  <c:v>69.510253428598915</c:v>
                </c:pt>
                <c:pt idx="8">
                  <c:v>72.014225198091921</c:v>
                </c:pt>
                <c:pt idx="9">
                  <c:v>74.067569402059263</c:v>
                </c:pt>
                <c:pt idx="10">
                  <c:v>75.719659588094515</c:v>
                </c:pt>
                <c:pt idx="11">
                  <c:v>77.000062036058779</c:v>
                </c:pt>
                <c:pt idx="12">
                  <c:v>77.925349887089979</c:v>
                </c:pt>
                <c:pt idx="13">
                  <c:v>78.503908610427686</c:v>
                </c:pt>
                <c:pt idx="14">
                  <c:v>78.739626218925864</c:v>
                </c:pt>
                <c:pt idx="15">
                  <c:v>78.634926058357621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EA-4E7C-93C8-6D7A0AA2B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29727"/>
        <c:axId val="100923487"/>
      </c:scatterChart>
      <c:scatterChart>
        <c:scatterStyle val="lineMarker"/>
        <c:varyColors val="0"/>
        <c:ser>
          <c:idx val="1"/>
          <c:order val="1"/>
          <c:tx>
            <c:v>Power Input HP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276027196145548"/>
                  <c:y val="0.62317714568334204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MainPump!$B$14:$B$29</c:f>
              <c:numCache>
                <c:formatCode>_(* #,##0_);_(* \(#,##0\);_(* "-"??_);_(@_)</c:formatCode>
                <c:ptCount val="16"/>
                <c:pt idx="0">
                  <c:v>0</c:v>
                </c:pt>
                <c:pt idx="1">
                  <c:v>5659.760636050989</c:v>
                </c:pt>
                <c:pt idx="2">
                  <c:v>11319.521272101978</c:v>
                </c:pt>
                <c:pt idx="3">
                  <c:v>16979.281908152967</c:v>
                </c:pt>
                <c:pt idx="4">
                  <c:v>22639.042544203956</c:v>
                </c:pt>
                <c:pt idx="5">
                  <c:v>28298.803180254945</c:v>
                </c:pt>
                <c:pt idx="6">
                  <c:v>33958.563816305934</c:v>
                </c:pt>
                <c:pt idx="7">
                  <c:v>39618.324452356923</c:v>
                </c:pt>
                <c:pt idx="8">
                  <c:v>45278.085088407912</c:v>
                </c:pt>
                <c:pt idx="9">
                  <c:v>50937.845724458901</c:v>
                </c:pt>
                <c:pt idx="10">
                  <c:v>56597.60636050989</c:v>
                </c:pt>
                <c:pt idx="11">
                  <c:v>62257.366996560879</c:v>
                </c:pt>
                <c:pt idx="12">
                  <c:v>67917.127632611868</c:v>
                </c:pt>
                <c:pt idx="13">
                  <c:v>73576.888268662864</c:v>
                </c:pt>
                <c:pt idx="14">
                  <c:v>79236.648904713846</c:v>
                </c:pt>
                <c:pt idx="15">
                  <c:v>84896.409540764827</c:v>
                </c:pt>
              </c:numCache>
            </c:numRef>
          </c:xVal>
          <c:yVal>
            <c:numRef>
              <c:f>MainPump!$E$14:$E$29</c:f>
              <c:numCache>
                <c:formatCode>_(* #,##0.0_);_(* \(#,##0.0\);_(* "-"??_);_(@_)</c:formatCode>
                <c:ptCount val="16"/>
                <c:pt idx="0">
                  <c:v>800</c:v>
                </c:pt>
                <c:pt idx="1">
                  <c:v>1235.9248093692947</c:v>
                </c:pt>
                <c:pt idx="2">
                  <c:v>1809.7599877227742</c:v>
                </c:pt>
                <c:pt idx="3">
                  <c:v>2295.9976706516709</c:v>
                </c:pt>
                <c:pt idx="4">
                  <c:v>2734.7664193283617</c:v>
                </c:pt>
                <c:pt idx="5">
                  <c:v>3140.4318461172725</c:v>
                </c:pt>
                <c:pt idx="6">
                  <c:v>3519.7059244709994</c:v>
                </c:pt>
                <c:pt idx="7">
                  <c:v>3876.3765234392085</c:v>
                </c:pt>
                <c:pt idx="8">
                  <c:v>4213.087129155404</c:v>
                </c:pt>
                <c:pt idx="9">
                  <c:v>4532.1531328549681</c:v>
                </c:pt>
                <c:pt idx="10">
                  <c:v>4835.9790562234675</c:v>
                </c:pt>
                <c:pt idx="11">
                  <c:v>5127.279735081358</c:v>
                </c:pt>
                <c:pt idx="12">
                  <c:v>5409.1925870129789</c:v>
                </c:pt>
                <c:pt idx="13">
                  <c:v>5685.3245450995701</c:v>
                </c:pt>
                <c:pt idx="14">
                  <c:v>5959.7584740347256</c:v>
                </c:pt>
                <c:pt idx="15">
                  <c:v>6237.0343184602061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4EA-4E7C-93C8-6D7A0AA2B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52687"/>
        <c:axId val="381250607"/>
      </c:scatterChart>
      <c:valAx>
        <c:axId val="10092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3487"/>
        <c:crosses val="autoZero"/>
        <c:crossBetween val="midCat"/>
      </c:valAx>
      <c:valAx>
        <c:axId val="10092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9727"/>
        <c:crosses val="autoZero"/>
        <c:crossBetween val="midCat"/>
      </c:valAx>
      <c:valAx>
        <c:axId val="381250607"/>
        <c:scaling>
          <c:orientation val="minMax"/>
        </c:scaling>
        <c:delete val="0"/>
        <c:axPos val="r"/>
        <c:numFmt formatCode="_(* #,##0.0_);_(* \(#,##0.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52687"/>
        <c:crosses val="max"/>
        <c:crossBetween val="midCat"/>
      </c:valAx>
      <c:valAx>
        <c:axId val="381252687"/>
        <c:scaling>
          <c:orientation val="minMax"/>
        </c:scaling>
        <c:delete val="1"/>
        <c:axPos val="b"/>
        <c:numFmt formatCode="_(* #,##0_);_(* \(#,##0\);_(* &quot;-&quot;??_);_(@_)" sourceLinked="1"/>
        <c:majorTickMark val="out"/>
        <c:minorTickMark val="none"/>
        <c:tickLblPos val="nextTo"/>
        <c:crossAx val="381250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MainDriver!$B$5</c:f>
              <c:strCache>
                <c:ptCount val="1"/>
                <c:pt idx="0">
                  <c:v>Power HP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MainDriver!$A$6:$A$14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765</c:v>
                </c:pt>
                <c:pt idx="7">
                  <c:v>800</c:v>
                </c:pt>
                <c:pt idx="8">
                  <c:v>900</c:v>
                </c:pt>
              </c:numCache>
            </c:numRef>
          </c:xVal>
          <c:yVal>
            <c:numRef>
              <c:f>MainDriver!$B$6:$B$14</c:f>
              <c:numCache>
                <c:formatCode>_(* #,##0_);_(* \(#,##0\);_(* "-"??_);_(@_)</c:formatCode>
                <c:ptCount val="9"/>
                <c:pt idx="0">
                  <c:v>700.00000000000011</c:v>
                </c:pt>
                <c:pt idx="1">
                  <c:v>950</c:v>
                </c:pt>
                <c:pt idx="2">
                  <c:v>1450</c:v>
                </c:pt>
                <c:pt idx="3">
                  <c:v>2250</c:v>
                </c:pt>
                <c:pt idx="4">
                  <c:v>3200</c:v>
                </c:pt>
                <c:pt idx="5">
                  <c:v>4400</c:v>
                </c:pt>
                <c:pt idx="6">
                  <c:v>4850</c:v>
                </c:pt>
                <c:pt idx="7">
                  <c:v>5000</c:v>
                </c:pt>
                <c:pt idx="8">
                  <c:v>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22-497C-9E65-A7B5F8DDC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83295"/>
        <c:axId val="1689884959"/>
      </c:scatterChart>
      <c:valAx>
        <c:axId val="168988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84959"/>
        <c:crosses val="autoZero"/>
        <c:crossBetween val="midCat"/>
      </c:valAx>
      <c:valAx>
        <c:axId val="168988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8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128587</xdr:colOff>
      <xdr:row>12</xdr:row>
      <xdr:rowOff>6350</xdr:rowOff>
    </xdr:from>
    <xdr:to>
      <xdr:col>22</xdr:col>
      <xdr:colOff>568325</xdr:colOff>
      <xdr:row>34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98E1-A607-46FF-9BB2-7C4D2EF39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128587</xdr:colOff>
      <xdr:row>12</xdr:row>
      <xdr:rowOff>6350</xdr:rowOff>
    </xdr:from>
    <xdr:to>
      <xdr:col>22</xdr:col>
      <xdr:colOff>568325</xdr:colOff>
      <xdr:row>34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7DC22-771D-42F7-B939-7F62C3219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93662</xdr:colOff>
      <xdr:row>15</xdr:row>
      <xdr:rowOff>179387</xdr:rowOff>
    </xdr:from>
    <xdr:to>
      <xdr:col>7</xdr:col>
      <xdr:colOff>274637</xdr:colOff>
      <xdr:row>31</xdr:row>
      <xdr:rowOff>26987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840029-EF37-3B29-4C2D-F900745D2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30F2-636F-4F23-A62B-45DCEE7AD59C}">
  <sheetPr codeName="Sheet1"/>
  <dimension ref="A1:S33"/>
  <sheetViews>
    <sheetView workbookViewId="0">
      <selection activeCell="E18" sqref="E18"/>
    </sheetView>
  </sheetViews>
  <sheetFormatPr defaultRowHeight="14.5" x14ac:dyDescent="0.35"/>
  <cols>
    <col min="5" max="5" width="9.7265625" bestFit="1" customWidth="1"/>
    <col min="6" max="6" width="11.90625" bestFit="1" customWidth="1"/>
    <col min="7" max="7" width="16.1796875" customWidth="1"/>
  </cols>
  <sheetData>
    <row r="1" spans="1:19" x14ac:dyDescent="0.35">
      <c r="A1" t="s">
        <v>68</v>
      </c>
      <c r="B1" s="49" t="s">
        <v>69</v>
      </c>
    </row>
    <row r="3" spans="1:19" x14ac:dyDescent="0.35">
      <c r="A3" s="1"/>
      <c r="B3" s="8" t="s">
        <v>59</v>
      </c>
      <c r="C3" s="30">
        <v>50</v>
      </c>
      <c r="D3" t="s">
        <v>58</v>
      </c>
      <c r="H3" s="11">
        <v>0.19</v>
      </c>
      <c r="I3" s="11">
        <v>0.15</v>
      </c>
      <c r="J3" s="11">
        <v>0.15</v>
      </c>
      <c r="K3" s="11">
        <v>0.1</v>
      </c>
      <c r="L3" s="11">
        <v>0.1</v>
      </c>
      <c r="M3" s="11">
        <v>0.05</v>
      </c>
      <c r="N3" s="11">
        <v>0.7</v>
      </c>
      <c r="O3" s="11">
        <v>0.25</v>
      </c>
      <c r="P3" s="11">
        <v>0.7</v>
      </c>
      <c r="Q3" s="11">
        <v>0.25</v>
      </c>
      <c r="R3" s="11">
        <v>0.1</v>
      </c>
      <c r="S3" s="11">
        <v>0.05</v>
      </c>
    </row>
    <row r="4" spans="1:19" s="10" customFormat="1" x14ac:dyDescent="0.35">
      <c r="A4" s="10" t="s">
        <v>57</v>
      </c>
      <c r="B4" s="10" t="s">
        <v>56</v>
      </c>
      <c r="C4" s="29" t="s">
        <v>55</v>
      </c>
      <c r="D4" s="29" t="s">
        <v>54</v>
      </c>
      <c r="E4" s="29" t="s">
        <v>53</v>
      </c>
      <c r="F4" s="29" t="s">
        <v>52</v>
      </c>
      <c r="G4" s="10" t="s">
        <v>51</v>
      </c>
      <c r="H4" s="12">
        <v>90</v>
      </c>
      <c r="I4" s="12" t="s">
        <v>50</v>
      </c>
      <c r="J4" s="10" t="s">
        <v>49</v>
      </c>
      <c r="K4" s="12">
        <v>45</v>
      </c>
      <c r="L4" s="12">
        <v>30</v>
      </c>
      <c r="M4" s="12">
        <v>15</v>
      </c>
      <c r="N4" s="12" t="s">
        <v>48</v>
      </c>
      <c r="O4" s="12" t="s">
        <v>47</v>
      </c>
      <c r="P4" s="12" t="s">
        <v>46</v>
      </c>
      <c r="Q4" s="12" t="s">
        <v>45</v>
      </c>
      <c r="R4" s="12" t="s">
        <v>44</v>
      </c>
      <c r="S4" s="12" t="s">
        <v>43</v>
      </c>
    </row>
    <row r="5" spans="1:19" s="18" customFormat="1" x14ac:dyDescent="0.35">
      <c r="A5" s="18" t="s">
        <v>42</v>
      </c>
      <c r="B5" s="18">
        <v>34</v>
      </c>
      <c r="C5" s="27">
        <v>0</v>
      </c>
      <c r="D5" s="27">
        <v>0.5</v>
      </c>
      <c r="E5" s="28">
        <f>-1*C3</f>
        <v>-50</v>
      </c>
      <c r="F5" s="28">
        <f>E5</f>
        <v>-50</v>
      </c>
      <c r="H5" s="19"/>
      <c r="I5" s="19"/>
      <c r="K5" s="19"/>
      <c r="L5" s="19"/>
      <c r="M5" s="19"/>
      <c r="N5" s="19"/>
      <c r="O5" s="19"/>
      <c r="P5" s="19"/>
      <c r="Q5" s="19"/>
      <c r="R5" s="19"/>
      <c r="S5" s="19"/>
    </row>
    <row r="6" spans="1:19" x14ac:dyDescent="0.35">
      <c r="A6" t="s">
        <v>41</v>
      </c>
      <c r="B6" s="13">
        <v>34</v>
      </c>
      <c r="C6">
        <v>15</v>
      </c>
      <c r="D6" s="5">
        <f t="shared" ref="D6:D15" si="0">SUMPRODUCT(H6:S6,H$2:S$2)</f>
        <v>0</v>
      </c>
      <c r="E6" s="13">
        <f>(F10-E5)*C6/(C6+C8)</f>
        <v>12</v>
      </c>
      <c r="F6" s="13">
        <f>F5+E6</f>
        <v>-38</v>
      </c>
      <c r="G6" s="26"/>
      <c r="H6" s="11"/>
      <c r="I6" s="11"/>
      <c r="K6" s="11"/>
      <c r="L6" s="11"/>
      <c r="M6" s="11"/>
      <c r="N6" s="11"/>
      <c r="O6" s="11"/>
      <c r="P6" s="11"/>
      <c r="Q6" s="11"/>
      <c r="R6" s="11"/>
      <c r="S6" s="11"/>
    </row>
    <row r="7" spans="1:19" s="22" customFormat="1" x14ac:dyDescent="0.35">
      <c r="A7" s="22" t="s">
        <v>40</v>
      </c>
      <c r="B7" s="24"/>
      <c r="C7" s="24">
        <v>0</v>
      </c>
      <c r="D7" s="25">
        <f t="shared" si="0"/>
        <v>0</v>
      </c>
      <c r="E7" s="24"/>
      <c r="F7" s="24">
        <f>F6</f>
        <v>-38</v>
      </c>
      <c r="G7" s="24"/>
      <c r="H7" s="23"/>
      <c r="I7" s="23"/>
      <c r="K7" s="23"/>
      <c r="L7" s="23"/>
      <c r="M7" s="23"/>
      <c r="N7" s="23"/>
      <c r="O7" s="23"/>
      <c r="P7" s="23"/>
      <c r="Q7" s="23"/>
      <c r="R7" s="23"/>
      <c r="S7" s="23"/>
    </row>
    <row r="8" spans="1:19" s="18" customFormat="1" x14ac:dyDescent="0.35">
      <c r="A8" s="18" t="s">
        <v>39</v>
      </c>
      <c r="B8" s="20">
        <v>34</v>
      </c>
      <c r="C8" s="20">
        <v>60</v>
      </c>
      <c r="D8" s="21">
        <f t="shared" si="0"/>
        <v>0</v>
      </c>
      <c r="E8" s="20">
        <f>(F10-F5)-E6</f>
        <v>48</v>
      </c>
      <c r="F8" s="20">
        <f>F7+E8</f>
        <v>10</v>
      </c>
      <c r="G8" s="20" t="s">
        <v>38</v>
      </c>
      <c r="H8" s="19">
        <v>1</v>
      </c>
      <c r="I8" s="19"/>
      <c r="K8" s="19"/>
      <c r="L8" s="19">
        <v>1</v>
      </c>
      <c r="M8" s="19"/>
      <c r="N8" s="19"/>
      <c r="O8" s="19"/>
      <c r="P8" s="19"/>
      <c r="Q8" s="19"/>
      <c r="R8" s="19"/>
      <c r="S8" s="19"/>
    </row>
    <row r="9" spans="1:19" x14ac:dyDescent="0.35">
      <c r="A9" t="s">
        <v>37</v>
      </c>
      <c r="B9" s="13">
        <v>34</v>
      </c>
      <c r="C9" s="13">
        <v>10</v>
      </c>
      <c r="D9" s="5">
        <f t="shared" si="0"/>
        <v>0</v>
      </c>
      <c r="E9" s="13">
        <v>0</v>
      </c>
      <c r="F9" s="13">
        <f>F8+E9</f>
        <v>10</v>
      </c>
      <c r="G9" s="13" t="s">
        <v>36</v>
      </c>
      <c r="H9" s="11"/>
      <c r="I9" s="11"/>
      <c r="K9" s="11"/>
      <c r="L9" s="11"/>
      <c r="M9" s="11"/>
      <c r="N9" s="11"/>
      <c r="O9" s="11"/>
      <c r="P9" s="11"/>
      <c r="Q9" s="11"/>
      <c r="R9" s="11"/>
      <c r="S9" s="11">
        <v>1</v>
      </c>
    </row>
    <row r="10" spans="1:19" s="22" customFormat="1" x14ac:dyDescent="0.35">
      <c r="A10" s="22" t="s">
        <v>35</v>
      </c>
      <c r="B10" s="24"/>
      <c r="C10" s="24">
        <v>0</v>
      </c>
      <c r="D10" s="25">
        <f t="shared" si="0"/>
        <v>0</v>
      </c>
      <c r="E10" s="24"/>
      <c r="F10" s="24">
        <v>10</v>
      </c>
      <c r="G10" s="24"/>
      <c r="H10" s="23"/>
      <c r="I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19" s="18" customFormat="1" x14ac:dyDescent="0.35">
      <c r="A11" s="18" t="s">
        <v>34</v>
      </c>
      <c r="B11" s="20">
        <v>30</v>
      </c>
      <c r="C11" s="20">
        <v>160</v>
      </c>
      <c r="D11" s="21">
        <f t="shared" si="0"/>
        <v>0</v>
      </c>
      <c r="E11" s="20">
        <v>-5</v>
      </c>
      <c r="F11" s="20">
        <v>10</v>
      </c>
      <c r="G11" s="20" t="s">
        <v>33</v>
      </c>
      <c r="H11" s="19">
        <v>3</v>
      </c>
      <c r="I11" s="19">
        <v>1</v>
      </c>
      <c r="K11" s="19"/>
      <c r="L11" s="19"/>
      <c r="M11" s="19"/>
      <c r="N11" s="19"/>
      <c r="O11" s="19"/>
      <c r="P11" s="19"/>
      <c r="Q11" s="19"/>
      <c r="R11" s="19"/>
      <c r="S11" s="19"/>
    </row>
    <row r="12" spans="1:19" x14ac:dyDescent="0.35">
      <c r="A12" t="s">
        <v>32</v>
      </c>
      <c r="B12" s="13">
        <f>B11</f>
        <v>30</v>
      </c>
      <c r="C12" s="13">
        <v>2000</v>
      </c>
      <c r="D12" s="5">
        <f t="shared" si="0"/>
        <v>0</v>
      </c>
      <c r="E12" s="13">
        <v>0</v>
      </c>
      <c r="F12" s="13">
        <v>10</v>
      </c>
      <c r="G12" s="13"/>
      <c r="H12" s="11"/>
      <c r="I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s="18" customFormat="1" x14ac:dyDescent="0.35">
      <c r="A13" s="18" t="s">
        <v>31</v>
      </c>
      <c r="B13" s="20">
        <f t="shared" ref="B13:B15" si="1">B12</f>
        <v>30</v>
      </c>
      <c r="C13" s="20">
        <v>130</v>
      </c>
      <c r="D13" s="21">
        <f t="shared" si="0"/>
        <v>0</v>
      </c>
      <c r="E13" s="20">
        <v>-25</v>
      </c>
      <c r="F13" s="20">
        <v>10</v>
      </c>
      <c r="G13" s="20" t="s">
        <v>30</v>
      </c>
      <c r="H13" s="19"/>
      <c r="I13" s="19">
        <v>4</v>
      </c>
      <c r="K13" s="19"/>
      <c r="L13" s="19"/>
      <c r="M13" s="19">
        <v>2</v>
      </c>
      <c r="N13" s="19"/>
      <c r="O13" s="19"/>
      <c r="P13" s="19"/>
      <c r="Q13" s="19"/>
      <c r="R13" s="19"/>
      <c r="S13" s="19"/>
    </row>
    <row r="14" spans="1:19" x14ac:dyDescent="0.35">
      <c r="A14" t="s">
        <v>29</v>
      </c>
      <c r="B14" s="13">
        <f t="shared" si="1"/>
        <v>30</v>
      </c>
      <c r="C14" s="13">
        <v>5000</v>
      </c>
      <c r="D14" s="5">
        <f t="shared" si="0"/>
        <v>0</v>
      </c>
      <c r="E14" s="13">
        <v>30</v>
      </c>
      <c r="F14" s="13">
        <v>10</v>
      </c>
      <c r="G14" s="13" t="s">
        <v>28</v>
      </c>
      <c r="H14" s="11"/>
      <c r="I14" s="11">
        <f>ROUNDUP(C14/750, 0)</f>
        <v>7</v>
      </c>
      <c r="K14" s="11"/>
      <c r="L14" s="11"/>
      <c r="M14" s="11"/>
      <c r="N14" s="11"/>
      <c r="O14" s="11"/>
      <c r="P14" s="11"/>
      <c r="Q14" s="11"/>
      <c r="R14" s="11"/>
      <c r="S14" s="11"/>
    </row>
    <row r="15" spans="1:19" s="14" customFormat="1" ht="15" thickBot="1" x14ac:dyDescent="0.4">
      <c r="A15" s="14" t="s">
        <v>27</v>
      </c>
      <c r="B15" s="16">
        <f t="shared" si="1"/>
        <v>30</v>
      </c>
      <c r="C15" s="16">
        <v>500</v>
      </c>
      <c r="D15" s="17">
        <f t="shared" si="0"/>
        <v>0</v>
      </c>
      <c r="E15" s="16">
        <v>0</v>
      </c>
      <c r="F15" s="16">
        <v>10</v>
      </c>
      <c r="G15" s="16" t="s">
        <v>26</v>
      </c>
      <c r="H15" s="15"/>
      <c r="I15" s="15"/>
      <c r="J15" s="15">
        <f>ROUNDUP(C15/38.5, 0)</f>
        <v>13</v>
      </c>
      <c r="K15" s="15"/>
      <c r="L15" s="15"/>
      <c r="M15" s="15"/>
      <c r="N15" s="15"/>
      <c r="O15" s="15"/>
      <c r="P15" s="15"/>
      <c r="Q15" s="15"/>
      <c r="R15" s="15"/>
      <c r="S15" s="15"/>
    </row>
    <row r="16" spans="1:19" ht="15" thickTop="1" x14ac:dyDescent="0.35">
      <c r="A16" t="s">
        <v>25</v>
      </c>
      <c r="C16" s="13">
        <f>SUM(C5:C15)</f>
        <v>7875</v>
      </c>
      <c r="D16" s="5">
        <f>SUM(D5:D15)</f>
        <v>0.5</v>
      </c>
      <c r="E16" s="5"/>
      <c r="F16" s="5"/>
      <c r="G16" s="13"/>
      <c r="H16" s="11"/>
      <c r="I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35">
      <c r="C17" s="13"/>
      <c r="D17" s="13"/>
      <c r="E17" s="13"/>
      <c r="F17" s="13"/>
      <c r="G17" s="13"/>
      <c r="H17" s="11"/>
      <c r="I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35">
      <c r="H18" s="11"/>
      <c r="I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35">
      <c r="H19" s="11"/>
      <c r="I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35">
      <c r="A20" s="1"/>
      <c r="B20" s="8" t="s">
        <v>59</v>
      </c>
      <c r="C20">
        <v>15</v>
      </c>
      <c r="D20" t="s">
        <v>10</v>
      </c>
      <c r="H20" s="11"/>
      <c r="I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35">
      <c r="A21" s="10" t="s">
        <v>57</v>
      </c>
      <c r="B21" s="10" t="s">
        <v>60</v>
      </c>
      <c r="C21" s="29" t="s">
        <v>65</v>
      </c>
      <c r="D21" s="29" t="s">
        <v>54</v>
      </c>
      <c r="E21" s="29" t="s">
        <v>66</v>
      </c>
      <c r="F21" s="29" t="s">
        <v>67</v>
      </c>
      <c r="H21" s="11"/>
      <c r="I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35">
      <c r="A22" s="18" t="s">
        <v>42</v>
      </c>
      <c r="B22" s="31">
        <f>(B5/12)*0.3048</f>
        <v>0.86360000000000003</v>
      </c>
      <c r="C22" s="27">
        <f>C5*0.3048</f>
        <v>0</v>
      </c>
      <c r="D22" s="27">
        <f>D5</f>
        <v>0.5</v>
      </c>
      <c r="E22" s="28">
        <f>E5*0.3048</f>
        <v>-15.24</v>
      </c>
      <c r="F22" s="28">
        <f>E22</f>
        <v>-15.24</v>
      </c>
      <c r="G22" t="str">
        <f>"Pipe('"&amp;A22&amp;"', "&amp;TEXT(B22,"0.000")&amp;", "&amp;TEXT(C22, "0.0")&amp;", "&amp;TEXT(D22,"0.00")&amp;", "&amp;TEXT(E22,"0.0")&amp;"),"</f>
        <v>Pipe('Entrance', 0.864, 0.0, 0.50, -15.2),</v>
      </c>
      <c r="H22" s="11"/>
      <c r="I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35">
      <c r="A23" t="s">
        <v>41</v>
      </c>
      <c r="B23" s="4">
        <f>(B6/12)*0.3048</f>
        <v>0.86360000000000003</v>
      </c>
      <c r="C23">
        <f t="shared" ref="C23:C32" si="2">C6*0.3048</f>
        <v>4.5720000000000001</v>
      </c>
      <c r="D23" s="5">
        <f t="shared" ref="D23:D32" si="3">D6</f>
        <v>0</v>
      </c>
      <c r="E23" s="13">
        <f t="shared" ref="E23:E32" si="4">E6*0.3048</f>
        <v>3.6576000000000004</v>
      </c>
      <c r="F23" s="13">
        <f>F22+E23</f>
        <v>-11.5824</v>
      </c>
      <c r="G23" t="str">
        <f>"Pipe('"&amp;A23&amp;"', "&amp;TEXT(B23,"0.000")&amp;", "&amp;TEXT(C23, "0.0")&amp;", "&amp;TEXT(D23,"0.00")&amp;", "&amp;TEXT(E23,"0.0")&amp;"),"</f>
        <v>Pipe('UWP Suction', 0.864, 4.6, 0.00, 3.7),</v>
      </c>
      <c r="H23" s="11"/>
      <c r="I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35">
      <c r="A24" s="22" t="s">
        <v>40</v>
      </c>
      <c r="B24" s="32"/>
      <c r="C24" s="24"/>
      <c r="D24" s="25"/>
      <c r="E24" s="24"/>
      <c r="F24" s="24">
        <f>F23+E24</f>
        <v>-11.5824</v>
      </c>
      <c r="G24" s="34" t="s">
        <v>63</v>
      </c>
      <c r="H24" s="11"/>
      <c r="I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35">
      <c r="A25" s="18" t="s">
        <v>39</v>
      </c>
      <c r="B25" s="31">
        <f>(B8/12)*0.3048</f>
        <v>0.86360000000000003</v>
      </c>
      <c r="C25" s="20">
        <f t="shared" si="2"/>
        <v>18.288</v>
      </c>
      <c r="D25" s="21">
        <f t="shared" si="3"/>
        <v>0</v>
      </c>
      <c r="E25" s="20">
        <f t="shared" si="4"/>
        <v>14.630400000000002</v>
      </c>
      <c r="F25" s="20">
        <f>F24+E25</f>
        <v>3.0480000000000018</v>
      </c>
      <c r="G25" t="str">
        <f>"Pipe('"&amp;A25&amp;"', "&amp;TEXT(B25,"0.000")&amp;", "&amp;TEXT(C25, "0.0")&amp;", "&amp;TEXT(D25,"0.00")&amp;", "&amp;TEXT(E25,"0.0")&amp;"),"</f>
        <v>Pipe('UWP to Trunion', 0.864, 18.3, 0.00, 14.6),</v>
      </c>
      <c r="H25" s="11"/>
      <c r="I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35">
      <c r="A26" t="s">
        <v>37</v>
      </c>
      <c r="B26" s="4">
        <f>(B9/12)*0.3048</f>
        <v>0.86360000000000003</v>
      </c>
      <c r="C26" s="13">
        <f t="shared" si="2"/>
        <v>3.048</v>
      </c>
      <c r="D26" s="5">
        <f t="shared" si="3"/>
        <v>0</v>
      </c>
      <c r="E26" s="13">
        <f t="shared" si="4"/>
        <v>0</v>
      </c>
      <c r="F26" s="13">
        <f>F25+E26</f>
        <v>3.0480000000000018</v>
      </c>
      <c r="G26" t="str">
        <f>"Pipe('"&amp;A26&amp;"', "&amp;TEXT(B26,"0.000")&amp;", "&amp;TEXT(C26, "0.0")&amp;", "&amp;TEXT(D26,"0.00")&amp;", "&amp;TEXT(E26,"0.0")&amp;"),"</f>
        <v>Pipe('MP 1 Suction', 0.864, 3.0, 0.00, 0.0),</v>
      </c>
      <c r="H26" s="11"/>
      <c r="I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35">
      <c r="A27" s="22" t="s">
        <v>62</v>
      </c>
      <c r="B27" s="32"/>
      <c r="C27" s="24"/>
      <c r="D27" s="25"/>
      <c r="E27" s="24"/>
      <c r="F27" s="24">
        <v>10</v>
      </c>
      <c r="G27" s="34" t="s">
        <v>64</v>
      </c>
      <c r="H27" s="11"/>
      <c r="I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x14ac:dyDescent="0.35">
      <c r="A28" s="18" t="s">
        <v>61</v>
      </c>
      <c r="B28" s="31">
        <f>(B11/12)*0.3048</f>
        <v>0.76200000000000001</v>
      </c>
      <c r="C28" s="20">
        <f t="shared" si="2"/>
        <v>48.768000000000001</v>
      </c>
      <c r="D28" s="21">
        <f t="shared" si="3"/>
        <v>0</v>
      </c>
      <c r="E28" s="20">
        <f t="shared" si="4"/>
        <v>-1.524</v>
      </c>
      <c r="F28" s="20">
        <v>10</v>
      </c>
      <c r="G28" t="str">
        <f>"Pipe('"&amp;A28&amp;"', "&amp;TEXT(B28,"0.000")&amp;", "&amp;TEXT(C28, "0.0")&amp;", "&amp;TEXT(D28,"0.00")&amp;", "&amp;TEXT(E28,"0.0")&amp;"),"</f>
        <v>Pipe('Dredge Discharge', 0.762, 48.8, 0.00, -1.5),</v>
      </c>
      <c r="H28" s="11"/>
      <c r="I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x14ac:dyDescent="0.35">
      <c r="A29" t="s">
        <v>32</v>
      </c>
      <c r="B29" s="4">
        <f>(B12/12)*0.3048</f>
        <v>0.76200000000000001</v>
      </c>
      <c r="C29" s="13">
        <f t="shared" si="2"/>
        <v>609.6</v>
      </c>
      <c r="D29" s="5">
        <f t="shared" si="3"/>
        <v>0</v>
      </c>
      <c r="E29" s="13">
        <f t="shared" si="4"/>
        <v>0</v>
      </c>
      <c r="F29" s="13">
        <v>10</v>
      </c>
      <c r="G29" t="str">
        <f>"Pipe('"&amp;A29&amp;"', "&amp;TEXT(B29,"0.000")&amp;", "&amp;TEXT(C29, "0.0")&amp;", "&amp;TEXT(D29,"0.00")&amp;", "&amp;TEXT(E29,"0.0")&amp;"),"</f>
        <v>Pipe('Float Hose', 0.762, 609.6, 0.00, 0.0),</v>
      </c>
      <c r="H29" s="11"/>
      <c r="I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x14ac:dyDescent="0.35">
      <c r="A30" s="18" t="s">
        <v>31</v>
      </c>
      <c r="B30" s="31">
        <f>(B13/12)*0.3048</f>
        <v>0.76200000000000001</v>
      </c>
      <c r="C30" s="20">
        <f t="shared" si="2"/>
        <v>39.624000000000002</v>
      </c>
      <c r="D30" s="21">
        <f t="shared" si="3"/>
        <v>0</v>
      </c>
      <c r="E30" s="20">
        <f t="shared" si="4"/>
        <v>-7.62</v>
      </c>
      <c r="F30" s="20">
        <v>10</v>
      </c>
      <c r="G30" t="str">
        <f>"Pipe('"&amp;A30&amp;"', "&amp;TEXT(B30,"0.000")&amp;", "&amp;TEXT(C30, "0.0")&amp;", "&amp;TEXT(D30,"0.00")&amp;", "&amp;TEXT(E30,"0.0")&amp;"),"</f>
        <v>Pipe('Riser', 0.762, 39.6, 0.00, -7.6),</v>
      </c>
      <c r="H30" s="11"/>
      <c r="I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x14ac:dyDescent="0.35">
      <c r="A31" t="s">
        <v>29</v>
      </c>
      <c r="B31" s="4">
        <f>(B14/12)*0.3048</f>
        <v>0.76200000000000001</v>
      </c>
      <c r="C31" s="13">
        <f t="shared" si="2"/>
        <v>1524</v>
      </c>
      <c r="D31" s="5">
        <f t="shared" si="3"/>
        <v>0</v>
      </c>
      <c r="E31" s="13">
        <f t="shared" si="4"/>
        <v>9.1440000000000001</v>
      </c>
      <c r="F31" s="13">
        <v>10</v>
      </c>
      <c r="G31" t="str">
        <f>"Pipe('"&amp;A31&amp;"', "&amp;TEXT(B31,"0.000")&amp;", "&amp;TEXT(C31, "0.0")&amp;", "&amp;TEXT(D31,"0.00")&amp;", "&amp;TEXT(E31,"0.0")&amp;"),"</f>
        <v>Pipe('Subline', 0.762, 1524.0, 0.00, 9.1),</v>
      </c>
      <c r="H31" s="11"/>
      <c r="I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ht="15" thickBot="1" x14ac:dyDescent="0.4">
      <c r="A32" s="14" t="s">
        <v>27</v>
      </c>
      <c r="B32" s="33">
        <f>(B15/12)*0.3048</f>
        <v>0.76200000000000001</v>
      </c>
      <c r="C32" s="16">
        <f t="shared" si="2"/>
        <v>152.4</v>
      </c>
      <c r="D32" s="17">
        <f t="shared" si="3"/>
        <v>0</v>
      </c>
      <c r="E32" s="16">
        <f t="shared" si="4"/>
        <v>0</v>
      </c>
      <c r="F32" s="16">
        <v>10</v>
      </c>
      <c r="G32" t="str">
        <f>"Pipe('"&amp;A32&amp;"', "&amp;TEXT(B32,"0.000")&amp;", "&amp;TEXT(C32, "0.0")&amp;", "&amp;TEXT(D32,"0.00")&amp;", "&amp;TEXT(E32,"0.0")&amp;"),"</f>
        <v>Pipe('Shore Line', 0.762, 152.4, 0.00, 0.0),</v>
      </c>
      <c r="H32" s="11"/>
      <c r="I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ht="15" thickTop="1" x14ac:dyDescent="0.35">
      <c r="A33" t="s">
        <v>25</v>
      </c>
      <c r="C33" s="13">
        <f>SUM(C22:C32)</f>
        <v>2400.3000000000002</v>
      </c>
      <c r="D33" s="5">
        <f>SUM(D22:D32)</f>
        <v>0.5</v>
      </c>
      <c r="E33" s="5"/>
      <c r="F33" s="5"/>
      <c r="H33" s="11"/>
      <c r="I33" s="11"/>
      <c r="K33" s="11"/>
      <c r="L33" s="11"/>
      <c r="M33" s="11"/>
      <c r="N33" s="11"/>
      <c r="O33" s="11"/>
      <c r="P33" s="11"/>
      <c r="Q33" s="11"/>
      <c r="R33" s="11"/>
      <c r="S3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5FAE-D548-4445-83E4-D7197FA8A6DC}">
  <sheetPr codeName="Sheet8"/>
  <dimension ref="A1:AB46"/>
  <sheetViews>
    <sheetView workbookViewId="0">
      <selection activeCell="B2" sqref="B2"/>
    </sheetView>
  </sheetViews>
  <sheetFormatPr defaultRowHeight="14.5" x14ac:dyDescent="0.35"/>
  <cols>
    <col min="1" max="1" width="15.08984375" bestFit="1" customWidth="1"/>
    <col min="2" max="2" width="10.08984375" bestFit="1" customWidth="1"/>
    <col min="5" max="5" width="9.08984375" bestFit="1" customWidth="1"/>
    <col min="8" max="8" width="11.90625" customWidth="1"/>
    <col min="10" max="10" width="9.453125" customWidth="1"/>
  </cols>
  <sheetData>
    <row r="1" spans="1:28" x14ac:dyDescent="0.35">
      <c r="B1" t="s">
        <v>13</v>
      </c>
      <c r="H1" s="8" t="s">
        <v>17</v>
      </c>
      <c r="I1" s="7">
        <v>448.83100000000002</v>
      </c>
    </row>
    <row r="2" spans="1:28" x14ac:dyDescent="0.35">
      <c r="A2" t="s">
        <v>21</v>
      </c>
      <c r="B2" s="48" t="s">
        <v>20</v>
      </c>
    </row>
    <row r="4" spans="1:28" x14ac:dyDescent="0.35">
      <c r="A4" t="s">
        <v>79</v>
      </c>
      <c r="B4" s="6">
        <v>60</v>
      </c>
      <c r="C4" t="s">
        <v>9</v>
      </c>
      <c r="D4" s="53">
        <f>B4*0.3048/12</f>
        <v>1.524</v>
      </c>
      <c r="E4" t="s">
        <v>10</v>
      </c>
      <c r="J4" t="str">
        <f>MainPump!pump_name</f>
        <v>0.864x0.864x2.134m Pump at 315 RPM</v>
      </c>
    </row>
    <row r="5" spans="1:28" x14ac:dyDescent="0.35">
      <c r="A5" t="s">
        <v>78</v>
      </c>
      <c r="B5" s="6">
        <v>34</v>
      </c>
      <c r="C5" t="s">
        <v>9</v>
      </c>
      <c r="D5" s="53">
        <f>B5*0.3048/12</f>
        <v>0.86360000000000003</v>
      </c>
      <c r="E5" t="s">
        <v>10</v>
      </c>
    </row>
    <row r="6" spans="1:28" x14ac:dyDescent="0.35">
      <c r="A6" t="s">
        <v>80</v>
      </c>
      <c r="B6" s="6">
        <v>34</v>
      </c>
      <c r="C6" t="s">
        <v>9</v>
      </c>
      <c r="D6" s="53">
        <f>B6*0.3048/12</f>
        <v>0.86360000000000003</v>
      </c>
      <c r="E6" t="s">
        <v>10</v>
      </c>
      <c r="G6" s="8" t="s">
        <v>18</v>
      </c>
      <c r="H6">
        <f>PI()*(B6/2/12)^2</f>
        <v>6.3050019228295158</v>
      </c>
      <c r="I6" t="s">
        <v>19</v>
      </c>
    </row>
    <row r="7" spans="1:28" x14ac:dyDescent="0.35">
      <c r="A7" t="s">
        <v>81</v>
      </c>
      <c r="B7" s="6">
        <v>300</v>
      </c>
      <c r="C7" t="s">
        <v>5</v>
      </c>
      <c r="D7" s="53">
        <f>B7/60</f>
        <v>5</v>
      </c>
      <c r="E7" t="s">
        <v>6</v>
      </c>
    </row>
    <row r="8" spans="1:28" x14ac:dyDescent="0.35">
      <c r="T8" s="3"/>
      <c r="U8" s="3"/>
      <c r="V8" s="3"/>
      <c r="W8" s="3"/>
      <c r="X8" s="3"/>
      <c r="Y8" s="3"/>
      <c r="Z8" s="3"/>
      <c r="AA8" s="3"/>
      <c r="AB8" s="3"/>
    </row>
    <row r="9" spans="1:28" x14ac:dyDescent="0.35">
      <c r="A9" t="s">
        <v>72</v>
      </c>
      <c r="D9" s="54" t="s">
        <v>74</v>
      </c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5">
      <c r="A10" t="s">
        <v>77</v>
      </c>
      <c r="B10">
        <f>MainDriver!B14</f>
        <v>5000</v>
      </c>
      <c r="C10" t="s">
        <v>4</v>
      </c>
      <c r="D10" s="49">
        <f>B10*0.7457</f>
        <v>3728.5</v>
      </c>
      <c r="E10" t="s">
        <v>11</v>
      </c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5">
      <c r="A11" t="s">
        <v>1</v>
      </c>
      <c r="B11">
        <v>32.14</v>
      </c>
      <c r="C11" t="s">
        <v>7</v>
      </c>
      <c r="D11">
        <v>9.81</v>
      </c>
      <c r="E11" t="s">
        <v>8</v>
      </c>
      <c r="T11" s="3"/>
      <c r="U11" s="3"/>
      <c r="V11" s="3"/>
      <c r="W11" s="3"/>
      <c r="X11" s="3"/>
      <c r="Y11" s="3"/>
      <c r="Z11" s="3"/>
      <c r="AA11" s="3"/>
      <c r="AB11" s="3"/>
    </row>
    <row r="13" spans="1:28" x14ac:dyDescent="0.35">
      <c r="A13" t="s">
        <v>16</v>
      </c>
      <c r="B13" t="s">
        <v>2</v>
      </c>
      <c r="C13" t="s">
        <v>3</v>
      </c>
      <c r="D13" t="s">
        <v>14</v>
      </c>
      <c r="E13" t="s">
        <v>15</v>
      </c>
      <c r="G13" t="s">
        <v>12</v>
      </c>
      <c r="H13" s="49" t="s">
        <v>70</v>
      </c>
      <c r="I13" s="49" t="s">
        <v>71</v>
      </c>
      <c r="J13" s="49" t="s">
        <v>24</v>
      </c>
      <c r="K13" t="s">
        <v>0</v>
      </c>
    </row>
    <row r="14" spans="1:28" x14ac:dyDescent="0.35">
      <c r="A14" s="9">
        <v>0</v>
      </c>
      <c r="B14" s="45">
        <f t="shared" ref="B14:B29" si="0">A14*$H$6*CFS_to_GPM</f>
        <v>0</v>
      </c>
      <c r="C14" s="36">
        <v>112.07804413656908</v>
      </c>
      <c r="D14" s="47">
        <f t="shared" ref="D14:D29" si="1">100*C14*B14/(3960*E14)</f>
        <v>0</v>
      </c>
      <c r="E14" s="37">
        <v>200</v>
      </c>
      <c r="F14" s="43"/>
      <c r="G14">
        <f t="shared" ref="G14:G29" si="2">A14*0.3048</f>
        <v>0</v>
      </c>
      <c r="H14" s="49">
        <f t="shared" ref="H14:H29" si="3">B14*0.0000630902</f>
        <v>0</v>
      </c>
      <c r="I14" s="49">
        <f t="shared" ref="I14:I29" si="4">C14*0.3048</f>
        <v>34.161387852826259</v>
      </c>
      <c r="J14" s="50">
        <f t="shared" ref="J14:J17" si="5">+E14*0.7457</f>
        <v>149.14000000000001</v>
      </c>
      <c r="K14" s="2">
        <f t="shared" ref="K14:K17" si="6">$D$11*H14*I14/J14</f>
        <v>0</v>
      </c>
    </row>
    <row r="15" spans="1:28" x14ac:dyDescent="0.35">
      <c r="A15" s="9">
        <v>2</v>
      </c>
      <c r="B15" s="45">
        <f t="shared" si="0"/>
        <v>5659.760636050989</v>
      </c>
      <c r="C15" s="36">
        <v>111.90921143946368</v>
      </c>
      <c r="D15" s="47">
        <f t="shared" si="1"/>
        <v>44.993114593352345</v>
      </c>
      <c r="E15" s="37">
        <v>355.48612643742598</v>
      </c>
      <c r="F15" s="43"/>
      <c r="G15">
        <f t="shared" si="2"/>
        <v>0.60960000000000003</v>
      </c>
      <c r="H15" s="49">
        <f t="shared" si="3"/>
        <v>0.3570754304805841</v>
      </c>
      <c r="I15" s="49">
        <f t="shared" si="4"/>
        <v>34.109927646748531</v>
      </c>
      <c r="J15" s="50">
        <f t="shared" si="5"/>
        <v>265.08600448438858</v>
      </c>
      <c r="K15" s="2">
        <f t="shared" si="6"/>
        <v>0.45073675603887309</v>
      </c>
    </row>
    <row r="16" spans="1:28" x14ac:dyDescent="0.35">
      <c r="A16" s="9">
        <v>4</v>
      </c>
      <c r="B16" s="45">
        <f t="shared" si="0"/>
        <v>11319.521272101978</v>
      </c>
      <c r="C16" s="36">
        <v>111.44640296562086</v>
      </c>
      <c r="D16" s="47">
        <f t="shared" si="1"/>
        <v>58.366433328998852</v>
      </c>
      <c r="E16" s="37">
        <v>545.80281933281822</v>
      </c>
      <c r="F16" s="43"/>
      <c r="G16">
        <f t="shared" si="2"/>
        <v>1.2192000000000001</v>
      </c>
      <c r="H16" s="49">
        <f t="shared" si="3"/>
        <v>0.7141508609611682</v>
      </c>
      <c r="I16" s="49">
        <f t="shared" si="4"/>
        <v>33.968863623921237</v>
      </c>
      <c r="J16" s="50">
        <f t="shared" si="5"/>
        <v>407.00516237648259</v>
      </c>
      <c r="K16" s="2">
        <f t="shared" si="6"/>
        <v>0.58470939516063303</v>
      </c>
    </row>
    <row r="17" spans="1:25" s="41" customFormat="1" x14ac:dyDescent="0.35">
      <c r="A17" s="39">
        <v>6</v>
      </c>
      <c r="B17" s="45">
        <f t="shared" si="0"/>
        <v>16979.281908152967</v>
      </c>
      <c r="C17" s="46">
        <v>110.65381637119108</v>
      </c>
      <c r="D17" s="47">
        <f t="shared" si="1"/>
        <v>66.25243467148313</v>
      </c>
      <c r="E17" s="40">
        <v>716.12475648939767</v>
      </c>
      <c r="F17" s="44"/>
      <c r="G17" s="41">
        <f t="shared" si="2"/>
        <v>1.8288000000000002</v>
      </c>
      <c r="H17" s="51">
        <f t="shared" si="3"/>
        <v>1.0712262914417523</v>
      </c>
      <c r="I17" s="51">
        <f t="shared" si="4"/>
        <v>33.727283229939047</v>
      </c>
      <c r="J17" s="52">
        <f t="shared" si="5"/>
        <v>534.01423091414381</v>
      </c>
      <c r="K17" s="42">
        <f t="shared" si="6"/>
        <v>0.66371060890978628</v>
      </c>
    </row>
    <row r="18" spans="1:25" x14ac:dyDescent="0.35">
      <c r="A18" s="6">
        <v>8</v>
      </c>
      <c r="B18" s="45">
        <f t="shared" si="0"/>
        <v>22639.042544203956</v>
      </c>
      <c r="C18" s="36">
        <v>109.51051504641677</v>
      </c>
      <c r="D18" s="47">
        <f t="shared" si="1"/>
        <v>71.418090136807777</v>
      </c>
      <c r="E18" s="38">
        <v>876.61815166325812</v>
      </c>
      <c r="G18">
        <f t="shared" si="2"/>
        <v>2.4384000000000001</v>
      </c>
      <c r="H18" s="49">
        <f t="shared" si="3"/>
        <v>1.4283017219223364</v>
      </c>
      <c r="I18" s="49">
        <f t="shared" si="4"/>
        <v>33.378804986147834</v>
      </c>
      <c r="J18" s="50">
        <f>+E18*0.7457</f>
        <v>653.69415569529156</v>
      </c>
      <c r="K18" s="2">
        <f>$D$11*H18*I18/J18</f>
        <v>0.71545965558722857</v>
      </c>
    </row>
    <row r="19" spans="1:25" x14ac:dyDescent="0.35">
      <c r="A19" s="6">
        <v>10</v>
      </c>
      <c r="B19" s="45">
        <f t="shared" si="0"/>
        <v>28298.803180254945</v>
      </c>
      <c r="C19" s="36">
        <v>108.01102837157788</v>
      </c>
      <c r="D19" s="47">
        <f t="shared" si="1"/>
        <v>74.878695252862229</v>
      </c>
      <c r="E19" s="38">
        <v>1030.8197134146665</v>
      </c>
      <c r="G19">
        <f t="shared" si="2"/>
        <v>3.048</v>
      </c>
      <c r="H19" s="49">
        <f t="shared" si="3"/>
        <v>1.7853771524029203</v>
      </c>
      <c r="I19" s="49">
        <f t="shared" si="4"/>
        <v>32.921761447656941</v>
      </c>
      <c r="J19" s="49">
        <f t="shared" ref="J19:J29" si="7">+E19*0.7457</f>
        <v>768.68226029331686</v>
      </c>
      <c r="K19" s="2">
        <f>$D$11*H19*I19/J19</f>
        <v>0.75012766952757404</v>
      </c>
    </row>
    <row r="20" spans="1:25" x14ac:dyDescent="0.35">
      <c r="A20" s="6">
        <v>12</v>
      </c>
      <c r="B20" s="45">
        <f t="shared" si="0"/>
        <v>33958.563816305934</v>
      </c>
      <c r="C20" s="36">
        <v>106.16514088523554</v>
      </c>
      <c r="D20" s="47">
        <f t="shared" si="1"/>
        <v>77.109628095859165</v>
      </c>
      <c r="E20" s="38">
        <v>1180.6670976329533</v>
      </c>
      <c r="G20">
        <f t="shared" si="2"/>
        <v>3.6576000000000004</v>
      </c>
      <c r="H20" s="49">
        <f t="shared" si="3"/>
        <v>2.1424525828835046</v>
      </c>
      <c r="I20" s="49">
        <f t="shared" si="4"/>
        <v>32.359134941819796</v>
      </c>
      <c r="J20" s="49">
        <f t="shared" si="7"/>
        <v>880.42345470489329</v>
      </c>
      <c r="K20" s="2">
        <f>$D$11*H20*I20/J20</f>
        <v>0.77247694322603466</v>
      </c>
      <c r="Y20">
        <f>0.001797851/(0.00000001908315*2)</f>
        <v>47105.718919570405</v>
      </c>
    </row>
    <row r="21" spans="1:25" x14ac:dyDescent="0.35">
      <c r="A21" s="6">
        <v>14</v>
      </c>
      <c r="B21" s="45">
        <f t="shared" si="0"/>
        <v>39618.324452356923</v>
      </c>
      <c r="C21" s="36">
        <v>103.99682513667045</v>
      </c>
      <c r="D21" s="47">
        <f t="shared" si="1"/>
        <v>78.355607844983155</v>
      </c>
      <c r="E21" s="38">
        <v>1327.855801945281</v>
      </c>
      <c r="G21">
        <f t="shared" si="2"/>
        <v>4.2671999999999999</v>
      </c>
      <c r="H21" s="49">
        <f t="shared" si="3"/>
        <v>2.4995280133640887</v>
      </c>
      <c r="I21" s="49">
        <f t="shared" si="4"/>
        <v>31.698232301657157</v>
      </c>
      <c r="J21" s="49">
        <f t="shared" si="7"/>
        <v>990.18207151059607</v>
      </c>
      <c r="K21" s="2">
        <f>$D$11*H21*I21/J21</f>
        <v>0.78495905021698409</v>
      </c>
    </row>
    <row r="22" spans="1:25" x14ac:dyDescent="0.35">
      <c r="A22" s="6">
        <v>16</v>
      </c>
      <c r="B22" s="45">
        <f t="shared" si="0"/>
        <v>45278.085088407912</v>
      </c>
      <c r="C22" s="36">
        <v>101.54239039924866</v>
      </c>
      <c r="D22" s="47">
        <f t="shared" si="1"/>
        <v>78.745760545303426</v>
      </c>
      <c r="E22" s="38">
        <v>1474.3923415459931</v>
      </c>
      <c r="G22">
        <f t="shared" si="2"/>
        <v>4.8768000000000002</v>
      </c>
      <c r="H22" s="49">
        <f t="shared" si="3"/>
        <v>2.8566034438446728</v>
      </c>
      <c r="I22" s="49">
        <f t="shared" si="4"/>
        <v>30.950120593690993</v>
      </c>
      <c r="J22" s="49">
        <f t="shared" si="7"/>
        <v>1099.454369090847</v>
      </c>
      <c r="K22" s="2">
        <f>$D$11*H22*I22/J22</f>
        <v>0.78886756297702643</v>
      </c>
    </row>
    <row r="23" spans="1:25" x14ac:dyDescent="0.35">
      <c r="A23" s="6">
        <v>18</v>
      </c>
      <c r="B23" s="45">
        <f t="shared" si="0"/>
        <v>50937.845724458901</v>
      </c>
      <c r="C23" s="36">
        <v>98.84802155820627</v>
      </c>
      <c r="D23" s="47">
        <f t="shared" si="1"/>
        <v>78.347575156743346</v>
      </c>
      <c r="E23" s="38">
        <v>1622.8852365054029</v>
      </c>
      <c r="G23">
        <f t="shared" si="2"/>
        <v>5.4864000000000006</v>
      </c>
      <c r="H23" s="49">
        <f t="shared" si="3"/>
        <v>3.2136788743252565</v>
      </c>
      <c r="I23" s="49">
        <f t="shared" si="4"/>
        <v>30.128876970941274</v>
      </c>
      <c r="J23" s="49">
        <f t="shared" si="7"/>
        <v>1210.1855208620789</v>
      </c>
      <c r="K23" s="2">
        <f>$D$11*H23*I23/J23</f>
        <v>0.78487857950780526</v>
      </c>
    </row>
    <row r="24" spans="1:25" x14ac:dyDescent="0.35">
      <c r="A24" s="6">
        <v>20</v>
      </c>
      <c r="B24" s="45">
        <f t="shared" si="0"/>
        <v>56597.60636050989</v>
      </c>
      <c r="C24" s="36">
        <v>95.966952520913182</v>
      </c>
      <c r="D24" s="47">
        <f t="shared" si="1"/>
        <v>77.197318440056904</v>
      </c>
      <c r="E24" s="38">
        <v>1776.7338126596146</v>
      </c>
      <c r="G24">
        <f t="shared" si="2"/>
        <v>6.0960000000000001</v>
      </c>
      <c r="H24" s="49">
        <f t="shared" si="3"/>
        <v>3.5707543048058406</v>
      </c>
      <c r="I24" s="49">
        <f t="shared" si="4"/>
        <v>29.25072712837434</v>
      </c>
      <c r="J24" s="49">
        <f t="shared" si="7"/>
        <v>1324.9104041002747</v>
      </c>
      <c r="K24" s="2">
        <f>$D$11*H24*I24/J24</f>
        <v>0.77335541677997377</v>
      </c>
    </row>
    <row r="25" spans="1:25" x14ac:dyDescent="0.35">
      <c r="A25" s="6">
        <v>22</v>
      </c>
      <c r="B25" s="45">
        <f t="shared" si="0"/>
        <v>62257.366996560879</v>
      </c>
      <c r="C25" s="36">
        <v>92.956547008200985</v>
      </c>
      <c r="D25" s="47">
        <f t="shared" si="1"/>
        <v>75.32013568023136</v>
      </c>
      <c r="E25" s="38">
        <v>1940.280204065019</v>
      </c>
      <c r="G25">
        <f t="shared" si="2"/>
        <v>6.7056000000000004</v>
      </c>
      <c r="H25" s="49">
        <f t="shared" si="3"/>
        <v>3.9278297352864247</v>
      </c>
      <c r="I25" s="49">
        <f t="shared" si="4"/>
        <v>28.333155528099663</v>
      </c>
      <c r="J25" s="49">
        <f t="shared" si="7"/>
        <v>1446.8669481712848</v>
      </c>
      <c r="K25" s="2">
        <f>$D$11*H25*I25/J25</f>
        <v>0.75454997787442024</v>
      </c>
    </row>
    <row r="26" spans="1:25" x14ac:dyDescent="0.35">
      <c r="A26" s="6">
        <v>24</v>
      </c>
      <c r="B26" s="45">
        <f t="shared" si="0"/>
        <v>67917.127632611868</v>
      </c>
      <c r="C26" s="36">
        <v>89.875546479220858</v>
      </c>
      <c r="D26" s="47">
        <f t="shared" si="1"/>
        <v>72.745048933891951</v>
      </c>
      <c r="E26" s="38">
        <v>2118.9574121870969</v>
      </c>
      <c r="G26">
        <f t="shared" si="2"/>
        <v>7.3152000000000008</v>
      </c>
      <c r="H26" s="49">
        <f t="shared" si="3"/>
        <v>4.2849051657670092</v>
      </c>
      <c r="I26" s="49">
        <f t="shared" si="4"/>
        <v>27.39406656686652</v>
      </c>
      <c r="J26" s="49">
        <f t="shared" si="7"/>
        <v>1580.1065422679183</v>
      </c>
      <c r="K26" s="2">
        <f>$D$11*H26*I26/J26</f>
        <v>0.72875300300273138</v>
      </c>
    </row>
    <row r="27" spans="1:25" x14ac:dyDescent="0.35">
      <c r="A27" s="6">
        <v>26</v>
      </c>
      <c r="B27" s="45">
        <f t="shared" si="0"/>
        <v>73576.888268662864</v>
      </c>
      <c r="C27" s="36">
        <v>86.781698520794137</v>
      </c>
      <c r="D27" s="47">
        <f t="shared" si="1"/>
        <v>69.516853126649153</v>
      </c>
      <c r="E27" s="38">
        <v>2319.446034112932</v>
      </c>
      <c r="G27">
        <f t="shared" si="2"/>
        <v>7.9248000000000003</v>
      </c>
      <c r="H27" s="49">
        <f t="shared" si="3"/>
        <v>4.6419805962475937</v>
      </c>
      <c r="I27" s="49">
        <f t="shared" si="4"/>
        <v>26.451061709138056</v>
      </c>
      <c r="J27" s="49">
        <f t="shared" si="7"/>
        <v>1729.6109076380135</v>
      </c>
      <c r="K27" s="2">
        <f t="shared" ref="K27" si="8">$D$11*H27*I27/J27</f>
        <v>0.69641324348250722</v>
      </c>
    </row>
    <row r="28" spans="1:25" x14ac:dyDescent="0.35">
      <c r="A28" s="6">
        <v>28</v>
      </c>
      <c r="B28" s="45">
        <f t="shared" si="0"/>
        <v>79236.648904713846</v>
      </c>
      <c r="C28" s="36">
        <v>83.729912882852531</v>
      </c>
      <c r="D28" s="47">
        <f t="shared" si="1"/>
        <v>65.705382939207482</v>
      </c>
      <c r="E28" s="38">
        <v>2549.8263370917853</v>
      </c>
      <c r="G28">
        <f t="shared" si="2"/>
        <v>8.5343999999999998</v>
      </c>
      <c r="H28" s="49">
        <f t="shared" si="3"/>
        <v>4.9990560267281774</v>
      </c>
      <c r="I28" s="49">
        <f t="shared" si="4"/>
        <v>25.520877446693454</v>
      </c>
      <c r="J28" s="49">
        <f t="shared" si="7"/>
        <v>1901.4054995693443</v>
      </c>
      <c r="K28" s="2">
        <f>$D$11*H28*I28/J28</f>
        <v>0.65823029652377052</v>
      </c>
    </row>
    <row r="29" spans="1:25" x14ac:dyDescent="0.35">
      <c r="A29" s="6">
        <v>30</v>
      </c>
      <c r="B29" s="45">
        <f t="shared" si="0"/>
        <v>84896.409540764827</v>
      </c>
      <c r="C29" s="36">
        <v>80.771021393068821</v>
      </c>
      <c r="D29" s="47">
        <f t="shared" si="1"/>
        <v>61.41179783287653</v>
      </c>
      <c r="E29" s="38">
        <v>2819.6675134712896</v>
      </c>
      <c r="G29">
        <f t="shared" si="2"/>
        <v>9.1440000000000001</v>
      </c>
      <c r="H29" s="49">
        <f t="shared" si="3"/>
        <v>5.356131457208761</v>
      </c>
      <c r="I29" s="49">
        <f t="shared" si="4"/>
        <v>24.619007320607377</v>
      </c>
      <c r="J29" s="49">
        <f t="shared" si="7"/>
        <v>2102.6260647955405</v>
      </c>
      <c r="K29" s="2">
        <f>$D$11*H29*I29/J29</f>
        <v>0.61521756801863225</v>
      </c>
    </row>
    <row r="30" spans="1:25" x14ac:dyDescent="0.35">
      <c r="K30" s="2"/>
    </row>
    <row r="31" spans="1:25" x14ac:dyDescent="0.35">
      <c r="H31" t="str">
        <f>TEXT(H14,"0.0000000")&amp;": "&amp;TEXT(I14,"0.000000")&amp;","</f>
        <v>0.0000000: 34.161388,</v>
      </c>
      <c r="J31" t="str">
        <f>TEXT(H14,"0.000000")&amp;": "&amp;TEXT(J14,"0.000000")&amp;","</f>
        <v>0.000000: 149.140000,</v>
      </c>
    </row>
    <row r="32" spans="1:25" x14ac:dyDescent="0.35">
      <c r="H32" t="str">
        <f>TEXT(H15,"0.0000000")&amp;": "&amp;TEXT(I15,"0.000000")&amp;","</f>
        <v>0.3570754: 34.109928,</v>
      </c>
      <c r="J32" t="str">
        <f>TEXT(H15,"0.000000")&amp;": "&amp;TEXT(J15,"0.000000")&amp;","</f>
        <v>0.357075: 265.086004,</v>
      </c>
    </row>
    <row r="33" spans="8:10" x14ac:dyDescent="0.35">
      <c r="H33" t="str">
        <f>TEXT(H16,"0.0000000")&amp;": "&amp;TEXT(I16,"0.000000")&amp;","</f>
        <v>0.7141509: 33.968864,</v>
      </c>
      <c r="J33" t="str">
        <f>TEXT(H16,"0.000000")&amp;": "&amp;TEXT(J16,"0.000000")&amp;","</f>
        <v>0.714151: 407.005162,</v>
      </c>
    </row>
    <row r="34" spans="8:10" x14ac:dyDescent="0.35">
      <c r="H34" t="str">
        <f>TEXT(H17,"0.0000000")&amp;": "&amp;TEXT(I17,"0.000000")&amp;","</f>
        <v>1.0712263: 33.727283,</v>
      </c>
      <c r="J34" t="str">
        <f>TEXT(H17,"0.000000")&amp;": "&amp;TEXT(J17,"0.000000")&amp;","</f>
        <v>1.071226: 534.014231,</v>
      </c>
    </row>
    <row r="35" spans="8:10" x14ac:dyDescent="0.35">
      <c r="H35" t="str">
        <f>TEXT(H18,"0.0000000")&amp;": "&amp;TEXT(I18,"0.000000")&amp;","</f>
        <v>1.4283017: 33.378805,</v>
      </c>
      <c r="J35" t="str">
        <f>TEXT(H18,"0.000000")&amp;": "&amp;TEXT(J18,"0.000000")&amp;","</f>
        <v>1.428302: 653.694156,</v>
      </c>
    </row>
    <row r="36" spans="8:10" x14ac:dyDescent="0.35">
      <c r="H36" t="str">
        <f>TEXT(H19,"0.0000000")&amp;": "&amp;TEXT(I19,"0.000000")&amp;","</f>
        <v>1.7853772: 32.921761,</v>
      </c>
      <c r="J36" t="str">
        <f>TEXT(H19,"0.000000")&amp;": "&amp;TEXT(J19,"0.000000")&amp;","</f>
        <v>1.785377: 768.682260,</v>
      </c>
    </row>
    <row r="37" spans="8:10" x14ac:dyDescent="0.35">
      <c r="H37" t="str">
        <f>TEXT(H20,"0.0000000")&amp;": "&amp;TEXT(I20,"0.000000")&amp;","</f>
        <v>2.1424526: 32.359135,</v>
      </c>
      <c r="J37" t="str">
        <f>TEXT(H20,"0.000000")&amp;": "&amp;TEXT(J20,"0.000000")&amp;","</f>
        <v>2.142453: 880.423455,</v>
      </c>
    </row>
    <row r="38" spans="8:10" x14ac:dyDescent="0.35">
      <c r="H38" t="str">
        <f>TEXT(H21,"0.0000000")&amp;": "&amp;TEXT(I21,"0.000000")&amp;","</f>
        <v>2.4995280: 31.698232,</v>
      </c>
      <c r="J38" t="str">
        <f>TEXT(H21,"0.000000")&amp;": "&amp;TEXT(J21,"0.000000")&amp;","</f>
        <v>2.499528: 990.182072,</v>
      </c>
    </row>
    <row r="39" spans="8:10" x14ac:dyDescent="0.35">
      <c r="H39" t="str">
        <f>TEXT(H22,"0.0000000")&amp;": "&amp;TEXT(I22,"0.000000")&amp;","</f>
        <v>2.8566034: 30.950121,</v>
      </c>
      <c r="J39" t="str">
        <f>TEXT(H22,"0.000000")&amp;": "&amp;TEXT(J22,"0.000000")&amp;","</f>
        <v>2.856603: 1099.454369,</v>
      </c>
    </row>
    <row r="40" spans="8:10" x14ac:dyDescent="0.35">
      <c r="H40" t="str">
        <f>TEXT(H23,"0.0000000")&amp;": "&amp;TEXT(I23,"0.000000")&amp;","</f>
        <v>3.2136789: 30.128877,</v>
      </c>
      <c r="J40" t="str">
        <f>TEXT(H23,"0.000000")&amp;": "&amp;TEXT(J23,"0.000000")&amp;","</f>
        <v>3.213679: 1210.185521,</v>
      </c>
    </row>
    <row r="41" spans="8:10" x14ac:dyDescent="0.35">
      <c r="H41" t="str">
        <f>TEXT(H24,"0.0000000")&amp;": "&amp;TEXT(I24,"0.000000")&amp;","</f>
        <v>3.5707543: 29.250727,</v>
      </c>
      <c r="J41" t="str">
        <f>TEXT(H24,"0.000000")&amp;": "&amp;TEXT(J24,"0.000000")&amp;","</f>
        <v>3.570754: 1324.910404,</v>
      </c>
    </row>
    <row r="42" spans="8:10" x14ac:dyDescent="0.35">
      <c r="H42" t="str">
        <f>TEXT(H25,"0.0000000")&amp;": "&amp;TEXT(I25,"0.000000")&amp;","</f>
        <v>3.9278297: 28.333156,</v>
      </c>
      <c r="J42" t="str">
        <f>TEXT(H25,"0.000000")&amp;": "&amp;TEXT(J25,"0.000000")&amp;","</f>
        <v>3.927830: 1446.866948,</v>
      </c>
    </row>
    <row r="43" spans="8:10" x14ac:dyDescent="0.35">
      <c r="H43" t="str">
        <f>TEXT(H26,"0.0000000")&amp;": "&amp;TEXT(I26,"0.000000")&amp;","</f>
        <v>4.2849052: 27.394067,</v>
      </c>
      <c r="J43" t="str">
        <f>TEXT(H26,"0.000000")&amp;": "&amp;TEXT(J26,"0.000000")&amp;","</f>
        <v>4.284905: 1580.106542,</v>
      </c>
    </row>
    <row r="44" spans="8:10" x14ac:dyDescent="0.35">
      <c r="H44" t="str">
        <f>TEXT(H27,"0.0000000")&amp;": "&amp;TEXT(I27,"0.000000")&amp;","</f>
        <v>4.6419806: 26.451062,</v>
      </c>
      <c r="J44" t="str">
        <f>TEXT(H27,"0.000000")&amp;": "&amp;TEXT(J27,"0.000000")&amp;","</f>
        <v>4.641981: 1729.610908,</v>
      </c>
    </row>
    <row r="45" spans="8:10" x14ac:dyDescent="0.35">
      <c r="H45" t="str">
        <f>TEXT(H28,"0.0000000")&amp;": "&amp;TEXT(I28,"0.000000")&amp;","</f>
        <v>4.9990560: 25.520877,</v>
      </c>
      <c r="J45" t="str">
        <f>TEXT(H28,"0.000000")&amp;": "&amp;TEXT(J28,"0.000000")&amp;","</f>
        <v>4.999056: 1901.405500,</v>
      </c>
    </row>
    <row r="46" spans="8:10" x14ac:dyDescent="0.35">
      <c r="H46" t="str">
        <f>TEXT(H29,"0.0000000")&amp;": "&amp;TEXT(I29,"0.000000")&amp;","</f>
        <v>5.3561315: 24.619007,</v>
      </c>
      <c r="J46" t="str">
        <f>TEXT(H29,"0.000000")&amp;": "&amp;TEXT(J29,"0.000000")&amp;","</f>
        <v>5.356131: 2102.626065,</v>
      </c>
    </row>
  </sheetData>
  <conditionalFormatting sqref="E30">
    <cfRule type="cellIs" dxfId="1" priority="1" operator="greaterThan">
      <formula>$B$10/$B$11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28F5-8C39-4437-8C3A-A3686103312A}">
  <sheetPr codeName="Sheet7"/>
  <dimension ref="A1:AB46"/>
  <sheetViews>
    <sheetView workbookViewId="0">
      <selection activeCell="A8" sqref="A8"/>
    </sheetView>
  </sheetViews>
  <sheetFormatPr defaultRowHeight="14.5" x14ac:dyDescent="0.35"/>
  <cols>
    <col min="1" max="1" width="15.08984375" bestFit="1" customWidth="1"/>
    <col min="2" max="2" width="10.08984375" bestFit="1" customWidth="1"/>
    <col min="5" max="5" width="9.08984375" bestFit="1" customWidth="1"/>
    <col min="8" max="8" width="11.90625" customWidth="1"/>
    <col min="10" max="10" width="9.453125" customWidth="1"/>
  </cols>
  <sheetData>
    <row r="1" spans="1:28" x14ac:dyDescent="0.35">
      <c r="B1" t="s">
        <v>13</v>
      </c>
      <c r="H1" s="8" t="s">
        <v>17</v>
      </c>
      <c r="I1" s="7">
        <v>448.83100000000002</v>
      </c>
    </row>
    <row r="2" spans="1:28" x14ac:dyDescent="0.35">
      <c r="A2" t="s">
        <v>21</v>
      </c>
      <c r="B2" s="48" t="s">
        <v>73</v>
      </c>
    </row>
    <row r="4" spans="1:28" x14ac:dyDescent="0.35">
      <c r="A4" t="s">
        <v>79</v>
      </c>
      <c r="B4" s="6">
        <v>84</v>
      </c>
      <c r="C4" t="s">
        <v>9</v>
      </c>
      <c r="D4" s="53">
        <f>B4*0.3048/12</f>
        <v>2.1335999999999999</v>
      </c>
      <c r="E4" t="s">
        <v>10</v>
      </c>
    </row>
    <row r="5" spans="1:28" x14ac:dyDescent="0.35">
      <c r="A5" t="s">
        <v>78</v>
      </c>
      <c r="B5" s="6">
        <v>34</v>
      </c>
      <c r="C5" t="s">
        <v>9</v>
      </c>
      <c r="D5" s="53">
        <f>B5*0.3048/12</f>
        <v>0.86360000000000003</v>
      </c>
      <c r="E5" t="s">
        <v>10</v>
      </c>
    </row>
    <row r="6" spans="1:28" x14ac:dyDescent="0.35">
      <c r="A6" t="s">
        <v>80</v>
      </c>
      <c r="B6" s="6">
        <v>34</v>
      </c>
      <c r="C6" t="s">
        <v>9</v>
      </c>
      <c r="D6" s="53">
        <f>B6*0.3048/12</f>
        <v>0.86360000000000003</v>
      </c>
      <c r="E6" t="s">
        <v>10</v>
      </c>
      <c r="G6" s="8" t="s">
        <v>18</v>
      </c>
      <c r="H6">
        <f>PI()*(B6/2/12)^2</f>
        <v>6.3050019228295158</v>
      </c>
      <c r="I6" t="s">
        <v>19</v>
      </c>
    </row>
    <row r="7" spans="1:28" x14ac:dyDescent="0.35">
      <c r="A7" t="s">
        <v>81</v>
      </c>
      <c r="B7" s="6">
        <v>315</v>
      </c>
      <c r="C7" t="s">
        <v>5</v>
      </c>
      <c r="D7" s="53">
        <f>B7/60</f>
        <v>5.25</v>
      </c>
      <c r="E7" t="s">
        <v>6</v>
      </c>
    </row>
    <row r="8" spans="1:28" x14ac:dyDescent="0.35">
      <c r="T8" s="3"/>
      <c r="U8" s="3"/>
      <c r="V8" s="3"/>
      <c r="W8" s="3"/>
      <c r="X8" s="3"/>
      <c r="Y8" s="3"/>
      <c r="Z8" s="3"/>
      <c r="AA8" s="3"/>
      <c r="AB8" s="3"/>
    </row>
    <row r="9" spans="1:28" x14ac:dyDescent="0.35">
      <c r="A9" t="s">
        <v>72</v>
      </c>
      <c r="D9" s="54" t="s">
        <v>74</v>
      </c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5">
      <c r="A10" t="s">
        <v>77</v>
      </c>
      <c r="B10">
        <f>MainDriver!B14</f>
        <v>5000</v>
      </c>
      <c r="C10" t="s">
        <v>4</v>
      </c>
      <c r="D10" s="49">
        <f>B10*0.7457</f>
        <v>3728.5</v>
      </c>
      <c r="E10" t="s">
        <v>11</v>
      </c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5">
      <c r="A11" t="s">
        <v>1</v>
      </c>
      <c r="B11">
        <v>32.14</v>
      </c>
      <c r="C11" t="s">
        <v>7</v>
      </c>
      <c r="D11">
        <v>9.81</v>
      </c>
      <c r="E11" t="s">
        <v>8</v>
      </c>
      <c r="T11" s="3"/>
      <c r="U11" s="3"/>
      <c r="V11" s="3"/>
      <c r="W11" s="3"/>
      <c r="X11" s="3"/>
      <c r="Y11" s="3"/>
      <c r="Z11" s="3"/>
      <c r="AA11" s="3"/>
      <c r="AB11" s="3"/>
    </row>
    <row r="13" spans="1:28" x14ac:dyDescent="0.35">
      <c r="A13" t="s">
        <v>16</v>
      </c>
      <c r="B13" t="s">
        <v>2</v>
      </c>
      <c r="C13" t="s">
        <v>3</v>
      </c>
      <c r="D13" t="s">
        <v>14</v>
      </c>
      <c r="E13" t="s">
        <v>15</v>
      </c>
      <c r="G13" t="s">
        <v>12</v>
      </c>
      <c r="H13" s="49" t="s">
        <v>70</v>
      </c>
      <c r="I13" s="49" t="s">
        <v>71</v>
      </c>
      <c r="J13" s="49" t="s">
        <v>24</v>
      </c>
      <c r="K13" t="s">
        <v>0</v>
      </c>
    </row>
    <row r="14" spans="1:28" x14ac:dyDescent="0.35">
      <c r="A14" s="9">
        <v>0</v>
      </c>
      <c r="B14" s="45">
        <f t="shared" ref="B14:B29" si="0">A14*$H$6*CFS_to_GPM</f>
        <v>0</v>
      </c>
      <c r="C14" s="36">
        <v>284.60390967860326</v>
      </c>
      <c r="D14" s="47">
        <f t="shared" ref="D14:D29" si="1">100*C14*B14/(3960*E14)</f>
        <v>0</v>
      </c>
      <c r="E14" s="37">
        <v>800</v>
      </c>
      <c r="F14" s="43"/>
      <c r="G14">
        <f t="shared" ref="G14:G29" si="2">A14*0.3048</f>
        <v>0</v>
      </c>
      <c r="H14" s="49">
        <f t="shared" ref="H14:H29" si="3">B14*0.0000630902</f>
        <v>0</v>
      </c>
      <c r="I14" s="49">
        <f t="shared" ref="I14:I29" si="4">C14*0.3048</f>
        <v>86.747271670038273</v>
      </c>
      <c r="J14" s="50">
        <f t="shared" ref="J14:J17" si="5">+E14*0.7457</f>
        <v>596.56000000000006</v>
      </c>
      <c r="K14" s="2">
        <f t="shared" ref="K14:K17" si="6">$D$11*H14*I14/J14</f>
        <v>0</v>
      </c>
    </row>
    <row r="15" spans="1:28" x14ac:dyDescent="0.35">
      <c r="A15" s="9">
        <v>2</v>
      </c>
      <c r="B15" s="45">
        <f t="shared" si="0"/>
        <v>5659.760636050989</v>
      </c>
      <c r="C15" s="36">
        <v>283.63015918273595</v>
      </c>
      <c r="D15" s="47">
        <f t="shared" si="1"/>
        <v>32.799198934337774</v>
      </c>
      <c r="E15" s="37">
        <v>1235.9248093692947</v>
      </c>
      <c r="F15" s="43"/>
      <c r="G15">
        <f t="shared" si="2"/>
        <v>0.60960000000000003</v>
      </c>
      <c r="H15" s="49">
        <f t="shared" si="3"/>
        <v>0.3570754304805841</v>
      </c>
      <c r="I15" s="49">
        <f t="shared" si="4"/>
        <v>86.450472518897925</v>
      </c>
      <c r="J15" s="50">
        <f t="shared" si="5"/>
        <v>921.62913034668316</v>
      </c>
      <c r="K15" s="2">
        <f t="shared" si="6"/>
        <v>0.32857926511540841</v>
      </c>
    </row>
    <row r="16" spans="1:28" x14ac:dyDescent="0.35">
      <c r="A16" s="9">
        <v>4</v>
      </c>
      <c r="B16" s="45">
        <f t="shared" si="0"/>
        <v>11319.521272101978</v>
      </c>
      <c r="C16" s="36">
        <v>282.32106151460493</v>
      </c>
      <c r="D16" s="47">
        <f t="shared" si="1"/>
        <v>44.591817117116321</v>
      </c>
      <c r="E16" s="37">
        <v>1809.7599877227742</v>
      </c>
      <c r="F16" s="43"/>
      <c r="G16">
        <f t="shared" si="2"/>
        <v>1.2192000000000001</v>
      </c>
      <c r="H16" s="49">
        <f t="shared" si="3"/>
        <v>0.7141508609611682</v>
      </c>
      <c r="I16" s="49">
        <f t="shared" si="4"/>
        <v>86.051459549651582</v>
      </c>
      <c r="J16" s="50">
        <f t="shared" si="5"/>
        <v>1349.5380228448728</v>
      </c>
      <c r="K16" s="2">
        <f t="shared" si="6"/>
        <v>0.44671659597038255</v>
      </c>
    </row>
    <row r="17" spans="1:25" s="41" customFormat="1" x14ac:dyDescent="0.35">
      <c r="A17" s="39">
        <v>6</v>
      </c>
      <c r="B17" s="45">
        <f t="shared" si="0"/>
        <v>16979.281908152967</v>
      </c>
      <c r="C17" s="46">
        <v>280.62143872503043</v>
      </c>
      <c r="D17" s="47">
        <f t="shared" si="1"/>
        <v>52.405097925520074</v>
      </c>
      <c r="E17" s="40">
        <v>2295.9976706516709</v>
      </c>
      <c r="F17" s="44"/>
      <c r="G17" s="41">
        <f t="shared" si="2"/>
        <v>1.8288000000000002</v>
      </c>
      <c r="H17" s="51">
        <f t="shared" si="3"/>
        <v>1.0712262914417523</v>
      </c>
      <c r="I17" s="51">
        <f t="shared" si="4"/>
        <v>85.533414523389283</v>
      </c>
      <c r="J17" s="52">
        <f t="shared" si="5"/>
        <v>1712.1254630049511</v>
      </c>
      <c r="K17" s="42">
        <f t="shared" si="6"/>
        <v>0.52498930230400953</v>
      </c>
    </row>
    <row r="18" spans="1:25" x14ac:dyDescent="0.35">
      <c r="A18" s="6">
        <v>8</v>
      </c>
      <c r="B18" s="45">
        <f t="shared" si="0"/>
        <v>22639.042544203956</v>
      </c>
      <c r="C18" s="36">
        <v>278.49043707319078</v>
      </c>
      <c r="D18" s="47">
        <f t="shared" si="1"/>
        <v>58.217415029498866</v>
      </c>
      <c r="E18" s="38">
        <v>2734.7664193283617</v>
      </c>
      <c r="G18">
        <f t="shared" si="2"/>
        <v>2.4384000000000001</v>
      </c>
      <c r="H18" s="49">
        <f t="shared" si="3"/>
        <v>1.4283017219223364</v>
      </c>
      <c r="I18" s="49">
        <f t="shared" si="4"/>
        <v>84.883885219908549</v>
      </c>
      <c r="J18" s="50">
        <f>+E18*0.7457</f>
        <v>2039.3153188931594</v>
      </c>
      <c r="K18" s="2">
        <f>$D$11*H18*I18/J18</f>
        <v>0.58321654396519762</v>
      </c>
    </row>
    <row r="19" spans="1:25" x14ac:dyDescent="0.35">
      <c r="A19" s="6">
        <v>10</v>
      </c>
      <c r="B19" s="45">
        <f t="shared" si="0"/>
        <v>28298.803180254945</v>
      </c>
      <c r="C19" s="36">
        <v>275.90201786958721</v>
      </c>
      <c r="D19" s="47">
        <f t="shared" si="1"/>
        <v>62.782468402691066</v>
      </c>
      <c r="E19" s="38">
        <v>3140.4318461172725</v>
      </c>
      <c r="G19">
        <f t="shared" si="2"/>
        <v>3.048</v>
      </c>
      <c r="H19" s="49">
        <f t="shared" si="3"/>
        <v>1.7853771524029203</v>
      </c>
      <c r="I19" s="49">
        <f t="shared" si="4"/>
        <v>84.094935046650193</v>
      </c>
      <c r="J19" s="49">
        <f t="shared" ref="J19:J29" si="7">+E19*0.7457</f>
        <v>2341.82002764965</v>
      </c>
      <c r="K19" s="2">
        <f>$D$11*H19*I19/J19</f>
        <v>0.62894881582887918</v>
      </c>
    </row>
    <row r="20" spans="1:25" x14ac:dyDescent="0.35">
      <c r="A20" s="6">
        <v>12</v>
      </c>
      <c r="B20" s="45">
        <f t="shared" si="0"/>
        <v>33958.563816305934</v>
      </c>
      <c r="C20" s="36">
        <v>272.84510084329219</v>
      </c>
      <c r="D20" s="47">
        <f t="shared" si="1"/>
        <v>66.475851600047918</v>
      </c>
      <c r="E20" s="38">
        <v>3519.7059244709994</v>
      </c>
      <c r="G20">
        <f t="shared" si="2"/>
        <v>3.6576000000000004</v>
      </c>
      <c r="H20" s="49">
        <f t="shared" si="3"/>
        <v>2.1424525828835046</v>
      </c>
      <c r="I20" s="49">
        <f t="shared" si="4"/>
        <v>83.16318673703546</v>
      </c>
      <c r="J20" s="49">
        <f t="shared" si="7"/>
        <v>2624.6447078780243</v>
      </c>
      <c r="K20" s="2">
        <f>$D$11*H20*I20/J20</f>
        <v>0.66594877851719381</v>
      </c>
      <c r="Y20">
        <f>0.001797851/(0.00000001908315*2)</f>
        <v>47105.718919570405</v>
      </c>
    </row>
    <row r="21" spans="1:25" x14ac:dyDescent="0.35">
      <c r="A21" s="6">
        <v>14</v>
      </c>
      <c r="B21" s="45">
        <f t="shared" si="0"/>
        <v>39618.324452356923</v>
      </c>
      <c r="C21" s="36">
        <v>269.32328822176822</v>
      </c>
      <c r="D21" s="47">
        <f t="shared" si="1"/>
        <v>69.510253428598915</v>
      </c>
      <c r="E21" s="38">
        <v>3876.3765234392085</v>
      </c>
      <c r="G21">
        <f t="shared" si="2"/>
        <v>4.2671999999999999</v>
      </c>
      <c r="H21" s="49">
        <f t="shared" si="3"/>
        <v>2.4995280133640887</v>
      </c>
      <c r="I21" s="49">
        <f t="shared" si="4"/>
        <v>82.089738249994952</v>
      </c>
      <c r="J21" s="49">
        <f t="shared" si="7"/>
        <v>2890.6139735286179</v>
      </c>
      <c r="K21" s="2">
        <f>$D$11*H21*I21/J21</f>
        <v>0.69634712833318069</v>
      </c>
    </row>
    <row r="22" spans="1:25" x14ac:dyDescent="0.35">
      <c r="A22" s="6">
        <v>16</v>
      </c>
      <c r="B22" s="45">
        <f t="shared" si="0"/>
        <v>45278.085088407912</v>
      </c>
      <c r="C22" s="36">
        <v>265.35414000721357</v>
      </c>
      <c r="D22" s="47">
        <f t="shared" si="1"/>
        <v>72.014225198091921</v>
      </c>
      <c r="E22" s="38">
        <v>4213.087129155404</v>
      </c>
      <c r="G22">
        <f t="shared" si="2"/>
        <v>4.8768000000000002</v>
      </c>
      <c r="H22" s="49">
        <f t="shared" si="3"/>
        <v>2.8566034438446728</v>
      </c>
      <c r="I22" s="49">
        <f t="shared" si="4"/>
        <v>80.879941874198707</v>
      </c>
      <c r="J22" s="49">
        <f t="shared" si="7"/>
        <v>3141.699072211185</v>
      </c>
      <c r="K22" s="2">
        <f>$D$11*H22*I22/J22</f>
        <v>0.72143168010948622</v>
      </c>
    </row>
    <row r="23" spans="1:25" x14ac:dyDescent="0.35">
      <c r="A23" s="6">
        <v>18</v>
      </c>
      <c r="B23" s="45">
        <f t="shared" si="0"/>
        <v>50937.845724458901</v>
      </c>
      <c r="C23" s="36">
        <v>260.96801410809252</v>
      </c>
      <c r="D23" s="47">
        <f t="shared" si="1"/>
        <v>74.067569402059263</v>
      </c>
      <c r="E23" s="38">
        <v>4532.1531328549681</v>
      </c>
      <c r="G23">
        <f t="shared" si="2"/>
        <v>5.4864000000000006</v>
      </c>
      <c r="H23" s="49">
        <f t="shared" si="3"/>
        <v>3.2136788743252565</v>
      </c>
      <c r="I23" s="49">
        <f t="shared" si="4"/>
        <v>79.543050700146608</v>
      </c>
      <c r="J23" s="49">
        <f t="shared" si="7"/>
        <v>3379.6265911699497</v>
      </c>
      <c r="K23" s="2">
        <f>$D$11*H23*I23/J23</f>
        <v>0.74200188765995889</v>
      </c>
    </row>
    <row r="24" spans="1:25" x14ac:dyDescent="0.35">
      <c r="A24" s="6">
        <v>20</v>
      </c>
      <c r="B24" s="45">
        <f t="shared" si="0"/>
        <v>56597.60636050989</v>
      </c>
      <c r="C24" s="36">
        <v>256.2065248654842</v>
      </c>
      <c r="D24" s="47">
        <f t="shared" si="1"/>
        <v>75.719659588094515</v>
      </c>
      <c r="E24" s="38">
        <v>4835.9790562234675</v>
      </c>
      <c r="G24">
        <f t="shared" si="2"/>
        <v>6.0960000000000001</v>
      </c>
      <c r="H24" s="49">
        <f t="shared" si="3"/>
        <v>3.5707543048058406</v>
      </c>
      <c r="I24" s="49">
        <f t="shared" si="4"/>
        <v>78.091748778999587</v>
      </c>
      <c r="J24" s="49">
        <f t="shared" si="7"/>
        <v>3606.1895822258398</v>
      </c>
      <c r="K24" s="2">
        <f>$D$11*H24*I24/J24</f>
        <v>0.75855237050310953</v>
      </c>
    </row>
    <row r="25" spans="1:25" x14ac:dyDescent="0.35">
      <c r="A25" s="6">
        <v>22</v>
      </c>
      <c r="B25" s="45">
        <f t="shared" si="0"/>
        <v>62257.366996560879</v>
      </c>
      <c r="C25" s="36">
        <v>251.12070616305218</v>
      </c>
      <c r="D25" s="47">
        <f t="shared" si="1"/>
        <v>77.000062036058779</v>
      </c>
      <c r="E25" s="38">
        <v>5127.279735081358</v>
      </c>
      <c r="G25">
        <f t="shared" si="2"/>
        <v>6.7056000000000004</v>
      </c>
      <c r="H25" s="49">
        <f t="shared" si="3"/>
        <v>3.9278297352864247</v>
      </c>
      <c r="I25" s="49">
        <f t="shared" si="4"/>
        <v>76.541591238498313</v>
      </c>
      <c r="J25" s="49">
        <f t="shared" si="7"/>
        <v>3823.4124984501686</v>
      </c>
      <c r="K25" s="2">
        <f>$D$11*H25*I25/J25</f>
        <v>0.77137932082730243</v>
      </c>
    </row>
    <row r="26" spans="1:25" x14ac:dyDescent="0.35">
      <c r="A26" s="6">
        <v>24</v>
      </c>
      <c r="B26" s="45">
        <f t="shared" si="0"/>
        <v>67917.127632611868</v>
      </c>
      <c r="C26" s="36">
        <v>245.76898773308471</v>
      </c>
      <c r="D26" s="47">
        <f t="shared" si="1"/>
        <v>77.925349887089979</v>
      </c>
      <c r="E26" s="38">
        <v>5409.1925870129789</v>
      </c>
      <c r="G26">
        <f t="shared" si="2"/>
        <v>7.3152000000000008</v>
      </c>
      <c r="H26" s="49">
        <f t="shared" si="3"/>
        <v>4.2849051657670092</v>
      </c>
      <c r="I26" s="49">
        <f t="shared" si="4"/>
        <v>74.910387461044223</v>
      </c>
      <c r="J26" s="49">
        <f t="shared" si="7"/>
        <v>4033.6349121355784</v>
      </c>
      <c r="K26" s="2">
        <f>$D$11*H26*I26/J26</f>
        <v>0.78064876678909856</v>
      </c>
    </row>
    <row r="27" spans="1:25" x14ac:dyDescent="0.35">
      <c r="A27" s="6">
        <v>26</v>
      </c>
      <c r="B27" s="45">
        <f t="shared" si="0"/>
        <v>73576.888268662864</v>
      </c>
      <c r="C27" s="36">
        <v>240.21510391176363</v>
      </c>
      <c r="D27" s="47">
        <f t="shared" si="1"/>
        <v>78.503908610427686</v>
      </c>
      <c r="E27" s="38">
        <v>5685.3245450995701</v>
      </c>
      <c r="G27">
        <f t="shared" si="2"/>
        <v>7.9248000000000003</v>
      </c>
      <c r="H27" s="49">
        <f t="shared" si="3"/>
        <v>4.6419805962475937</v>
      </c>
      <c r="I27" s="49">
        <f t="shared" si="4"/>
        <v>73.217563672305559</v>
      </c>
      <c r="J27" s="49">
        <f t="shared" si="7"/>
        <v>4239.5465132807494</v>
      </c>
      <c r="K27" s="2">
        <f t="shared" ref="K27" si="8">$D$11*H27*I27/J27</f>
        <v>0.786444713224284</v>
      </c>
    </row>
    <row r="28" spans="1:25" x14ac:dyDescent="0.35">
      <c r="A28" s="6">
        <v>28</v>
      </c>
      <c r="B28" s="45">
        <f t="shared" si="0"/>
        <v>79236.648904713846</v>
      </c>
      <c r="C28" s="36">
        <v>234.52605302036019</v>
      </c>
      <c r="D28" s="47">
        <f t="shared" si="1"/>
        <v>78.739626218925864</v>
      </c>
      <c r="E28" s="38">
        <v>5959.7584740347256</v>
      </c>
      <c r="G28">
        <f t="shared" si="2"/>
        <v>8.5343999999999998</v>
      </c>
      <c r="H28" s="49">
        <f t="shared" si="3"/>
        <v>4.9990560267281774</v>
      </c>
      <c r="I28" s="49">
        <f t="shared" si="4"/>
        <v>71.483540960605794</v>
      </c>
      <c r="J28" s="49">
        <f t="shared" si="7"/>
        <v>4444.1918940876949</v>
      </c>
      <c r="K28" s="2">
        <f>$D$11*H28*I28/J28</f>
        <v>0.78880610987699351</v>
      </c>
    </row>
    <row r="29" spans="1:25" x14ac:dyDescent="0.35">
      <c r="A29" s="6">
        <v>30</v>
      </c>
      <c r="B29" s="45">
        <f t="shared" si="0"/>
        <v>84896.409540764827</v>
      </c>
      <c r="C29" s="36">
        <v>228.77021431529786</v>
      </c>
      <c r="D29" s="47">
        <f t="shared" si="1"/>
        <v>78.634926058357621</v>
      </c>
      <c r="E29" s="38">
        <v>6237.0343184602061</v>
      </c>
      <c r="G29">
        <f t="shared" si="2"/>
        <v>9.1440000000000001</v>
      </c>
      <c r="H29" s="49">
        <f t="shared" si="3"/>
        <v>5.356131457208761</v>
      </c>
      <c r="I29" s="49">
        <f t="shared" si="4"/>
        <v>69.72916132330279</v>
      </c>
      <c r="J29" s="49">
        <f t="shared" si="7"/>
        <v>4650.956491275776</v>
      </c>
      <c r="K29" s="2">
        <f>$D$11*H29*I29/J29</f>
        <v>0.78775723359541561</v>
      </c>
    </row>
    <row r="30" spans="1:25" x14ac:dyDescent="0.35">
      <c r="K30" s="2"/>
    </row>
    <row r="31" spans="1:25" x14ac:dyDescent="0.35">
      <c r="H31" t="str">
        <f>TEXT(H14,"0.0000000")&amp;": "&amp;TEXT(I14,"0.000000")&amp;","</f>
        <v>0.0000000: 86.747272,</v>
      </c>
      <c r="J31" t="str">
        <f>TEXT(H14,"0.000000")&amp;": "&amp;TEXT(J14,"0.000000")&amp;","</f>
        <v>0.000000: 596.560000,</v>
      </c>
    </row>
    <row r="32" spans="1:25" x14ac:dyDescent="0.35">
      <c r="H32" t="str">
        <f>TEXT(H15,"0.0000000")&amp;": "&amp;TEXT(I15,"0.000000")&amp;","</f>
        <v>0.3570754: 86.450473,</v>
      </c>
      <c r="J32" t="str">
        <f>TEXT(H15,"0.000000")&amp;": "&amp;TEXT(J15,"0.000000")&amp;","</f>
        <v>0.357075: 921.629130,</v>
      </c>
    </row>
    <row r="33" spans="8:10" x14ac:dyDescent="0.35">
      <c r="H33" t="str">
        <f>TEXT(H16,"0.0000000")&amp;": "&amp;TEXT(I16,"0.000000")&amp;","</f>
        <v>0.7141509: 86.051460,</v>
      </c>
      <c r="J33" t="str">
        <f>TEXT(H16,"0.000000")&amp;": "&amp;TEXT(J16,"0.000000")&amp;","</f>
        <v>0.714151: 1349.538023,</v>
      </c>
    </row>
    <row r="34" spans="8:10" x14ac:dyDescent="0.35">
      <c r="H34" t="str">
        <f>TEXT(H17,"0.0000000")&amp;": "&amp;TEXT(I17,"0.000000")&amp;","</f>
        <v>1.0712263: 85.533415,</v>
      </c>
      <c r="J34" t="str">
        <f>TEXT(H17,"0.000000")&amp;": "&amp;TEXT(J17,"0.000000")&amp;","</f>
        <v>1.071226: 1712.125463,</v>
      </c>
    </row>
    <row r="35" spans="8:10" x14ac:dyDescent="0.35">
      <c r="H35" t="str">
        <f>TEXT(H18,"0.0000000")&amp;": "&amp;TEXT(I18,"0.000000")&amp;","</f>
        <v>1.4283017: 84.883885,</v>
      </c>
      <c r="J35" t="str">
        <f>TEXT(H18,"0.000000")&amp;": "&amp;TEXT(J18,"0.000000")&amp;","</f>
        <v>1.428302: 2039.315319,</v>
      </c>
    </row>
    <row r="36" spans="8:10" x14ac:dyDescent="0.35">
      <c r="H36" t="str">
        <f>TEXT(H19,"0.0000000")&amp;": "&amp;TEXT(I19,"0.000000")&amp;","</f>
        <v>1.7853772: 84.094935,</v>
      </c>
      <c r="J36" t="str">
        <f>TEXT(H19,"0.000000")&amp;": "&amp;TEXT(J19,"0.000000")&amp;","</f>
        <v>1.785377: 2341.820028,</v>
      </c>
    </row>
    <row r="37" spans="8:10" x14ac:dyDescent="0.35">
      <c r="H37" t="str">
        <f>TEXT(H20,"0.0000000")&amp;": "&amp;TEXT(I20,"0.000000")&amp;","</f>
        <v>2.1424526: 83.163187,</v>
      </c>
      <c r="J37" t="str">
        <f>TEXT(H20,"0.000000")&amp;": "&amp;TEXT(J20,"0.000000")&amp;","</f>
        <v>2.142453: 2624.644708,</v>
      </c>
    </row>
    <row r="38" spans="8:10" x14ac:dyDescent="0.35">
      <c r="H38" t="str">
        <f>TEXT(H21,"0.0000000")&amp;": "&amp;TEXT(I21,"0.000000")&amp;","</f>
        <v>2.4995280: 82.089738,</v>
      </c>
      <c r="J38" t="str">
        <f>TEXT(H21,"0.000000")&amp;": "&amp;TEXT(J21,"0.000000")&amp;","</f>
        <v>2.499528: 2890.613974,</v>
      </c>
    </row>
    <row r="39" spans="8:10" x14ac:dyDescent="0.35">
      <c r="H39" t="str">
        <f>TEXT(H22,"0.0000000")&amp;": "&amp;TEXT(I22,"0.000000")&amp;","</f>
        <v>2.8566034: 80.879942,</v>
      </c>
      <c r="J39" t="str">
        <f>TEXT(H22,"0.000000")&amp;": "&amp;TEXT(J22,"0.000000")&amp;","</f>
        <v>2.856603: 3141.699072,</v>
      </c>
    </row>
    <row r="40" spans="8:10" x14ac:dyDescent="0.35">
      <c r="H40" t="str">
        <f>TEXT(H23,"0.0000000")&amp;": "&amp;TEXT(I23,"0.000000")&amp;","</f>
        <v>3.2136789: 79.543051,</v>
      </c>
      <c r="J40" t="str">
        <f>TEXT(H23,"0.000000")&amp;": "&amp;TEXT(J23,"0.000000")&amp;","</f>
        <v>3.213679: 3379.626591,</v>
      </c>
    </row>
    <row r="41" spans="8:10" x14ac:dyDescent="0.35">
      <c r="H41" t="str">
        <f>TEXT(H24,"0.0000000")&amp;": "&amp;TEXT(I24,"0.000000")&amp;","</f>
        <v>3.5707543: 78.091749,</v>
      </c>
      <c r="J41" t="str">
        <f>TEXT(H24,"0.000000")&amp;": "&amp;TEXT(J24,"0.000000")&amp;","</f>
        <v>3.570754: 3606.189582,</v>
      </c>
    </row>
    <row r="42" spans="8:10" x14ac:dyDescent="0.35">
      <c r="H42" t="str">
        <f>TEXT(H25,"0.0000000")&amp;": "&amp;TEXT(I25,"0.000000")&amp;","</f>
        <v>3.9278297: 76.541591,</v>
      </c>
      <c r="J42" t="str">
        <f>TEXT(H25,"0.000000")&amp;": "&amp;TEXT(J25,"0.000000")&amp;","</f>
        <v>3.927830: 3823.412498,</v>
      </c>
    </row>
    <row r="43" spans="8:10" x14ac:dyDescent="0.35">
      <c r="H43" t="str">
        <f>TEXT(H26,"0.0000000")&amp;": "&amp;TEXT(I26,"0.000000")&amp;","</f>
        <v>4.2849052: 74.910387,</v>
      </c>
      <c r="J43" t="str">
        <f>TEXT(H26,"0.000000")&amp;": "&amp;TEXT(J26,"0.000000")&amp;","</f>
        <v>4.284905: 4033.634912,</v>
      </c>
    </row>
    <row r="44" spans="8:10" x14ac:dyDescent="0.35">
      <c r="H44" t="str">
        <f>TEXT(H27,"0.0000000")&amp;": "&amp;TEXT(I27,"0.000000")&amp;","</f>
        <v>4.6419806: 73.217564,</v>
      </c>
      <c r="J44" t="str">
        <f>TEXT(H27,"0.000000")&amp;": "&amp;TEXT(J27,"0.000000")&amp;","</f>
        <v>4.641981: 4239.546513,</v>
      </c>
    </row>
    <row r="45" spans="8:10" x14ac:dyDescent="0.35">
      <c r="H45" t="str">
        <f>TEXT(H28,"0.0000000")&amp;": "&amp;TEXT(I28,"0.000000")&amp;","</f>
        <v>4.9990560: 71.483541,</v>
      </c>
      <c r="J45" t="str">
        <f>TEXT(H28,"0.000000")&amp;": "&amp;TEXT(J28,"0.000000")&amp;","</f>
        <v>4.999056: 4444.191894,</v>
      </c>
    </row>
    <row r="46" spans="8:10" x14ac:dyDescent="0.35">
      <c r="H46" t="str">
        <f>TEXT(H29,"0.0000000")&amp;": "&amp;TEXT(I29,"0.000000")&amp;","</f>
        <v>5.3561315: 69.729161,</v>
      </c>
      <c r="J46" t="str">
        <f>TEXT(H29,"0.000000")&amp;": "&amp;TEXT(J29,"0.000000")&amp;","</f>
        <v>5.356131: 4650.956491,</v>
      </c>
    </row>
  </sheetData>
  <conditionalFormatting sqref="E30">
    <cfRule type="cellIs" dxfId="0" priority="1" operator="greaterThan">
      <formula>$B$10/$B$11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3AEA-B752-4529-9A71-63CCB4B8A2E8}">
  <sheetPr codeName="Sheet2"/>
  <dimension ref="A1:E14"/>
  <sheetViews>
    <sheetView tabSelected="1" workbookViewId="0">
      <selection activeCell="H9" sqref="H9"/>
    </sheetView>
  </sheetViews>
  <sheetFormatPr defaultRowHeight="14.5" x14ac:dyDescent="0.35"/>
  <cols>
    <col min="1" max="1" width="10.453125" bestFit="1" customWidth="1"/>
    <col min="2" max="2" width="9.08984375" bestFit="1" customWidth="1"/>
    <col min="4" max="4" width="10.36328125" bestFit="1" customWidth="1"/>
    <col min="5" max="5" width="9.08984375" bestFit="1" customWidth="1"/>
  </cols>
  <sheetData>
    <row r="1" spans="1:5" x14ac:dyDescent="0.35">
      <c r="A1" t="s">
        <v>21</v>
      </c>
      <c r="B1" s="49" t="s">
        <v>75</v>
      </c>
    </row>
    <row r="3" spans="1:5" x14ac:dyDescent="0.35">
      <c r="A3" t="s">
        <v>22</v>
      </c>
      <c r="B3" s="49">
        <f>A14/MainPump!B7</f>
        <v>2.8571428571428572</v>
      </c>
    </row>
    <row r="5" spans="1:5" x14ac:dyDescent="0.35">
      <c r="A5" t="s">
        <v>23</v>
      </c>
      <c r="B5" t="s">
        <v>15</v>
      </c>
      <c r="D5" s="49" t="s">
        <v>76</v>
      </c>
      <c r="E5" s="49" t="s">
        <v>24</v>
      </c>
    </row>
    <row r="6" spans="1:5" x14ac:dyDescent="0.35">
      <c r="A6">
        <v>200</v>
      </c>
      <c r="B6" s="35">
        <v>700.00000000000011</v>
      </c>
      <c r="D6" s="55">
        <f>A6/60</f>
        <v>3.3333333333333335</v>
      </c>
      <c r="E6" s="56">
        <f>B6*0.7457</f>
        <v>521.99000000000012</v>
      </c>
    </row>
    <row r="7" spans="1:5" x14ac:dyDescent="0.35">
      <c r="A7">
        <v>300</v>
      </c>
      <c r="B7" s="35">
        <v>950</v>
      </c>
      <c r="D7" s="55">
        <f t="shared" ref="D7:D14" si="0">A7/60</f>
        <v>5</v>
      </c>
      <c r="E7" s="56">
        <f t="shared" ref="E7:E14" si="1">B7*0.7457</f>
        <v>708.41500000000008</v>
      </c>
    </row>
    <row r="8" spans="1:5" x14ac:dyDescent="0.35">
      <c r="A8">
        <v>400</v>
      </c>
      <c r="B8" s="35">
        <v>1450</v>
      </c>
      <c r="D8" s="55">
        <f t="shared" si="0"/>
        <v>6.666666666666667</v>
      </c>
      <c r="E8" s="56">
        <f t="shared" si="1"/>
        <v>1081.2650000000001</v>
      </c>
    </row>
    <row r="9" spans="1:5" x14ac:dyDescent="0.35">
      <c r="A9">
        <v>500</v>
      </c>
      <c r="B9" s="35">
        <v>2250</v>
      </c>
      <c r="D9" s="55">
        <f t="shared" si="0"/>
        <v>8.3333333333333339</v>
      </c>
      <c r="E9" s="56">
        <f t="shared" si="1"/>
        <v>1677.825</v>
      </c>
    </row>
    <row r="10" spans="1:5" x14ac:dyDescent="0.35">
      <c r="A10">
        <v>600</v>
      </c>
      <c r="B10" s="35">
        <v>3200</v>
      </c>
      <c r="D10" s="55">
        <f t="shared" si="0"/>
        <v>10</v>
      </c>
      <c r="E10" s="56">
        <f t="shared" si="1"/>
        <v>2386.2400000000002</v>
      </c>
    </row>
    <row r="11" spans="1:5" x14ac:dyDescent="0.35">
      <c r="A11">
        <v>700</v>
      </c>
      <c r="B11" s="35">
        <v>4400</v>
      </c>
      <c r="D11" s="55">
        <f t="shared" si="0"/>
        <v>11.666666666666666</v>
      </c>
      <c r="E11" s="56">
        <f t="shared" si="1"/>
        <v>3281.08</v>
      </c>
    </row>
    <row r="12" spans="1:5" x14ac:dyDescent="0.35">
      <c r="A12">
        <v>765</v>
      </c>
      <c r="B12" s="35">
        <v>4850</v>
      </c>
      <c r="D12" s="55">
        <f t="shared" si="0"/>
        <v>12.75</v>
      </c>
      <c r="E12" s="56">
        <f t="shared" si="1"/>
        <v>3616.645</v>
      </c>
    </row>
    <row r="13" spans="1:5" x14ac:dyDescent="0.35">
      <c r="A13">
        <v>800</v>
      </c>
      <c r="B13" s="35">
        <v>5000</v>
      </c>
      <c r="D13" s="55">
        <f t="shared" si="0"/>
        <v>13.333333333333334</v>
      </c>
      <c r="E13" s="56">
        <f t="shared" si="1"/>
        <v>3728.5</v>
      </c>
    </row>
    <row r="14" spans="1:5" x14ac:dyDescent="0.35">
      <c r="A14">
        <v>900</v>
      </c>
      <c r="B14" s="35">
        <v>5000</v>
      </c>
      <c r="D14" s="55">
        <f t="shared" si="0"/>
        <v>15</v>
      </c>
      <c r="E14" s="56">
        <f t="shared" si="1"/>
        <v>3728.5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22</vt:i4>
      </vt:variant>
    </vt:vector>
  </HeadingPairs>
  <TitlesOfParts>
    <vt:vector size="26" baseType="lpstr">
      <vt:lpstr>Pipeline</vt:lpstr>
      <vt:lpstr>UWPump</vt:lpstr>
      <vt:lpstr>MainPump</vt:lpstr>
      <vt:lpstr>MainDriver</vt:lpstr>
      <vt:lpstr>MainPump!avail_power</vt:lpstr>
      <vt:lpstr>UWPump!avail_power</vt:lpstr>
      <vt:lpstr>MainPump!CFS_to_GPM</vt:lpstr>
      <vt:lpstr>UWPump!CFS_to_GPM</vt:lpstr>
      <vt:lpstr>MainPump!discharge</vt:lpstr>
      <vt:lpstr>UWPump!discharge</vt:lpstr>
      <vt:lpstr>MainDriver!driver_name</vt:lpstr>
      <vt:lpstr>MainDriver!gear_ratio</vt:lpstr>
      <vt:lpstr>MainPump!impeller</vt:lpstr>
      <vt:lpstr>UWPump!impeller</vt:lpstr>
      <vt:lpstr>MainPump!limited</vt:lpstr>
      <vt:lpstr>UWPump!limited</vt:lpstr>
      <vt:lpstr>Pipeline!pipeline_name</vt:lpstr>
      <vt:lpstr>MainDriver!power_curve</vt:lpstr>
      <vt:lpstr>MainPump!pump_curve</vt:lpstr>
      <vt:lpstr>UWPump!pump_curve</vt:lpstr>
      <vt:lpstr>MainPump!pump_name</vt:lpstr>
      <vt:lpstr>UWPump!pump_name</vt:lpstr>
      <vt:lpstr>MainPump!speed</vt:lpstr>
      <vt:lpstr>UWPump!speed</vt:lpstr>
      <vt:lpstr>MainPump!suction</vt:lpstr>
      <vt:lpstr>UWPump!suction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Ramsdell</dc:creator>
  <cp:lastModifiedBy>Robert Ramsdell</cp:lastModifiedBy>
  <dcterms:created xsi:type="dcterms:W3CDTF">2021-09-03T21:32:47Z</dcterms:created>
  <dcterms:modified xsi:type="dcterms:W3CDTF">2022-12-30T17:30:21Z</dcterms:modified>
</cp:coreProperties>
</file>