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rii\PycharmProjects\DHLLDV\src\pumps\"/>
    </mc:Choice>
  </mc:AlternateContent>
  <xr:revisionPtr revIDLastSave="0" documentId="13_ncr:1_{12222197-F701-49A8-9EAE-474A5689E6DB}" xr6:coauthVersionLast="47" xr6:coauthVersionMax="47" xr10:uidLastSave="{00000000-0000-0000-0000-000000000000}"/>
  <bookViews>
    <workbookView xWindow="28680" yWindow="-120" windowWidth="29040" windowHeight="15990" xr2:uid="{98C64CC5-A101-4EA1-B592-0C875155FCC8}"/>
  </bookViews>
  <sheets>
    <sheet name="Small New Pum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0" i="1" l="1"/>
  <c r="R30" i="1"/>
  <c r="Q30" i="1"/>
  <c r="P30" i="1"/>
  <c r="O30" i="1"/>
  <c r="N30" i="1"/>
  <c r="E8" i="1"/>
  <c r="E9" i="1"/>
  <c r="I2" i="1"/>
  <c r="E7" i="1" s="1"/>
  <c r="G2" i="1"/>
  <c r="G1" i="1"/>
  <c r="I80" i="1"/>
  <c r="J80" i="1"/>
  <c r="K80" i="1"/>
  <c r="L80" i="1"/>
  <c r="M80" i="1"/>
  <c r="N80" i="1"/>
  <c r="I81" i="1"/>
  <c r="J81" i="1"/>
  <c r="K81" i="1"/>
  <c r="L81" i="1"/>
  <c r="M81" i="1"/>
  <c r="N81" i="1"/>
  <c r="I82" i="1"/>
  <c r="J82" i="1"/>
  <c r="K82" i="1"/>
  <c r="L82" i="1"/>
  <c r="M82" i="1"/>
  <c r="N82" i="1"/>
  <c r="I83" i="1"/>
  <c r="J83" i="1"/>
  <c r="K83" i="1"/>
  <c r="L83" i="1"/>
  <c r="M83" i="1"/>
  <c r="N83" i="1"/>
  <c r="I84" i="1"/>
  <c r="J84" i="1"/>
  <c r="K84" i="1"/>
  <c r="L84" i="1"/>
  <c r="M84" i="1"/>
  <c r="N84" i="1"/>
  <c r="B76" i="1"/>
  <c r="B75" i="1"/>
  <c r="B74" i="1"/>
  <c r="B73" i="1"/>
  <c r="B72" i="1"/>
  <c r="C74" i="1"/>
  <c r="C73" i="1"/>
  <c r="C72" i="1"/>
  <c r="F76" i="1"/>
  <c r="F75" i="1"/>
  <c r="F74" i="1"/>
  <c r="F73" i="1"/>
  <c r="F72" i="1"/>
  <c r="E72" i="1"/>
  <c r="L37" i="1"/>
  <c r="M37" i="1" s="1"/>
  <c r="Q37" i="1" s="1"/>
  <c r="L36" i="1"/>
  <c r="M36" i="1" s="1"/>
  <c r="P36" i="1" s="1"/>
  <c r="L35" i="1"/>
  <c r="M35" i="1" s="1"/>
  <c r="S35" i="1" s="1"/>
  <c r="L34" i="1"/>
  <c r="M34" i="1" s="1"/>
  <c r="S34" i="1" s="1"/>
  <c r="L33" i="1"/>
  <c r="M33" i="1" s="1"/>
  <c r="P33" i="1" s="1"/>
  <c r="L32" i="1"/>
  <c r="M32" i="1" s="1"/>
  <c r="O32" i="1" s="1"/>
  <c r="L31" i="1"/>
  <c r="M31" i="1" s="1"/>
  <c r="N31" i="1" s="1"/>
  <c r="I35" i="1"/>
  <c r="H35" i="1"/>
  <c r="G35" i="1"/>
  <c r="F35" i="1"/>
  <c r="E35" i="1"/>
  <c r="D35" i="1"/>
  <c r="B35" i="1"/>
  <c r="C35" i="1" s="1"/>
  <c r="B25" i="1"/>
  <c r="C25" i="1" s="1"/>
  <c r="I37" i="1"/>
  <c r="H37" i="1"/>
  <c r="G37" i="1"/>
  <c r="F37" i="1"/>
  <c r="E37" i="1"/>
  <c r="D37" i="1"/>
  <c r="I36" i="1"/>
  <c r="H36" i="1"/>
  <c r="G36" i="1"/>
  <c r="F36" i="1"/>
  <c r="E36" i="1"/>
  <c r="D36" i="1"/>
  <c r="I34" i="1"/>
  <c r="H34" i="1"/>
  <c r="G34" i="1"/>
  <c r="F34" i="1"/>
  <c r="E34" i="1"/>
  <c r="D34" i="1"/>
  <c r="I33" i="1"/>
  <c r="H33" i="1"/>
  <c r="G33" i="1"/>
  <c r="F33" i="1"/>
  <c r="E33" i="1"/>
  <c r="D33" i="1"/>
  <c r="I32" i="1"/>
  <c r="H32" i="1"/>
  <c r="G32" i="1"/>
  <c r="F32" i="1"/>
  <c r="E32" i="1"/>
  <c r="D32" i="1"/>
  <c r="I31" i="1"/>
  <c r="H31" i="1"/>
  <c r="G31" i="1"/>
  <c r="F31" i="1"/>
  <c r="E31" i="1"/>
  <c r="D31" i="1"/>
  <c r="B37" i="1"/>
  <c r="C37" i="1" s="1"/>
  <c r="B36" i="1"/>
  <c r="C36" i="1" s="1"/>
  <c r="B34" i="1"/>
  <c r="C34" i="1" s="1"/>
  <c r="B33" i="1"/>
  <c r="C33" i="1" s="1"/>
  <c r="B32" i="1"/>
  <c r="C32" i="1" s="1"/>
  <c r="B31" i="1"/>
  <c r="C31" i="1" s="1"/>
  <c r="B27" i="1"/>
  <c r="C27" i="1" s="1"/>
  <c r="B26" i="1"/>
  <c r="C26" i="1" s="1"/>
  <c r="B24" i="1"/>
  <c r="C24" i="1" s="1"/>
  <c r="B23" i="1"/>
  <c r="C23" i="1" s="1"/>
  <c r="B22" i="1"/>
  <c r="C22" i="1" s="1"/>
  <c r="B21" i="1"/>
  <c r="C21" i="1" s="1"/>
  <c r="R36" i="1" l="1"/>
  <c r="O36" i="1"/>
  <c r="Q33" i="1"/>
  <c r="Q31" i="1"/>
  <c r="N36" i="1"/>
  <c r="E11" i="1"/>
  <c r="E12" i="1" s="1"/>
  <c r="E13" i="1" s="1"/>
  <c r="E14" i="1" s="1"/>
  <c r="S36" i="1"/>
  <c r="N35" i="1"/>
  <c r="R35" i="1"/>
  <c r="S33" i="1"/>
  <c r="N34" i="1"/>
  <c r="O34" i="1"/>
  <c r="Q36" i="1"/>
  <c r="O35" i="1"/>
  <c r="P32" i="1"/>
  <c r="P35" i="1"/>
  <c r="R37" i="1"/>
  <c r="R33" i="1"/>
  <c r="Q32" i="1"/>
  <c r="Q35" i="1"/>
  <c r="S37" i="1"/>
  <c r="M85" i="1"/>
  <c r="O31" i="1"/>
  <c r="P31" i="1"/>
  <c r="R32" i="1"/>
  <c r="S32" i="1"/>
  <c r="R31" i="1"/>
  <c r="N33" i="1"/>
  <c r="P34" i="1"/>
  <c r="N37" i="1"/>
  <c r="S31" i="1"/>
  <c r="O33" i="1"/>
  <c r="Q34" i="1"/>
  <c r="O37" i="1"/>
  <c r="N32" i="1"/>
  <c r="R34" i="1"/>
  <c r="P37" i="1"/>
  <c r="L85" i="1"/>
  <c r="K85" i="1"/>
  <c r="I85" i="1"/>
  <c r="J85" i="1"/>
</calcChain>
</file>

<file path=xl/sharedStrings.xml><?xml version="1.0" encoding="utf-8"?>
<sst xmlns="http://schemas.openxmlformats.org/spreadsheetml/2006/main" count="52" uniqueCount="43">
  <si>
    <t>Impeller</t>
  </si>
  <si>
    <t>Hr</t>
  </si>
  <si>
    <t>Hr per Figure 9.10 of WACS2</t>
  </si>
  <si>
    <t>d micron</t>
  </si>
  <si>
    <t>d mm</t>
  </si>
  <si>
    <t>d m</t>
  </si>
  <si>
    <t>scale cm per Figure 9.10 of WACS2</t>
  </si>
  <si>
    <t>d/dimp per Figure 9.10 of WACS2</t>
  </si>
  <si>
    <t>dimp</t>
  </si>
  <si>
    <t>Cvd</t>
  </si>
  <si>
    <t>Cvd Corrections per Figure 9.1 lower panel = Hr = Hr15*(Cv/0.15)</t>
  </si>
  <si>
    <t>Ss</t>
  </si>
  <si>
    <t>Xh</t>
  </si>
  <si>
    <t>Xh corrections per Figure 9.1 lower panel Hr ~= Hr0 * 0.125/Xh</t>
  </si>
  <si>
    <t>Ss corrections per Figure 9.1 lower panel: Hr ~= Hr265*(Ss/2.65)</t>
  </si>
  <si>
    <t>Impeller diameter dimp (m)</t>
  </si>
  <si>
    <t>Particle Diameter dpart (mm)</t>
  </si>
  <si>
    <t>Delivered concentration Cvd (-)</t>
  </si>
  <si>
    <t>Silt Fraction Xh (-)</t>
  </si>
  <si>
    <t>m =</t>
  </si>
  <si>
    <t>in</t>
  </si>
  <si>
    <t>mm =</t>
  </si>
  <si>
    <t>micron =</t>
  </si>
  <si>
    <t>m</t>
  </si>
  <si>
    <t>s.g.</t>
  </si>
  <si>
    <t>Solids Specific Gravity Ss (-)</t>
  </si>
  <si>
    <t>b</t>
  </si>
  <si>
    <t>dpart / dimp</t>
  </si>
  <si>
    <t>const b</t>
  </si>
  <si>
    <t>coeff m</t>
  </si>
  <si>
    <t>Hr0</t>
  </si>
  <si>
    <t>H15</t>
  </si>
  <si>
    <t>Base</t>
  </si>
  <si>
    <t>Cvb correction</t>
  </si>
  <si>
    <t>Hr265</t>
  </si>
  <si>
    <t>Ss Correction</t>
  </si>
  <si>
    <t>Xh Correction</t>
  </si>
  <si>
    <t>Caculate m and b per the equations in the coefficients chart</t>
  </si>
  <si>
    <t>H15 = m*ln(dpat/dimp) + b</t>
  </si>
  <si>
    <t>Multiply by Ss/2.65 to correct for solids density</t>
  </si>
  <si>
    <t>Multiply by Cvb/0.15 to correct for delivered concentration</t>
  </si>
  <si>
    <t>Multiply by 0.125/Xh to correct for silt fraction</t>
  </si>
  <si>
    <t>Note: Valid for impeller &lt;= 0.7m with modern (twisted vane) designs, for larger or older pumps use Fig 9.9 of WACS2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</si>
</sst>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6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'Small New Pumps'!$N$30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22319531586277175"/>
                  <c:y val="2.59820990769819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New Pumps'!$N$31:$N$37</c:f>
              <c:numCache>
                <c:formatCode>0.0000</c:formatCode>
                <c:ptCount val="7"/>
                <c:pt idx="0">
                  <c:v>1.4285714285714287E-4</c:v>
                </c:pt>
                <c:pt idx="1">
                  <c:v>2.8571428571428574E-4</c:v>
                </c:pt>
                <c:pt idx="2">
                  <c:v>7.1428571428571439E-4</c:v>
                </c:pt>
                <c:pt idx="3">
                  <c:v>1.4285714285714288E-3</c:v>
                </c:pt>
                <c:pt idx="4">
                  <c:v>2.8571428571428576E-3</c:v>
                </c:pt>
                <c:pt idx="5">
                  <c:v>7.1428571428571435E-3</c:v>
                </c:pt>
                <c:pt idx="6">
                  <c:v>1.4285714285714287E-2</c:v>
                </c:pt>
              </c:numCache>
            </c:numRef>
          </c:xVal>
          <c:yVal>
            <c:numRef>
              <c:f>'Small New Pumps'!$D$31:$D$37</c:f>
              <c:numCache>
                <c:formatCode>0.00</c:formatCode>
                <c:ptCount val="7"/>
                <c:pt idx="0">
                  <c:v>1.1795E-2</c:v>
                </c:pt>
                <c:pt idx="1">
                  <c:v>2.6960000000000001E-2</c:v>
                </c:pt>
                <c:pt idx="2">
                  <c:v>4.5495000000000001E-2</c:v>
                </c:pt>
                <c:pt idx="3">
                  <c:v>5.8975E-2</c:v>
                </c:pt>
                <c:pt idx="4">
                  <c:v>7.4140000000000011E-2</c:v>
                </c:pt>
                <c:pt idx="5">
                  <c:v>8.7620000000000003E-2</c:v>
                </c:pt>
                <c:pt idx="6">
                  <c:v>9.7729999999999997E-2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6-443F-BDF2-473B87C46F53}"/>
            </c:ext>
          </c:extLst>
        </c:ser>
        <c:ser>
          <c:idx val="1"/>
          <c:order val="1"/>
          <c:tx>
            <c:strRef>
              <c:f>'Small New Pumps'!$O$30</c:f>
              <c:strCache>
                <c:ptCount val="1"/>
                <c:pt idx="0">
                  <c:v>0.6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22280467631423337"/>
                  <c:y val="1.003617001399148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New Pumps'!$O$31:$O$37</c:f>
              <c:numCache>
                <c:formatCode>0.0000</c:formatCode>
                <c:ptCount val="7"/>
                <c:pt idx="0">
                  <c:v>1.6666666666666669E-4</c:v>
                </c:pt>
                <c:pt idx="1">
                  <c:v>3.3333333333333338E-4</c:v>
                </c:pt>
                <c:pt idx="2">
                  <c:v>8.3333333333333339E-4</c:v>
                </c:pt>
                <c:pt idx="3">
                  <c:v>1.6666666666666668E-3</c:v>
                </c:pt>
                <c:pt idx="4">
                  <c:v>3.3333333333333335E-3</c:v>
                </c:pt>
                <c:pt idx="5">
                  <c:v>8.3333333333333332E-3</c:v>
                </c:pt>
                <c:pt idx="6">
                  <c:v>1.6666666666666666E-2</c:v>
                </c:pt>
              </c:numCache>
            </c:numRef>
          </c:xVal>
          <c:yVal>
            <c:numRef>
              <c:f>'Small New Pumps'!$E$31:$E$37</c:f>
              <c:numCache>
                <c:formatCode>0.00</c:formatCode>
                <c:ptCount val="7"/>
                <c:pt idx="0">
                  <c:v>1.3480000000000001E-2</c:v>
                </c:pt>
                <c:pt idx="1">
                  <c:v>3.2014999999999995E-2</c:v>
                </c:pt>
                <c:pt idx="2">
                  <c:v>5.3920000000000003E-2</c:v>
                </c:pt>
                <c:pt idx="3">
                  <c:v>6.9084999999999994E-2</c:v>
                </c:pt>
                <c:pt idx="4">
                  <c:v>8.5934999999999984E-2</c:v>
                </c:pt>
                <c:pt idx="5">
                  <c:v>0.10278499999999999</c:v>
                </c:pt>
                <c:pt idx="6">
                  <c:v>0.11458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E6-443F-BDF2-473B87C46F53}"/>
            </c:ext>
          </c:extLst>
        </c:ser>
        <c:ser>
          <c:idx val="2"/>
          <c:order val="2"/>
          <c:tx>
            <c:strRef>
              <c:f>'Small New Pumps'!$P$30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23341367775825619"/>
                  <c:y val="7.21216701115615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New Pumps'!$P$31:$P$37</c:f>
              <c:numCache>
                <c:formatCode>0.0000</c:formatCode>
                <c:ptCount val="7"/>
                <c:pt idx="0">
                  <c:v>2.0000000000000001E-4</c:v>
                </c:pt>
                <c:pt idx="1">
                  <c:v>4.0000000000000002E-4</c:v>
                </c:pt>
                <c:pt idx="2">
                  <c:v>1E-3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0.01</c:v>
                </c:pt>
                <c:pt idx="6">
                  <c:v>0.02</c:v>
                </c:pt>
              </c:numCache>
            </c:numRef>
          </c:xVal>
          <c:yVal>
            <c:numRef>
              <c:f>'Small New Pumps'!$F$31:$F$37</c:f>
              <c:numCache>
                <c:formatCode>0.00</c:formatCode>
                <c:ptCount val="7"/>
                <c:pt idx="0">
                  <c:v>1.5165000000000001E-2</c:v>
                </c:pt>
                <c:pt idx="1">
                  <c:v>4.0439999999999997E-2</c:v>
                </c:pt>
                <c:pt idx="2">
                  <c:v>6.7400000000000002E-2</c:v>
                </c:pt>
                <c:pt idx="3">
                  <c:v>8.4250000000000005E-2</c:v>
                </c:pt>
                <c:pt idx="4">
                  <c:v>0.10615500000000001</c:v>
                </c:pt>
                <c:pt idx="5">
                  <c:v>0.12805999999999998</c:v>
                </c:pt>
                <c:pt idx="6">
                  <c:v>0.13985500000000001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E6-443F-BDF2-473B87C46F53}"/>
            </c:ext>
          </c:extLst>
        </c:ser>
        <c:ser>
          <c:idx val="3"/>
          <c:order val="3"/>
          <c:tx>
            <c:strRef>
              <c:f>'Small New Pumps'!$Q$30</c:f>
              <c:strCache>
                <c:ptCount val="1"/>
                <c:pt idx="0">
                  <c:v>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22663913425976867"/>
                  <c:y val="9.449920589599421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C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New Pumps'!$Q$31:$Q$37</c:f>
              <c:numCache>
                <c:formatCode>0.0000</c:formatCode>
                <c:ptCount val="7"/>
                <c:pt idx="0">
                  <c:v>2.5000000000000001E-4</c:v>
                </c:pt>
                <c:pt idx="1">
                  <c:v>5.0000000000000001E-4</c:v>
                </c:pt>
                <c:pt idx="2">
                  <c:v>1.25E-3</c:v>
                </c:pt>
                <c:pt idx="3">
                  <c:v>2.5000000000000001E-3</c:v>
                </c:pt>
                <c:pt idx="4">
                  <c:v>5.0000000000000001E-3</c:v>
                </c:pt>
                <c:pt idx="5">
                  <c:v>1.2499999999999999E-2</c:v>
                </c:pt>
                <c:pt idx="6">
                  <c:v>2.4999999999999998E-2</c:v>
                </c:pt>
              </c:numCache>
            </c:numRef>
          </c:xVal>
          <c:yVal>
            <c:numRef>
              <c:f>'Small New Pumps'!$G$31:$G$37</c:f>
              <c:numCache>
                <c:formatCode>0.00</c:formatCode>
                <c:ptCount val="7"/>
                <c:pt idx="0">
                  <c:v>1.685E-2</c:v>
                </c:pt>
                <c:pt idx="1">
                  <c:v>4.718E-2</c:v>
                </c:pt>
                <c:pt idx="2">
                  <c:v>8.0879999999999994E-2</c:v>
                </c:pt>
                <c:pt idx="3">
                  <c:v>0.1011</c:v>
                </c:pt>
                <c:pt idx="4">
                  <c:v>0.12805999999999998</c:v>
                </c:pt>
                <c:pt idx="5">
                  <c:v>0.15165000000000001</c:v>
                </c:pt>
                <c:pt idx="6">
                  <c:v>0.17186999999999997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E6-443F-BDF2-473B87C46F53}"/>
            </c:ext>
          </c:extLst>
        </c:ser>
        <c:ser>
          <c:idx val="4"/>
          <c:order val="4"/>
          <c:tx>
            <c:strRef>
              <c:f>'Small New Pumps'!$R$30</c:f>
              <c:strCache>
                <c:ptCount val="1"/>
                <c:pt idx="0">
                  <c:v>0.3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22774098608170165"/>
                  <c:y val="7.492162610830440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New Pumps'!$R$31:$R$37</c:f>
              <c:numCache>
                <c:formatCode>0.0000</c:formatCode>
                <c:ptCount val="7"/>
                <c:pt idx="0">
                  <c:v>3.3333333333333338E-4</c:v>
                </c:pt>
                <c:pt idx="1">
                  <c:v>6.6666666666666675E-4</c:v>
                </c:pt>
                <c:pt idx="2">
                  <c:v>1.6666666666666668E-3</c:v>
                </c:pt>
                <c:pt idx="3">
                  <c:v>3.3333333333333335E-3</c:v>
                </c:pt>
                <c:pt idx="4">
                  <c:v>6.6666666666666671E-3</c:v>
                </c:pt>
                <c:pt idx="5">
                  <c:v>1.6666666666666666E-2</c:v>
                </c:pt>
                <c:pt idx="6">
                  <c:v>3.3333333333333333E-2</c:v>
                </c:pt>
              </c:numCache>
            </c:numRef>
          </c:xVal>
          <c:yVal>
            <c:numRef>
              <c:f>'Small New Pumps'!$H$31:$H$37</c:f>
              <c:numCache>
                <c:formatCode>0.00</c:formatCode>
                <c:ptCount val="7"/>
                <c:pt idx="0">
                  <c:v>2.6960000000000001E-2</c:v>
                </c:pt>
                <c:pt idx="1">
                  <c:v>5.8975E-2</c:v>
                </c:pt>
                <c:pt idx="2">
                  <c:v>9.7729999999999997E-2</c:v>
                </c:pt>
                <c:pt idx="3">
                  <c:v>0.12805999999999998</c:v>
                </c:pt>
                <c:pt idx="4">
                  <c:v>0.16344500000000001</c:v>
                </c:pt>
                <c:pt idx="5">
                  <c:v>0.19545999999999999</c:v>
                </c:pt>
                <c:pt idx="6">
                  <c:v>0.22242000000000001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E6-443F-BDF2-473B87C46F53}"/>
            </c:ext>
          </c:extLst>
        </c:ser>
        <c:ser>
          <c:idx val="5"/>
          <c:order val="5"/>
          <c:tx>
            <c:strRef>
              <c:f>'Small New Pumps'!$S$30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9364905466759841"/>
                  <c:y val="6.569586783986573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6"/>
                        </a:solidFill>
                      </a:rPr>
                      <a:t>y = 0.0706ln(x) + 0.5709</a:t>
                    </a:r>
                    <a:endParaRPr lang="en-US">
                      <a:solidFill>
                        <a:schemeClr val="accent6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New Pumps'!$S$31:$S$37</c:f>
              <c:numCache>
                <c:formatCode>0.0000</c:formatCode>
                <c:ptCount val="7"/>
                <c:pt idx="0">
                  <c:v>5.0000000000000001E-4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2.4999999999999998E-2</c:v>
                </c:pt>
                <c:pt idx="6">
                  <c:v>4.9999999999999996E-2</c:v>
                </c:pt>
              </c:numCache>
            </c:numRef>
          </c:xVal>
          <c:yVal>
            <c:numRef>
              <c:f>'Small New Pumps'!$I$31:$I$37</c:f>
              <c:numCache>
                <c:formatCode>0.00</c:formatCode>
                <c:ptCount val="7"/>
                <c:pt idx="0">
                  <c:v>3.7070000000000006E-2</c:v>
                </c:pt>
                <c:pt idx="1">
                  <c:v>8.4250000000000005E-2</c:v>
                </c:pt>
                <c:pt idx="2">
                  <c:v>0.14322499999999999</c:v>
                </c:pt>
                <c:pt idx="3">
                  <c:v>0.19040500000000002</c:v>
                </c:pt>
                <c:pt idx="4">
                  <c:v>0.25275000000000003</c:v>
                </c:pt>
                <c:pt idx="5">
                  <c:v>0.31341000000000002</c:v>
                </c:pt>
                <c:pt idx="6">
                  <c:v>0.35722000000000004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E6-443F-BDF2-473B87C46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836096"/>
        <c:axId val="1130836512"/>
      </c:scatterChart>
      <c:valAx>
        <c:axId val="1130836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dpart / dimp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836512"/>
        <c:crosses val="autoZero"/>
        <c:crossBetween val="midCat"/>
      </c:valAx>
      <c:valAx>
        <c:axId val="11308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83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Coefficients</a:t>
            </a:r>
            <a:r>
              <a:rPr lang="en-US" baseline="0"/>
              <a:t> of Hr15 = m*ln(dpart/dimp) + b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'Small New Pumps'!$W$40</c:f>
              <c:strCache>
                <c:ptCount val="1"/>
                <c:pt idx="0">
                  <c:v>const 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0374591241603431"/>
                  <c:y val="-0.361293069928154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29.208x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4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- 60.092x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+ 45.938x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- 16.018x + 2.4591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New Pumps'!$V$41:$V$46</c:f>
              <c:numCache>
                <c:formatCode>General</c:formatCode>
                <c:ptCount val="6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</c:numCache>
            </c:numRef>
          </c:xVal>
          <c:yVal>
            <c:numRef>
              <c:f>'Small New Pumps'!$W$41:$W$46</c:f>
              <c:numCache>
                <c:formatCode>General</c:formatCode>
                <c:ptCount val="6"/>
                <c:pt idx="0">
                  <c:v>0.18090000000000001</c:v>
                </c:pt>
                <c:pt idx="1">
                  <c:v>0.20830000000000001</c:v>
                </c:pt>
                <c:pt idx="2">
                  <c:v>0.25190000000000001</c:v>
                </c:pt>
                <c:pt idx="3">
                  <c:v>0.29920000000000002</c:v>
                </c:pt>
                <c:pt idx="4">
                  <c:v>0.37119999999999997</c:v>
                </c:pt>
                <c:pt idx="5">
                  <c:v>0.57089999999999996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5-42CD-83EC-74A59E4ACE39}"/>
            </c:ext>
          </c:extLst>
        </c:ser>
        <c:ser>
          <c:idx val="1"/>
          <c:order val="1"/>
          <c:tx>
            <c:strRef>
              <c:f>'Small New Pumps'!$X$40</c:f>
              <c:strCache>
                <c:ptCount val="1"/>
                <c:pt idx="0">
                  <c:v>coeff 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1157175896094267E-2"/>
                  <c:y val="-5.51922516105656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New Pumps'!$V$41:$V$46</c:f>
              <c:numCache>
                <c:formatCode>General</c:formatCode>
                <c:ptCount val="6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</c:numCache>
            </c:numRef>
          </c:xVal>
          <c:yVal>
            <c:numRef>
              <c:f>'Small New Pumps'!$X$41:$X$46</c:f>
              <c:numCache>
                <c:formatCode>General</c:formatCode>
                <c:ptCount val="6"/>
                <c:pt idx="0">
                  <c:v>1.8800000000000001E-2</c:v>
                </c:pt>
                <c:pt idx="1">
                  <c:v>2.1999999999999999E-2</c:v>
                </c:pt>
                <c:pt idx="2">
                  <c:v>2.7199999999999998E-2</c:v>
                </c:pt>
                <c:pt idx="3">
                  <c:v>3.3300000000000003E-2</c:v>
                </c:pt>
                <c:pt idx="4">
                  <c:v>4.2700000000000002E-2</c:v>
                </c:pt>
                <c:pt idx="5">
                  <c:v>7.0599999999999996E-2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E5-42CD-83EC-74A59E4AC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998496"/>
        <c:axId val="1453985184"/>
      </c:scatterChart>
      <c:valAx>
        <c:axId val="145399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dimp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985184"/>
        <c:crosses val="autoZero"/>
        <c:crossBetween val="midCat"/>
      </c:valAx>
      <c:valAx>
        <c:axId val="14539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/ 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99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Corrected Hr</a:t>
            </a:r>
            <a:r>
              <a:rPr lang="en-US" baseline="0"/>
              <a:t> vs Xh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58060520559930007"/>
                  <c:y val="-1.48089957432815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New Pumps'!$B$79:$G$79</c:f>
              <c:numCache>
                <c:formatCode>General</c:formatCode>
                <c:ptCount val="6"/>
                <c:pt idx="0">
                  <c:v>0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</c:numCache>
            </c:numRef>
          </c:xVal>
          <c:yVal>
            <c:numRef>
              <c:f>'Small New Pumps'!$B$80:$G$80</c:f>
              <c:numCache>
                <c:formatCode>General</c:formatCode>
                <c:ptCount val="6"/>
                <c:pt idx="0">
                  <c:v>0.1</c:v>
                </c:pt>
                <c:pt idx="1">
                  <c:v>7.4999999999999997E-2</c:v>
                </c:pt>
                <c:pt idx="2">
                  <c:v>5.5E-2</c:v>
                </c:pt>
                <c:pt idx="3">
                  <c:v>0.04</c:v>
                </c:pt>
                <c:pt idx="4">
                  <c:v>0.03</c:v>
                </c:pt>
                <c:pt idx="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8-4ED1-9513-7E5FD661250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New Pumps'!$B$79:$G$79</c:f>
              <c:numCache>
                <c:formatCode>General</c:formatCode>
                <c:ptCount val="6"/>
                <c:pt idx="0">
                  <c:v>0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</c:numCache>
            </c:numRef>
          </c:xVal>
          <c:yVal>
            <c:numRef>
              <c:f>'Small New Pumps'!$B$81:$G$81</c:f>
              <c:numCache>
                <c:formatCode>General</c:formatCode>
                <c:ptCount val="6"/>
                <c:pt idx="0">
                  <c:v>0.15</c:v>
                </c:pt>
                <c:pt idx="1">
                  <c:v>0.11</c:v>
                </c:pt>
                <c:pt idx="2">
                  <c:v>8.5000000000000006E-2</c:v>
                </c:pt>
                <c:pt idx="3">
                  <c:v>0.06</c:v>
                </c:pt>
                <c:pt idx="4">
                  <c:v>4.4999999999999998E-2</c:v>
                </c:pt>
                <c:pt idx="5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8-4ED1-9513-7E5FD661250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'Small New Pumps'!$B$79:$G$79</c:f>
              <c:numCache>
                <c:formatCode>General</c:formatCode>
                <c:ptCount val="6"/>
                <c:pt idx="0">
                  <c:v>0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</c:numCache>
            </c:numRef>
          </c:xVal>
          <c:yVal>
            <c:numRef>
              <c:f>'Small New Pumps'!$B$82:$G$82</c:f>
              <c:numCache>
                <c:formatCode>General</c:formatCode>
                <c:ptCount val="6"/>
                <c:pt idx="0">
                  <c:v>0.2</c:v>
                </c:pt>
                <c:pt idx="1">
                  <c:v>0.15</c:v>
                </c:pt>
                <c:pt idx="2">
                  <c:v>0.11</c:v>
                </c:pt>
                <c:pt idx="3">
                  <c:v>0.08</c:v>
                </c:pt>
                <c:pt idx="4">
                  <c:v>0.06</c:v>
                </c:pt>
                <c:pt idx="5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C8-4ED1-9513-7E5FD6612507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'Small New Pumps'!$B$79:$G$79</c:f>
              <c:numCache>
                <c:formatCode>General</c:formatCode>
                <c:ptCount val="6"/>
                <c:pt idx="0">
                  <c:v>0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</c:numCache>
            </c:numRef>
          </c:xVal>
          <c:yVal>
            <c:numRef>
              <c:f>'Small New Pumps'!$B$83:$G$83</c:f>
              <c:numCache>
                <c:formatCode>General</c:formatCode>
                <c:ptCount val="6"/>
                <c:pt idx="0">
                  <c:v>0.25</c:v>
                </c:pt>
                <c:pt idx="1">
                  <c:v>0.185</c:v>
                </c:pt>
                <c:pt idx="2">
                  <c:v>0.13500000000000001</c:v>
                </c:pt>
                <c:pt idx="3">
                  <c:v>0.1</c:v>
                </c:pt>
                <c:pt idx="4">
                  <c:v>6.5000000000000002E-2</c:v>
                </c:pt>
                <c:pt idx="5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C8-4ED1-9513-7E5FD6612507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0827187226596675"/>
                  <c:y val="-0.23658658676946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New Pumps'!$B$79:$G$79</c:f>
              <c:numCache>
                <c:formatCode>General</c:formatCode>
                <c:ptCount val="6"/>
                <c:pt idx="0">
                  <c:v>0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</c:numCache>
            </c:numRef>
          </c:xVal>
          <c:yVal>
            <c:numRef>
              <c:f>'Small New Pumps'!$B$84:$G$84</c:f>
              <c:numCache>
                <c:formatCode>General</c:formatCode>
                <c:ptCount val="6"/>
                <c:pt idx="0">
                  <c:v>0.3</c:v>
                </c:pt>
                <c:pt idx="1">
                  <c:v>0.22</c:v>
                </c:pt>
                <c:pt idx="2">
                  <c:v>0.16</c:v>
                </c:pt>
                <c:pt idx="3">
                  <c:v>0.12</c:v>
                </c:pt>
                <c:pt idx="4">
                  <c:v>8.5000000000000006E-2</c:v>
                </c:pt>
                <c:pt idx="5">
                  <c:v>6.5000000000000002E-2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C8-4ED1-9513-7E5FD6612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383824"/>
        <c:axId val="1463394640"/>
      </c:scatterChart>
      <c:valAx>
        <c:axId val="14633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94640"/>
        <c:crosses val="autoZero"/>
        <c:crossBetween val="midCat"/>
      </c:valAx>
      <c:valAx>
        <c:axId val="14633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8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Hr</a:t>
            </a:r>
            <a:r>
              <a:rPr lang="en-US" baseline="0"/>
              <a:t> correction coefficient vs Xh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New Pumps'!$C$79:$G$79</c:f>
              <c:numCache>
                <c:formatCode>General</c:formatCode>
                <c:ptCount val="5"/>
                <c:pt idx="0">
                  <c:v>0.15</c:v>
                </c:pt>
                <c:pt idx="1">
                  <c:v>0.25</c:v>
                </c:pt>
                <c:pt idx="2">
                  <c:v>0.35</c:v>
                </c:pt>
                <c:pt idx="3">
                  <c:v>0.45</c:v>
                </c:pt>
                <c:pt idx="4">
                  <c:v>0.55000000000000004</c:v>
                </c:pt>
              </c:numCache>
            </c:numRef>
          </c:xVal>
          <c:yVal>
            <c:numRef>
              <c:f>'Small New Pumps'!$I$85:$M$85</c:f>
              <c:numCache>
                <c:formatCode>General</c:formatCode>
                <c:ptCount val="5"/>
                <c:pt idx="0">
                  <c:v>0.11119999999999999</c:v>
                </c:pt>
                <c:pt idx="1">
                  <c:v>0.13699999999999998</c:v>
                </c:pt>
                <c:pt idx="2">
                  <c:v>0.13999999999999999</c:v>
                </c:pt>
                <c:pt idx="3">
                  <c:v>0.12990000000000002</c:v>
                </c:pt>
                <c:pt idx="4">
                  <c:v>0.11183333333333334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C-4BF2-B481-CFAA851EE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382160"/>
        <c:axId val="1463390480"/>
      </c:scatterChart>
      <c:valAx>
        <c:axId val="146338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90480"/>
        <c:crosses val="autoZero"/>
        <c:crossBetween val="midCat"/>
      </c:valAx>
      <c:valAx>
        <c:axId val="14633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8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37</xdr:row>
      <xdr:rowOff>115886</xdr:rowOff>
    </xdr:from>
    <xdr:to>
      <xdr:col>9</xdr:col>
      <xdr:colOff>485775</xdr:colOff>
      <xdr:row>57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7ABB7-6E31-4A8C-9875-52947EAA8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93661</xdr:colOff>
      <xdr:row>37</xdr:row>
      <xdr:rowOff>131762</xdr:rowOff>
    </xdr:from>
    <xdr:to>
      <xdr:col>20</xdr:col>
      <xdr:colOff>295274</xdr:colOff>
      <xdr:row>57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C37D0-9073-4918-B23B-FC229D881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350837</xdr:colOff>
      <xdr:row>85</xdr:row>
      <xdr:rowOff>179387</xdr:rowOff>
    </xdr:from>
    <xdr:to>
      <xdr:col>8</xdr:col>
      <xdr:colOff>46037</xdr:colOff>
      <xdr:row>101</xdr:row>
      <xdr:rowOff>20637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8BA293-636B-47D7-ACCB-9B74F98E0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601662</xdr:colOff>
      <xdr:row>85</xdr:row>
      <xdr:rowOff>103187</xdr:rowOff>
    </xdr:from>
    <xdr:to>
      <xdr:col>16</xdr:col>
      <xdr:colOff>296862</xdr:colOff>
      <xdr:row>100</xdr:row>
      <xdr:rowOff>125412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97AB50-F078-4E86-AA11-A34294250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C606-17D1-47F3-8CA6-8FEC012E915A}">
  <dimension ref="A1:X85"/>
  <sheetViews>
    <sheetView tabSelected="1" workbookViewId="0">
      <selection activeCell="I2" sqref="I2"/>
    </sheetView>
  </sheetViews>
  <sheetFormatPr defaultRowHeight="14.5" x14ac:dyDescent="0.35"/>
  <sheetData>
    <row r="1" spans="3:10" x14ac:dyDescent="0.35">
      <c r="D1" s="4" t="s">
        <v>15</v>
      </c>
      <c r="E1">
        <v>0.3</v>
      </c>
      <c r="F1" t="s">
        <v>19</v>
      </c>
      <c r="G1">
        <f>E1*1000/25.4</f>
        <v>11.811023622047244</v>
      </c>
      <c r="H1" t="s">
        <v>20</v>
      </c>
      <c r="I1" t="s">
        <v>42</v>
      </c>
    </row>
    <row r="2" spans="3:10" x14ac:dyDescent="0.35">
      <c r="D2" s="4" t="s">
        <v>16</v>
      </c>
      <c r="E2">
        <v>1</v>
      </c>
      <c r="F2" t="s">
        <v>21</v>
      </c>
      <c r="G2">
        <f>E2*1000</f>
        <v>1000</v>
      </c>
      <c r="H2" t="s">
        <v>22</v>
      </c>
      <c r="I2">
        <f>E2/1000</f>
        <v>1E-3</v>
      </c>
      <c r="J2" t="s">
        <v>23</v>
      </c>
    </row>
    <row r="3" spans="3:10" x14ac:dyDescent="0.35">
      <c r="D3" s="4" t="s">
        <v>17</v>
      </c>
      <c r="E3">
        <v>0.2</v>
      </c>
    </row>
    <row r="4" spans="3:10" x14ac:dyDescent="0.35">
      <c r="D4" s="4" t="s">
        <v>25</v>
      </c>
      <c r="E4">
        <v>2.65</v>
      </c>
      <c r="F4" t="s">
        <v>24</v>
      </c>
    </row>
    <row r="5" spans="3:10" x14ac:dyDescent="0.35">
      <c r="D5" s="4" t="s">
        <v>18</v>
      </c>
      <c r="E5">
        <v>0.1</v>
      </c>
    </row>
    <row r="7" spans="3:10" x14ac:dyDescent="0.35">
      <c r="D7" s="4" t="s">
        <v>27</v>
      </c>
      <c r="E7">
        <f>I2/E1</f>
        <v>3.3333333333333335E-3</v>
      </c>
    </row>
    <row r="8" spans="3:10" x14ac:dyDescent="0.35">
      <c r="D8" s="4" t="s">
        <v>26</v>
      </c>
      <c r="E8">
        <f>29.208*E1^4 - 60.092*E1^3 + 45.938*E1^2 - 16.018*E1^1 + 2.4591</f>
        <v>0.40222080000000071</v>
      </c>
      <c r="G8" t="s">
        <v>37</v>
      </c>
    </row>
    <row r="9" spans="3:10" x14ac:dyDescent="0.35">
      <c r="D9" s="4" t="s">
        <v>23</v>
      </c>
      <c r="E9">
        <f>0.2505*E1^2 - 0.319*E1 + 0.1213</f>
        <v>4.8145000000000007E-2</v>
      </c>
    </row>
    <row r="11" spans="3:10" x14ac:dyDescent="0.35">
      <c r="C11" s="4" t="s">
        <v>32</v>
      </c>
      <c r="D11" s="4" t="s">
        <v>31</v>
      </c>
      <c r="E11">
        <f>E9*LN(E7)+E8</f>
        <v>0.12761219275767788</v>
      </c>
      <c r="G11" t="s">
        <v>38</v>
      </c>
    </row>
    <row r="12" spans="3:10" x14ac:dyDescent="0.35">
      <c r="C12" s="4" t="s">
        <v>33</v>
      </c>
      <c r="D12" s="4" t="s">
        <v>34</v>
      </c>
      <c r="E12">
        <f>E11*E3/0.15</f>
        <v>0.17014959034357052</v>
      </c>
      <c r="G12" t="s">
        <v>40</v>
      </c>
    </row>
    <row r="13" spans="3:10" x14ac:dyDescent="0.35">
      <c r="C13" s="4" t="s">
        <v>35</v>
      </c>
      <c r="D13" s="4" t="s">
        <v>30</v>
      </c>
      <c r="E13">
        <f>E12*E4/2.65</f>
        <v>0.17014959034357052</v>
      </c>
      <c r="G13" t="s">
        <v>39</v>
      </c>
    </row>
    <row r="14" spans="3:10" x14ac:dyDescent="0.35">
      <c r="C14" s="4" t="s">
        <v>36</v>
      </c>
      <c r="D14" s="4" t="s">
        <v>1</v>
      </c>
      <c r="E14">
        <f>E13*0.125/E5</f>
        <v>0.21268698792946314</v>
      </c>
      <c r="G14" t="s">
        <v>41</v>
      </c>
    </row>
    <row r="19" spans="1:19" x14ac:dyDescent="0.35">
      <c r="A19" t="s">
        <v>0</v>
      </c>
      <c r="D19" t="s">
        <v>6</v>
      </c>
    </row>
    <row r="20" spans="1:19" x14ac:dyDescent="0.35">
      <c r="A20" t="s">
        <v>3</v>
      </c>
      <c r="B20" t="s">
        <v>4</v>
      </c>
      <c r="C20" t="s">
        <v>5</v>
      </c>
      <c r="D20">
        <v>0.7</v>
      </c>
      <c r="E20">
        <v>0.6</v>
      </c>
      <c r="F20">
        <v>0.5</v>
      </c>
      <c r="G20">
        <v>0.4</v>
      </c>
      <c r="H20">
        <v>0.3</v>
      </c>
      <c r="I20">
        <v>0.2</v>
      </c>
    </row>
    <row r="21" spans="1:19" x14ac:dyDescent="0.35">
      <c r="A21">
        <v>100</v>
      </c>
      <c r="B21">
        <f>A21/1000</f>
        <v>0.1</v>
      </c>
      <c r="C21">
        <f>B21/1000</f>
        <v>1E-4</v>
      </c>
      <c r="D21">
        <v>0.35</v>
      </c>
      <c r="E21">
        <v>0.4</v>
      </c>
      <c r="F21">
        <v>0.45</v>
      </c>
      <c r="G21">
        <v>0.5</v>
      </c>
      <c r="H21">
        <v>0.8</v>
      </c>
      <c r="I21">
        <v>1.1000000000000001</v>
      </c>
    </row>
    <row r="22" spans="1:19" x14ac:dyDescent="0.35">
      <c r="A22">
        <v>200</v>
      </c>
      <c r="B22">
        <f t="shared" ref="B22:C27" si="0">A22/1000</f>
        <v>0.2</v>
      </c>
      <c r="C22">
        <f t="shared" si="0"/>
        <v>2.0000000000000001E-4</v>
      </c>
      <c r="D22">
        <v>0.8</v>
      </c>
      <c r="E22">
        <v>0.95</v>
      </c>
      <c r="F22">
        <v>1.2</v>
      </c>
      <c r="G22">
        <v>1.4</v>
      </c>
      <c r="H22">
        <v>1.75</v>
      </c>
      <c r="I22">
        <v>2.5</v>
      </c>
    </row>
    <row r="23" spans="1:19" x14ac:dyDescent="0.35">
      <c r="A23">
        <v>500</v>
      </c>
      <c r="B23">
        <f t="shared" si="0"/>
        <v>0.5</v>
      </c>
      <c r="C23">
        <f t="shared" si="0"/>
        <v>5.0000000000000001E-4</v>
      </c>
      <c r="D23">
        <v>1.35</v>
      </c>
      <c r="E23">
        <v>1.6</v>
      </c>
      <c r="F23">
        <v>2</v>
      </c>
      <c r="G23">
        <v>2.4</v>
      </c>
      <c r="H23">
        <v>2.9</v>
      </c>
      <c r="I23">
        <v>4.25</v>
      </c>
    </row>
    <row r="24" spans="1:19" x14ac:dyDescent="0.35">
      <c r="A24">
        <v>1000</v>
      </c>
      <c r="B24">
        <f t="shared" si="0"/>
        <v>1</v>
      </c>
      <c r="C24">
        <f t="shared" si="0"/>
        <v>1E-3</v>
      </c>
      <c r="D24">
        <v>1.75</v>
      </c>
      <c r="E24">
        <v>2.0499999999999998</v>
      </c>
      <c r="F24">
        <v>2.5</v>
      </c>
      <c r="G24">
        <v>3</v>
      </c>
      <c r="H24">
        <v>3.8</v>
      </c>
      <c r="I24">
        <v>5.65</v>
      </c>
    </row>
    <row r="25" spans="1:19" x14ac:dyDescent="0.35">
      <c r="A25">
        <v>2000</v>
      </c>
      <c r="B25">
        <f t="shared" si="0"/>
        <v>2</v>
      </c>
      <c r="C25">
        <f t="shared" si="0"/>
        <v>2E-3</v>
      </c>
      <c r="D25" s="1">
        <v>2.2000000000000002</v>
      </c>
      <c r="E25" s="1">
        <v>2.5499999999999998</v>
      </c>
      <c r="F25" s="1">
        <v>3.15</v>
      </c>
      <c r="G25" s="1">
        <v>3.8</v>
      </c>
      <c r="H25" s="1">
        <v>4.8499999999999996</v>
      </c>
      <c r="I25" s="1">
        <v>7.5</v>
      </c>
    </row>
    <row r="26" spans="1:19" x14ac:dyDescent="0.35">
      <c r="A26">
        <v>5000</v>
      </c>
      <c r="B26">
        <f t="shared" si="0"/>
        <v>5</v>
      </c>
      <c r="C26">
        <f t="shared" si="0"/>
        <v>5.0000000000000001E-3</v>
      </c>
      <c r="D26">
        <v>2.6</v>
      </c>
      <c r="E26">
        <v>3.05</v>
      </c>
      <c r="F26">
        <v>3.8</v>
      </c>
      <c r="G26">
        <v>4.5</v>
      </c>
      <c r="H26">
        <v>5.8</v>
      </c>
      <c r="I26">
        <v>9.3000000000000007</v>
      </c>
    </row>
    <row r="27" spans="1:19" x14ac:dyDescent="0.35">
      <c r="A27">
        <v>10000</v>
      </c>
      <c r="B27">
        <f t="shared" si="0"/>
        <v>10</v>
      </c>
      <c r="C27">
        <f t="shared" si="0"/>
        <v>0.01</v>
      </c>
      <c r="D27">
        <v>2.9</v>
      </c>
      <c r="E27">
        <v>3.4</v>
      </c>
      <c r="F27">
        <v>4.1500000000000004</v>
      </c>
      <c r="G27">
        <v>5.0999999999999996</v>
      </c>
      <c r="H27">
        <v>6.6</v>
      </c>
      <c r="I27">
        <v>10.6</v>
      </c>
    </row>
    <row r="29" spans="1:19" x14ac:dyDescent="0.35">
      <c r="A29" t="s">
        <v>0</v>
      </c>
      <c r="D29" t="s">
        <v>2</v>
      </c>
      <c r="K29" t="s">
        <v>0</v>
      </c>
      <c r="N29" t="s">
        <v>7</v>
      </c>
    </row>
    <row r="30" spans="1:19" x14ac:dyDescent="0.35">
      <c r="A30" t="s">
        <v>3</v>
      </c>
      <c r="B30" t="s">
        <v>4</v>
      </c>
      <c r="C30" t="s">
        <v>5</v>
      </c>
      <c r="D30">
        <v>0.7</v>
      </c>
      <c r="E30">
        <v>0.6</v>
      </c>
      <c r="F30">
        <v>0.5</v>
      </c>
      <c r="G30">
        <v>0.4</v>
      </c>
      <c r="H30">
        <v>0.3</v>
      </c>
      <c r="I30">
        <v>0.2</v>
      </c>
      <c r="K30" t="s">
        <v>3</v>
      </c>
      <c r="L30" t="s">
        <v>4</v>
      </c>
      <c r="M30" t="s">
        <v>5</v>
      </c>
      <c r="N30">
        <f>D30</f>
        <v>0.7</v>
      </c>
      <c r="O30">
        <f t="shared" ref="O30:S30" si="1">E30</f>
        <v>0.6</v>
      </c>
      <c r="P30">
        <f t="shared" si="1"/>
        <v>0.5</v>
      </c>
      <c r="Q30">
        <f t="shared" si="1"/>
        <v>0.4</v>
      </c>
      <c r="R30">
        <f t="shared" si="1"/>
        <v>0.3</v>
      </c>
      <c r="S30">
        <f t="shared" si="1"/>
        <v>0.2</v>
      </c>
    </row>
    <row r="31" spans="1:19" x14ac:dyDescent="0.35">
      <c r="A31">
        <v>100</v>
      </c>
      <c r="B31">
        <f>A31/1000</f>
        <v>0.1</v>
      </c>
      <c r="C31">
        <f>B31/1000</f>
        <v>1E-4</v>
      </c>
      <c r="D31" s="1">
        <f>D21*3.37/100</f>
        <v>1.1795E-2</v>
      </c>
      <c r="E31" s="1">
        <f t="shared" ref="E31:I31" si="2">E21*3.37/100</f>
        <v>1.3480000000000001E-2</v>
      </c>
      <c r="F31" s="1">
        <f t="shared" si="2"/>
        <v>1.5165000000000001E-2</v>
      </c>
      <c r="G31" s="1">
        <f t="shared" si="2"/>
        <v>1.685E-2</v>
      </c>
      <c r="H31" s="1">
        <f t="shared" si="2"/>
        <v>2.6960000000000001E-2</v>
      </c>
      <c r="I31" s="1">
        <f t="shared" si="2"/>
        <v>3.7070000000000006E-2</v>
      </c>
      <c r="K31">
        <v>100</v>
      </c>
      <c r="L31">
        <f>K31/1000</f>
        <v>0.1</v>
      </c>
      <c r="M31">
        <f>L31/1000</f>
        <v>1E-4</v>
      </c>
      <c r="N31" s="2">
        <f>$M31/N$30</f>
        <v>1.4285714285714287E-4</v>
      </c>
      <c r="O31" s="2">
        <f t="shared" ref="O31:S37" si="3">$M31/O$30</f>
        <v>1.6666666666666669E-4</v>
      </c>
      <c r="P31" s="2">
        <f t="shared" si="3"/>
        <v>2.0000000000000001E-4</v>
      </c>
      <c r="Q31" s="2">
        <f t="shared" si="3"/>
        <v>2.5000000000000001E-4</v>
      </c>
      <c r="R31" s="2">
        <f t="shared" si="3"/>
        <v>3.3333333333333338E-4</v>
      </c>
      <c r="S31" s="2">
        <f t="shared" si="3"/>
        <v>5.0000000000000001E-4</v>
      </c>
    </row>
    <row r="32" spans="1:19" x14ac:dyDescent="0.35">
      <c r="A32">
        <v>200</v>
      </c>
      <c r="B32">
        <f t="shared" ref="B32:C32" si="4">A32/1000</f>
        <v>0.2</v>
      </c>
      <c r="C32">
        <f t="shared" si="4"/>
        <v>2.0000000000000001E-4</v>
      </c>
      <c r="D32" s="1">
        <f t="shared" ref="D32:I32" si="5">D22*3.37/100</f>
        <v>2.6960000000000001E-2</v>
      </c>
      <c r="E32" s="1">
        <f t="shared" si="5"/>
        <v>3.2014999999999995E-2</v>
      </c>
      <c r="F32" s="1">
        <f t="shared" si="5"/>
        <v>4.0439999999999997E-2</v>
      </c>
      <c r="G32" s="1">
        <f t="shared" si="5"/>
        <v>4.718E-2</v>
      </c>
      <c r="H32" s="1">
        <f t="shared" si="5"/>
        <v>5.8975E-2</v>
      </c>
      <c r="I32" s="1">
        <f t="shared" si="5"/>
        <v>8.4250000000000005E-2</v>
      </c>
      <c r="K32">
        <v>200</v>
      </c>
      <c r="L32">
        <f t="shared" ref="L32:M32" si="6">K32/1000</f>
        <v>0.2</v>
      </c>
      <c r="M32">
        <f t="shared" si="6"/>
        <v>2.0000000000000001E-4</v>
      </c>
      <c r="N32" s="2">
        <f t="shared" ref="N32:S37" si="7">$M32/N$30</f>
        <v>2.8571428571428574E-4</v>
      </c>
      <c r="O32" s="2">
        <f t="shared" si="3"/>
        <v>3.3333333333333338E-4</v>
      </c>
      <c r="P32" s="2">
        <f t="shared" si="3"/>
        <v>4.0000000000000002E-4</v>
      </c>
      <c r="Q32" s="2">
        <f t="shared" si="3"/>
        <v>5.0000000000000001E-4</v>
      </c>
      <c r="R32" s="2">
        <f t="shared" si="3"/>
        <v>6.6666666666666675E-4</v>
      </c>
      <c r="S32" s="2">
        <f t="shared" si="3"/>
        <v>1E-3</v>
      </c>
    </row>
    <row r="33" spans="1:24" x14ac:dyDescent="0.35">
      <c r="A33">
        <v>500</v>
      </c>
      <c r="B33">
        <f t="shared" ref="B33:C33" si="8">A33/1000</f>
        <v>0.5</v>
      </c>
      <c r="C33">
        <f t="shared" si="8"/>
        <v>5.0000000000000001E-4</v>
      </c>
      <c r="D33" s="1">
        <f t="shared" ref="D33:I33" si="9">D23*3.37/100</f>
        <v>4.5495000000000001E-2</v>
      </c>
      <c r="E33" s="1">
        <f t="shared" si="9"/>
        <v>5.3920000000000003E-2</v>
      </c>
      <c r="F33" s="1">
        <f t="shared" si="9"/>
        <v>6.7400000000000002E-2</v>
      </c>
      <c r="G33" s="1">
        <f t="shared" si="9"/>
        <v>8.0879999999999994E-2</v>
      </c>
      <c r="H33" s="1">
        <f t="shared" si="9"/>
        <v>9.7729999999999997E-2</v>
      </c>
      <c r="I33" s="1">
        <f t="shared" si="9"/>
        <v>0.14322499999999999</v>
      </c>
      <c r="K33">
        <v>500</v>
      </c>
      <c r="L33">
        <f t="shared" ref="L33:M33" si="10">K33/1000</f>
        <v>0.5</v>
      </c>
      <c r="M33">
        <f t="shared" si="10"/>
        <v>5.0000000000000001E-4</v>
      </c>
      <c r="N33" s="2">
        <f t="shared" si="7"/>
        <v>7.1428571428571439E-4</v>
      </c>
      <c r="O33" s="2">
        <f t="shared" si="3"/>
        <v>8.3333333333333339E-4</v>
      </c>
      <c r="P33" s="2">
        <f>$M33/P$30</f>
        <v>1E-3</v>
      </c>
      <c r="Q33" s="2">
        <f t="shared" si="3"/>
        <v>1.25E-3</v>
      </c>
      <c r="R33" s="2">
        <f t="shared" si="3"/>
        <v>1.6666666666666668E-3</v>
      </c>
      <c r="S33" s="2">
        <f t="shared" si="3"/>
        <v>2.5000000000000001E-3</v>
      </c>
    </row>
    <row r="34" spans="1:24" x14ac:dyDescent="0.35">
      <c r="A34">
        <v>1000</v>
      </c>
      <c r="B34">
        <f t="shared" ref="B34:C35" si="11">A34/1000</f>
        <v>1</v>
      </c>
      <c r="C34">
        <f t="shared" si="11"/>
        <v>1E-3</v>
      </c>
      <c r="D34" s="1">
        <f t="shared" ref="D34:I35" si="12">D24*3.37/100</f>
        <v>5.8975E-2</v>
      </c>
      <c r="E34" s="1">
        <f t="shared" si="12"/>
        <v>6.9084999999999994E-2</v>
      </c>
      <c r="F34" s="1">
        <f t="shared" si="12"/>
        <v>8.4250000000000005E-2</v>
      </c>
      <c r="G34" s="1">
        <f t="shared" si="12"/>
        <v>0.1011</v>
      </c>
      <c r="H34" s="1">
        <f t="shared" si="12"/>
        <v>0.12805999999999998</v>
      </c>
      <c r="I34" s="1">
        <f t="shared" si="12"/>
        <v>0.19040500000000002</v>
      </c>
      <c r="K34">
        <v>1000</v>
      </c>
      <c r="L34">
        <f t="shared" ref="L34:M34" si="13">K34/1000</f>
        <v>1</v>
      </c>
      <c r="M34">
        <f t="shared" si="13"/>
        <v>1E-3</v>
      </c>
      <c r="N34" s="2">
        <f t="shared" si="7"/>
        <v>1.4285714285714288E-3</v>
      </c>
      <c r="O34" s="2">
        <f t="shared" si="3"/>
        <v>1.6666666666666668E-3</v>
      </c>
      <c r="P34" s="2">
        <f t="shared" si="3"/>
        <v>2E-3</v>
      </c>
      <c r="Q34" s="2">
        <f t="shared" si="3"/>
        <v>2.5000000000000001E-3</v>
      </c>
      <c r="R34" s="2">
        <f t="shared" si="3"/>
        <v>3.3333333333333335E-3</v>
      </c>
      <c r="S34" s="2">
        <f t="shared" si="3"/>
        <v>5.0000000000000001E-3</v>
      </c>
    </row>
    <row r="35" spans="1:24" x14ac:dyDescent="0.35">
      <c r="A35">
        <v>2000</v>
      </c>
      <c r="B35">
        <f t="shared" si="11"/>
        <v>2</v>
      </c>
      <c r="C35">
        <f t="shared" si="11"/>
        <v>2E-3</v>
      </c>
      <c r="D35" s="1">
        <f t="shared" si="12"/>
        <v>7.4140000000000011E-2</v>
      </c>
      <c r="E35" s="1">
        <f t="shared" si="12"/>
        <v>8.5934999999999984E-2</v>
      </c>
      <c r="F35" s="1">
        <f t="shared" si="12"/>
        <v>0.10615500000000001</v>
      </c>
      <c r="G35" s="1">
        <f t="shared" si="12"/>
        <v>0.12805999999999998</v>
      </c>
      <c r="H35" s="1">
        <f t="shared" si="12"/>
        <v>0.16344500000000001</v>
      </c>
      <c r="I35" s="1">
        <f t="shared" si="12"/>
        <v>0.25275000000000003</v>
      </c>
      <c r="K35">
        <v>2000</v>
      </c>
      <c r="L35">
        <f t="shared" ref="L35:M35" si="14">K35/1000</f>
        <v>2</v>
      </c>
      <c r="M35">
        <f t="shared" si="14"/>
        <v>2E-3</v>
      </c>
      <c r="N35" s="2">
        <f t="shared" si="7"/>
        <v>2.8571428571428576E-3</v>
      </c>
      <c r="O35" s="2">
        <f t="shared" si="3"/>
        <v>3.3333333333333335E-3</v>
      </c>
      <c r="P35" s="2">
        <f t="shared" si="3"/>
        <v>4.0000000000000001E-3</v>
      </c>
      <c r="Q35" s="2">
        <f t="shared" si="3"/>
        <v>5.0000000000000001E-3</v>
      </c>
      <c r="R35" s="2">
        <f t="shared" si="3"/>
        <v>6.6666666666666671E-3</v>
      </c>
      <c r="S35" s="2">
        <f t="shared" si="3"/>
        <v>0.01</v>
      </c>
    </row>
    <row r="36" spans="1:24" x14ac:dyDescent="0.35">
      <c r="A36">
        <v>5000</v>
      </c>
      <c r="B36">
        <f t="shared" ref="B36:C36" si="15">A36/1000</f>
        <v>5</v>
      </c>
      <c r="C36">
        <f t="shared" si="15"/>
        <v>5.0000000000000001E-3</v>
      </c>
      <c r="D36" s="1">
        <f t="shared" ref="D36:I36" si="16">D26*3.37/100</f>
        <v>8.7620000000000003E-2</v>
      </c>
      <c r="E36" s="1">
        <f t="shared" si="16"/>
        <v>0.10278499999999999</v>
      </c>
      <c r="F36" s="1">
        <f t="shared" si="16"/>
        <v>0.12805999999999998</v>
      </c>
      <c r="G36" s="1">
        <f t="shared" si="16"/>
        <v>0.15165000000000001</v>
      </c>
      <c r="H36" s="1">
        <f t="shared" si="16"/>
        <v>0.19545999999999999</v>
      </c>
      <c r="I36" s="1">
        <f t="shared" si="16"/>
        <v>0.31341000000000002</v>
      </c>
      <c r="K36">
        <v>5000</v>
      </c>
      <c r="L36">
        <f t="shared" ref="L36:M36" si="17">K36/1000</f>
        <v>5</v>
      </c>
      <c r="M36">
        <f t="shared" si="17"/>
        <v>5.0000000000000001E-3</v>
      </c>
      <c r="N36" s="2">
        <f t="shared" si="7"/>
        <v>7.1428571428571435E-3</v>
      </c>
      <c r="O36" s="2">
        <f t="shared" si="3"/>
        <v>8.3333333333333332E-3</v>
      </c>
      <c r="P36" s="2">
        <f t="shared" si="3"/>
        <v>0.01</v>
      </c>
      <c r="Q36" s="2">
        <f t="shared" si="3"/>
        <v>1.2499999999999999E-2</v>
      </c>
      <c r="R36" s="2">
        <f t="shared" si="3"/>
        <v>1.6666666666666666E-2</v>
      </c>
      <c r="S36" s="2">
        <f t="shared" si="3"/>
        <v>2.4999999999999998E-2</v>
      </c>
    </row>
    <row r="37" spans="1:24" x14ac:dyDescent="0.35">
      <c r="A37">
        <v>10000</v>
      </c>
      <c r="B37">
        <f t="shared" ref="B37:C37" si="18">A37/1000</f>
        <v>10</v>
      </c>
      <c r="C37">
        <f t="shared" si="18"/>
        <v>0.01</v>
      </c>
      <c r="D37" s="1">
        <f t="shared" ref="D37:I37" si="19">D27*3.37/100</f>
        <v>9.7729999999999997E-2</v>
      </c>
      <c r="E37" s="1">
        <f t="shared" si="19"/>
        <v>0.11458</v>
      </c>
      <c r="F37" s="1">
        <f t="shared" si="19"/>
        <v>0.13985500000000001</v>
      </c>
      <c r="G37" s="1">
        <f t="shared" si="19"/>
        <v>0.17186999999999997</v>
      </c>
      <c r="H37" s="1">
        <f t="shared" si="19"/>
        <v>0.22242000000000001</v>
      </c>
      <c r="I37" s="1">
        <f t="shared" si="19"/>
        <v>0.35722000000000004</v>
      </c>
      <c r="K37">
        <v>10000</v>
      </c>
      <c r="L37">
        <f t="shared" ref="L37:M37" si="20">K37/1000</f>
        <v>10</v>
      </c>
      <c r="M37">
        <f t="shared" si="20"/>
        <v>0.01</v>
      </c>
      <c r="N37" s="2">
        <f t="shared" si="7"/>
        <v>1.4285714285714287E-2</v>
      </c>
      <c r="O37" s="2">
        <f t="shared" si="3"/>
        <v>1.6666666666666666E-2</v>
      </c>
      <c r="P37" s="2">
        <f t="shared" si="3"/>
        <v>0.02</v>
      </c>
      <c r="Q37" s="2">
        <f t="shared" si="3"/>
        <v>2.4999999999999998E-2</v>
      </c>
      <c r="R37" s="2">
        <f t="shared" si="3"/>
        <v>3.3333333333333333E-2</v>
      </c>
      <c r="S37" s="2">
        <f t="shared" si="3"/>
        <v>4.9999999999999996E-2</v>
      </c>
    </row>
    <row r="40" spans="1:24" x14ac:dyDescent="0.35">
      <c r="V40" t="s">
        <v>8</v>
      </c>
      <c r="W40" t="s">
        <v>28</v>
      </c>
      <c r="X40" t="s">
        <v>29</v>
      </c>
    </row>
    <row r="41" spans="1:24" x14ac:dyDescent="0.35">
      <c r="V41">
        <v>0.7</v>
      </c>
      <c r="W41">
        <v>0.18090000000000001</v>
      </c>
      <c r="X41">
        <v>1.8800000000000001E-2</v>
      </c>
    </row>
    <row r="42" spans="1:24" x14ac:dyDescent="0.35">
      <c r="V42">
        <v>0.6</v>
      </c>
      <c r="W42">
        <v>0.20830000000000001</v>
      </c>
      <c r="X42">
        <v>2.1999999999999999E-2</v>
      </c>
    </row>
    <row r="43" spans="1:24" x14ac:dyDescent="0.35">
      <c r="V43">
        <v>0.5</v>
      </c>
      <c r="W43">
        <v>0.25190000000000001</v>
      </c>
      <c r="X43">
        <v>2.7199999999999998E-2</v>
      </c>
    </row>
    <row r="44" spans="1:24" x14ac:dyDescent="0.35">
      <c r="V44">
        <v>0.4</v>
      </c>
      <c r="W44">
        <v>0.29920000000000002</v>
      </c>
      <c r="X44">
        <v>3.3300000000000003E-2</v>
      </c>
    </row>
    <row r="45" spans="1:24" x14ac:dyDescent="0.35">
      <c r="V45">
        <v>0.3</v>
      </c>
      <c r="W45">
        <v>0.37119999999999997</v>
      </c>
      <c r="X45">
        <v>4.2700000000000002E-2</v>
      </c>
    </row>
    <row r="46" spans="1:24" x14ac:dyDescent="0.35">
      <c r="V46">
        <v>0.2</v>
      </c>
      <c r="W46">
        <v>0.57089999999999996</v>
      </c>
      <c r="X46">
        <v>7.0599999999999996E-2</v>
      </c>
    </row>
    <row r="59" spans="1:5" x14ac:dyDescent="0.35">
      <c r="A59" t="s">
        <v>10</v>
      </c>
    </row>
    <row r="61" spans="1:5" x14ac:dyDescent="0.35">
      <c r="A61" t="s">
        <v>9</v>
      </c>
      <c r="B61">
        <v>0.05</v>
      </c>
      <c r="C61">
        <v>0.1</v>
      </c>
      <c r="D61" s="3">
        <v>0.15</v>
      </c>
      <c r="E61">
        <v>0.2</v>
      </c>
    </row>
    <row r="62" spans="1:5" x14ac:dyDescent="0.35">
      <c r="C62">
        <v>0.03</v>
      </c>
      <c r="D62" s="3">
        <v>0.05</v>
      </c>
      <c r="E62">
        <v>6.0659999999999999E-2</v>
      </c>
    </row>
    <row r="63" spans="1:5" x14ac:dyDescent="0.35">
      <c r="C63">
        <v>6.5000000000000002E-2</v>
      </c>
      <c r="D63" s="3">
        <v>0.1</v>
      </c>
      <c r="E63">
        <v>0.13500000000000001</v>
      </c>
    </row>
    <row r="64" spans="1:5" x14ac:dyDescent="0.35">
      <c r="C64">
        <v>0.1</v>
      </c>
      <c r="D64" s="3">
        <v>0.15</v>
      </c>
      <c r="E64">
        <v>0.2</v>
      </c>
    </row>
    <row r="65" spans="1:14" x14ac:dyDescent="0.35">
      <c r="C65">
        <v>0.13</v>
      </c>
      <c r="D65" s="3">
        <v>0.2</v>
      </c>
      <c r="E65">
        <v>0.26</v>
      </c>
    </row>
    <row r="66" spans="1:14" x14ac:dyDescent="0.35">
      <c r="C66">
        <v>0.16500000000000001</v>
      </c>
      <c r="D66" s="3">
        <v>0.25</v>
      </c>
      <c r="E66">
        <v>0.33</v>
      </c>
    </row>
    <row r="67" spans="1:14" x14ac:dyDescent="0.35">
      <c r="D67" s="3"/>
    </row>
    <row r="69" spans="1:14" x14ac:dyDescent="0.35">
      <c r="A69" t="s">
        <v>14</v>
      </c>
    </row>
    <row r="71" spans="1:14" x14ac:dyDescent="0.35">
      <c r="A71" t="s">
        <v>11</v>
      </c>
      <c r="C71">
        <v>2</v>
      </c>
      <c r="D71" s="3">
        <v>2.65</v>
      </c>
      <c r="E71">
        <v>3</v>
      </c>
    </row>
    <row r="72" spans="1:14" x14ac:dyDescent="0.35">
      <c r="B72">
        <f>D72*($C$71/$D$71)</f>
        <v>3.7735849056603779E-2</v>
      </c>
      <c r="C72">
        <f>+D72-0.00674</f>
        <v>4.326E-2</v>
      </c>
      <c r="D72" s="3">
        <v>0.05</v>
      </c>
      <c r="E72">
        <f>+D72+0.001</f>
        <v>5.1000000000000004E-2</v>
      </c>
      <c r="F72">
        <f>D72*(($E$71-1)/($D$71-1))</f>
        <v>6.0606060606060608E-2</v>
      </c>
    </row>
    <row r="73" spans="1:14" x14ac:dyDescent="0.35">
      <c r="B73">
        <f>D73*($C$71/$D$71)</f>
        <v>7.5471698113207558E-2</v>
      </c>
      <c r="C73">
        <f>+D73-0.02022</f>
        <v>7.9780000000000004E-2</v>
      </c>
      <c r="D73" s="3">
        <v>0.1</v>
      </c>
      <c r="E73">
        <v>0.12130000000000001</v>
      </c>
      <c r="F73">
        <f>D73*(($E$71-1)/($D$71-1))</f>
        <v>0.12121212121212122</v>
      </c>
    </row>
    <row r="74" spans="1:14" x14ac:dyDescent="0.35">
      <c r="B74">
        <f>D74*($C$71/$D$71)</f>
        <v>0.11320754716981132</v>
      </c>
      <c r="C74">
        <f>+D74-0.03033</f>
        <v>0.11967</v>
      </c>
      <c r="D74" s="3">
        <v>0.15</v>
      </c>
      <c r="E74">
        <v>0.1837</v>
      </c>
      <c r="F74">
        <f>D74*(($E$71-1)/($D$71-1))</f>
        <v>0.18181818181818182</v>
      </c>
    </row>
    <row r="75" spans="1:14" x14ac:dyDescent="0.35">
      <c r="B75">
        <f>D75*($C$71/$D$71)</f>
        <v>0.15094339622641512</v>
      </c>
      <c r="C75">
        <v>0.15840000000000001</v>
      </c>
      <c r="D75" s="3">
        <v>0.2</v>
      </c>
      <c r="E75">
        <v>0.25274999999999997</v>
      </c>
      <c r="F75">
        <f>D75*(($E$71-1)/($D$71-1))</f>
        <v>0.24242424242424243</v>
      </c>
    </row>
    <row r="76" spans="1:14" x14ac:dyDescent="0.35">
      <c r="B76">
        <f>D76*($C$71/$D$71)</f>
        <v>0.18867924528301888</v>
      </c>
      <c r="C76">
        <v>0.19550000000000001</v>
      </c>
      <c r="D76" s="3">
        <v>0.25</v>
      </c>
      <c r="E76">
        <v>0.31669999999999998</v>
      </c>
      <c r="F76">
        <f>D76*(($E$71-1)/($D$71-1))</f>
        <v>0.30303030303030304</v>
      </c>
    </row>
    <row r="78" spans="1:14" x14ac:dyDescent="0.35">
      <c r="A78" t="s">
        <v>13</v>
      </c>
    </row>
    <row r="79" spans="1:14" x14ac:dyDescent="0.35">
      <c r="A79" t="s">
        <v>12</v>
      </c>
      <c r="B79">
        <v>0</v>
      </c>
      <c r="C79">
        <v>0.15</v>
      </c>
      <c r="D79">
        <v>0.25</v>
      </c>
      <c r="E79">
        <v>0.35</v>
      </c>
      <c r="F79">
        <v>0.45</v>
      </c>
      <c r="G79">
        <v>0.55000000000000004</v>
      </c>
    </row>
    <row r="80" spans="1:14" x14ac:dyDescent="0.35">
      <c r="B80">
        <v>0.1</v>
      </c>
      <c r="C80">
        <v>7.4999999999999997E-2</v>
      </c>
      <c r="D80">
        <v>5.5E-2</v>
      </c>
      <c r="E80">
        <v>0.04</v>
      </c>
      <c r="F80">
        <v>0.03</v>
      </c>
      <c r="G80">
        <v>0.02</v>
      </c>
      <c r="I80">
        <f>C$79*C80/$B80</f>
        <v>0.11249999999999999</v>
      </c>
      <c r="J80">
        <f>D$79*D80/$B80</f>
        <v>0.13749999999999998</v>
      </c>
      <c r="K80">
        <f>E$79*E80/$B80</f>
        <v>0.13999999999999999</v>
      </c>
      <c r="L80">
        <f>F$79*F80/$B80</f>
        <v>0.13499999999999998</v>
      </c>
      <c r="M80">
        <f>G$79*G80/$B80</f>
        <v>0.11</v>
      </c>
      <c r="N80">
        <f>H$79*H80/$B80</f>
        <v>0</v>
      </c>
    </row>
    <row r="81" spans="2:14" x14ac:dyDescent="0.35">
      <c r="B81">
        <v>0.15</v>
      </c>
      <c r="C81">
        <v>0.11</v>
      </c>
      <c r="D81">
        <v>8.5000000000000006E-2</v>
      </c>
      <c r="E81">
        <v>0.06</v>
      </c>
      <c r="F81">
        <v>4.4999999999999998E-2</v>
      </c>
      <c r="G81">
        <v>0.03</v>
      </c>
      <c r="I81">
        <f>C$79*C81/$B81</f>
        <v>0.11000000000000001</v>
      </c>
      <c r="J81">
        <f>D$79*D81/$B81</f>
        <v>0.14166666666666669</v>
      </c>
      <c r="K81">
        <f>E$79*E81/$B81</f>
        <v>0.13999999999999999</v>
      </c>
      <c r="L81">
        <f>F$79*F81/$B81</f>
        <v>0.13500000000000001</v>
      </c>
      <c r="M81">
        <f>G$79*G81/$B81</f>
        <v>0.11000000000000001</v>
      </c>
      <c r="N81">
        <f>H$79*H81/$B81</f>
        <v>0</v>
      </c>
    </row>
    <row r="82" spans="2:14" x14ac:dyDescent="0.35">
      <c r="B82">
        <v>0.2</v>
      </c>
      <c r="C82">
        <v>0.15</v>
      </c>
      <c r="D82">
        <v>0.11</v>
      </c>
      <c r="E82">
        <v>0.08</v>
      </c>
      <c r="F82">
        <v>0.06</v>
      </c>
      <c r="G82">
        <v>0.04</v>
      </c>
      <c r="I82">
        <f>C$79*C82/$B82</f>
        <v>0.11249999999999999</v>
      </c>
      <c r="J82">
        <f>D$79*D82/$B82</f>
        <v>0.13749999999999998</v>
      </c>
      <c r="K82">
        <f>E$79*E82/$B82</f>
        <v>0.13999999999999999</v>
      </c>
      <c r="L82">
        <f>F$79*F82/$B82</f>
        <v>0.13499999999999998</v>
      </c>
      <c r="M82">
        <f>G$79*G82/$B82</f>
        <v>0.11</v>
      </c>
      <c r="N82">
        <f>H$79*H82/$B82</f>
        <v>0</v>
      </c>
    </row>
    <row r="83" spans="2:14" x14ac:dyDescent="0.35">
      <c r="B83">
        <v>0.25</v>
      </c>
      <c r="C83">
        <v>0.185</v>
      </c>
      <c r="D83">
        <v>0.13500000000000001</v>
      </c>
      <c r="E83">
        <v>0.1</v>
      </c>
      <c r="F83">
        <v>6.5000000000000002E-2</v>
      </c>
      <c r="G83">
        <v>0.05</v>
      </c>
      <c r="I83">
        <f>C$79*C83/$B83</f>
        <v>0.111</v>
      </c>
      <c r="J83">
        <f>D$79*D83/$B83</f>
        <v>0.13500000000000001</v>
      </c>
      <c r="K83">
        <f>E$79*E83/$B83</f>
        <v>0.13999999999999999</v>
      </c>
      <c r="L83">
        <f>F$79*F83/$B83</f>
        <v>0.11700000000000001</v>
      </c>
      <c r="M83">
        <f>G$79*G83/$B83</f>
        <v>0.11000000000000001</v>
      </c>
      <c r="N83">
        <f>H$79*H83/$B83</f>
        <v>0</v>
      </c>
    </row>
    <row r="84" spans="2:14" x14ac:dyDescent="0.35">
      <c r="B84">
        <v>0.3</v>
      </c>
      <c r="C84">
        <v>0.22</v>
      </c>
      <c r="D84">
        <v>0.16</v>
      </c>
      <c r="E84">
        <v>0.12</v>
      </c>
      <c r="F84">
        <v>8.5000000000000006E-2</v>
      </c>
      <c r="G84">
        <v>6.5000000000000002E-2</v>
      </c>
      <c r="I84">
        <f>C$79*C84/$B84</f>
        <v>0.11000000000000001</v>
      </c>
      <c r="J84">
        <f>D$79*D84/$B84</f>
        <v>0.13333333333333333</v>
      </c>
      <c r="K84">
        <f>E$79*E84/$B84</f>
        <v>0.13999999999999999</v>
      </c>
      <c r="L84">
        <f>F$79*F84/$B84</f>
        <v>0.12750000000000003</v>
      </c>
      <c r="M84">
        <f>G$79*G84/$B84</f>
        <v>0.11916666666666668</v>
      </c>
      <c r="N84">
        <f>H$79*H84/$B84</f>
        <v>0</v>
      </c>
    </row>
    <row r="85" spans="2:14" x14ac:dyDescent="0.35">
      <c r="I85">
        <f>AVERAGE(I80:I84)</f>
        <v>0.11119999999999999</v>
      </c>
      <c r="J85">
        <f t="shared" ref="J85:M85" si="21">AVERAGE(J80:J84)</f>
        <v>0.13699999999999998</v>
      </c>
      <c r="K85">
        <f t="shared" si="21"/>
        <v>0.13999999999999999</v>
      </c>
      <c r="L85">
        <f t="shared" si="21"/>
        <v>0.12990000000000002</v>
      </c>
      <c r="M85">
        <f t="shared" si="21"/>
        <v>0.11183333333333334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 New Pumps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Ramsdell</dc:creator>
  <cp:lastModifiedBy>Robert Ramsdell</cp:lastModifiedBy>
  <dcterms:created xsi:type="dcterms:W3CDTF">2021-12-20T20:58:54Z</dcterms:created>
  <dcterms:modified xsi:type="dcterms:W3CDTF">2021-12-21T16:27:06Z</dcterms:modified>
</cp:coreProperties>
</file>