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A46C6438-09E3-674A-9011-255372CC750F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Info sheet" sheetId="10" r:id="rId1"/>
    <sheet name="system" sheetId="4" r:id="rId2"/>
    <sheet name="parameters" sheetId="5" r:id="rId3"/>
    <sheet name="hist" sheetId="9" r:id="rId4"/>
    <sheet name="tc" sheetId="28" r:id="rId5"/>
    <sheet name="partitioning" sheetId="17" r:id="rId6"/>
    <sheet name="process_list" sheetId="6" r:id="rId7"/>
    <sheet name="Sankey diagram" sheetId="29" r:id="rId8"/>
    <sheet name="partitioning_list" sheetId="25" r:id="rId9"/>
    <sheet name="tc_calculated" sheetId="27" r:id="rId10"/>
    <sheet name="tc_min" sheetId="24" r:id="rId11"/>
    <sheet name="stock release" sheetId="16" r:id="rId12"/>
    <sheet name="flows" sheetId="20" r:id="rId13"/>
    <sheet name="production" sheetId="22" r:id="rId14"/>
    <sheet name="cascade 2020" sheetId="23" r:id="rId15"/>
    <sheet name="baseline scenario" sheetId="11" r:id="rId16"/>
    <sheet name="tc_values_matrix" sheetId="18" r:id="rId17"/>
    <sheet name="flow_names" sheetId="2" r:id="rId18"/>
    <sheet name="tc_list (2)" sheetId="26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6" l="1"/>
  <c r="L6" i="29" l="1"/>
  <c r="L7" i="29"/>
  <c r="L8" i="29"/>
  <c r="L9" i="29"/>
  <c r="L10" i="29"/>
  <c r="L11" i="29"/>
  <c r="L5" i="29"/>
  <c r="L3" i="29"/>
  <c r="L4" i="29"/>
  <c r="L2" i="29"/>
  <c r="K3" i="29"/>
  <c r="K4" i="29"/>
  <c r="K2" i="29"/>
  <c r="H19" i="29"/>
  <c r="H20" i="29"/>
  <c r="H21" i="29"/>
  <c r="I20" i="29"/>
  <c r="I19" i="29"/>
  <c r="G20" i="29"/>
  <c r="G19" i="29"/>
  <c r="F20" i="29"/>
  <c r="F19" i="29"/>
  <c r="D20" i="29"/>
  <c r="D19" i="29"/>
  <c r="C20" i="29"/>
  <c r="C21" i="29"/>
  <c r="C22" i="29"/>
  <c r="C23" i="29"/>
  <c r="C24" i="29"/>
  <c r="C25" i="29"/>
  <c r="C19" i="29"/>
  <c r="C9" i="29"/>
  <c r="K11" i="29" s="1"/>
  <c r="C4" i="29"/>
  <c r="K6" i="29" s="1"/>
  <c r="C5" i="29"/>
  <c r="K7" i="29" s="1"/>
  <c r="C6" i="29"/>
  <c r="K8" i="29" s="1"/>
  <c r="C7" i="29"/>
  <c r="K9" i="29" s="1"/>
  <c r="C8" i="29"/>
  <c r="K10" i="29" s="1"/>
  <c r="C3" i="29"/>
  <c r="K5" i="29" s="1"/>
  <c r="H18" i="16" l="1"/>
  <c r="B19" i="16"/>
  <c r="B20" i="16"/>
  <c r="B21" i="16"/>
  <c r="B22" i="16"/>
  <c r="B23" i="16"/>
  <c r="B24" i="16"/>
  <c r="B25" i="16"/>
  <c r="B26" i="16"/>
  <c r="B27" i="16"/>
  <c r="B28" i="16"/>
  <c r="B18" i="16"/>
  <c r="B17" i="16"/>
  <c r="J1" i="28"/>
  <c r="I1" i="28"/>
  <c r="H1" i="28"/>
  <c r="G1" i="28"/>
  <c r="F1" i="28"/>
  <c r="E1" i="28"/>
  <c r="D1" i="28"/>
  <c r="A2" i="24"/>
  <c r="L3" i="27"/>
  <c r="M3" i="27" s="1"/>
  <c r="L4" i="27"/>
  <c r="M4" i="27" s="1"/>
  <c r="L5" i="27"/>
  <c r="M5" i="27" s="1"/>
  <c r="L6" i="27"/>
  <c r="M6" i="27" s="1"/>
  <c r="L7" i="27"/>
  <c r="M7" i="27" s="1"/>
  <c r="L8" i="27"/>
  <c r="M8" i="27" s="1"/>
  <c r="L9" i="27"/>
  <c r="M9" i="27" s="1"/>
  <c r="L10" i="27"/>
  <c r="M10" i="27" s="1"/>
  <c r="L11" i="27"/>
  <c r="M11" i="27" s="1"/>
  <c r="L12" i="27"/>
  <c r="M12" i="27" s="1"/>
  <c r="L13" i="27"/>
  <c r="M13" i="27" s="1"/>
  <c r="L2" i="27"/>
  <c r="B40" i="16"/>
  <c r="B41" i="16"/>
  <c r="N11" i="27" l="1"/>
  <c r="N8" i="27"/>
  <c r="O8" i="27" s="1"/>
  <c r="N9" i="27"/>
  <c r="O9" i="27" s="1"/>
  <c r="O11" i="27"/>
  <c r="N12" i="27"/>
  <c r="O12" i="27" s="1"/>
  <c r="N10" i="27"/>
  <c r="O10" i="27" s="1"/>
  <c r="N3" i="27"/>
  <c r="O3" i="27" s="1"/>
  <c r="N4" i="27"/>
  <c r="O4" i="27" s="1"/>
  <c r="N5" i="27"/>
  <c r="O5" i="27" s="1"/>
  <c r="N13" i="27"/>
  <c r="O13" i="27" s="1"/>
  <c r="N2" i="27"/>
  <c r="O2" i="27" s="1"/>
  <c r="N7" i="27"/>
  <c r="O7" i="27" s="1"/>
  <c r="N6" i="27"/>
  <c r="O6" i="27" s="1"/>
  <c r="A2" i="27" l="1"/>
  <c r="A2" i="26" l="1"/>
  <c r="B14" i="16"/>
  <c r="C2" i="22"/>
  <c r="D2" i="22"/>
  <c r="E2" i="22"/>
  <c r="F2" i="22"/>
  <c r="G2" i="22"/>
  <c r="H2" i="22"/>
  <c r="I2" i="22"/>
  <c r="J2" i="22"/>
  <c r="K2" i="22"/>
  <c r="L2" i="22"/>
  <c r="C3" i="22"/>
  <c r="D3" i="22"/>
  <c r="E3" i="22"/>
  <c r="F3" i="22"/>
  <c r="G3" i="22"/>
  <c r="H3" i="22"/>
  <c r="I3" i="22"/>
  <c r="J3" i="22"/>
  <c r="K3" i="22"/>
  <c r="L3" i="22"/>
  <c r="C4" i="22"/>
  <c r="D4" i="22"/>
  <c r="E4" i="22"/>
  <c r="F4" i="22"/>
  <c r="G4" i="22"/>
  <c r="H4" i="22"/>
  <c r="I4" i="22"/>
  <c r="J4" i="22"/>
  <c r="K4" i="22"/>
  <c r="L4" i="22"/>
  <c r="C5" i="22"/>
  <c r="D5" i="22"/>
  <c r="E5" i="22"/>
  <c r="F5" i="22"/>
  <c r="G5" i="22"/>
  <c r="H5" i="22"/>
  <c r="I5" i="22"/>
  <c r="J5" i="22"/>
  <c r="K5" i="22"/>
  <c r="L5" i="22"/>
  <c r="C6" i="22"/>
  <c r="D6" i="22"/>
  <c r="E6" i="22"/>
  <c r="F6" i="22"/>
  <c r="G6" i="22"/>
  <c r="H6" i="22"/>
  <c r="I6" i="22"/>
  <c r="J6" i="22"/>
  <c r="K6" i="22"/>
  <c r="L6" i="22"/>
  <c r="C7" i="22"/>
  <c r="D7" i="22"/>
  <c r="E7" i="22"/>
  <c r="F7" i="22"/>
  <c r="G7" i="22"/>
  <c r="H7" i="22"/>
  <c r="I7" i="22"/>
  <c r="J7" i="22"/>
  <c r="K7" i="22"/>
  <c r="L7" i="22"/>
  <c r="C8" i="22"/>
  <c r="D8" i="22"/>
  <c r="E8" i="22"/>
  <c r="F8" i="22"/>
  <c r="G8" i="22"/>
  <c r="H8" i="22"/>
  <c r="I8" i="22"/>
  <c r="J8" i="22"/>
  <c r="K8" i="22"/>
  <c r="L8" i="22"/>
  <c r="B3" i="22"/>
  <c r="B4" i="22"/>
  <c r="B5" i="22"/>
  <c r="B6" i="22"/>
  <c r="B7" i="22"/>
  <c r="B8" i="22"/>
  <c r="B2" i="22"/>
  <c r="A8" i="22"/>
  <c r="A3" i="22"/>
  <c r="A4" i="22"/>
  <c r="A5" i="22"/>
  <c r="A6" i="22"/>
  <c r="A7" i="22"/>
  <c r="A1" i="22"/>
  <c r="A2" i="22"/>
  <c r="B3" i="20"/>
  <c r="D2" i="23" s="1"/>
  <c r="N9" i="20"/>
  <c r="N8" i="20"/>
  <c r="N7" i="20"/>
  <c r="N6" i="20"/>
  <c r="N5" i="20"/>
  <c r="N4" i="20"/>
  <c r="N3" i="20"/>
  <c r="N2" i="20"/>
  <c r="E2" i="20"/>
  <c r="F2" i="20"/>
  <c r="G2" i="20"/>
  <c r="H2" i="20"/>
  <c r="I2" i="20"/>
  <c r="J2" i="20"/>
  <c r="K2" i="20"/>
  <c r="D2" i="20"/>
  <c r="B2" i="23" l="1"/>
  <c r="C2" i="23"/>
  <c r="C9" i="22"/>
  <c r="J3" i="27"/>
  <c r="H2" i="23"/>
  <c r="G2" i="23"/>
  <c r="F2" i="23"/>
  <c r="E2" i="23"/>
  <c r="I2" i="23" l="1"/>
  <c r="J2" i="27"/>
  <c r="J6" i="27"/>
  <c r="J4" i="27"/>
  <c r="J5" i="27"/>
  <c r="J7" i="27" l="1"/>
  <c r="J8" i="27"/>
  <c r="J12" i="27" l="1"/>
  <c r="J11" i="27"/>
  <c r="J10" i="27"/>
  <c r="J25" i="27" s="1"/>
  <c r="J9" i="27"/>
  <c r="J14" i="27" l="1"/>
  <c r="J13" i="27"/>
  <c r="J19" i="27"/>
  <c r="B4" i="20"/>
  <c r="B5" i="20"/>
  <c r="B6" i="20"/>
  <c r="B7" i="20"/>
  <c r="B8" i="20"/>
  <c r="B9" i="20"/>
  <c r="C3" i="20"/>
  <c r="D3" i="20" s="1"/>
  <c r="A4" i="20"/>
  <c r="A5" i="20"/>
  <c r="A6" i="20"/>
  <c r="A7" i="20"/>
  <c r="A8" i="20"/>
  <c r="A9" i="20"/>
  <c r="A3" i="20"/>
  <c r="A1" i="9"/>
  <c r="A1" i="18"/>
  <c r="A1" i="17"/>
  <c r="A1" i="23" s="1"/>
  <c r="A56" i="2"/>
  <c r="A57" i="2" s="1"/>
  <c r="A58" i="2" s="1"/>
  <c r="A59" i="2" s="1"/>
  <c r="A60" i="2" s="1"/>
  <c r="A61" i="2" s="1"/>
  <c r="A62" i="2" s="1"/>
  <c r="A63" i="2" s="1"/>
  <c r="A64" i="2" s="1"/>
  <c r="A47" i="2"/>
  <c r="A48" i="2" s="1"/>
  <c r="A49" i="2" s="1"/>
  <c r="A50" i="2" s="1"/>
  <c r="A51" i="2" s="1"/>
  <c r="A52" i="2" s="1"/>
  <c r="A53" i="2" s="1"/>
  <c r="A54" i="2" s="1"/>
  <c r="A55" i="2" s="1"/>
  <c r="A38" i="2"/>
  <c r="A39" i="2" s="1"/>
  <c r="A40" i="2" s="1"/>
  <c r="A41" i="2" s="1"/>
  <c r="A42" i="2" s="1"/>
  <c r="A43" i="2" s="1"/>
  <c r="A44" i="2" s="1"/>
  <c r="A45" i="2" s="1"/>
  <c r="A46" i="2" s="1"/>
  <c r="A29" i="2"/>
  <c r="A30" i="2" s="1"/>
  <c r="A31" i="2" s="1"/>
  <c r="A32" i="2" s="1"/>
  <c r="A33" i="2" s="1"/>
  <c r="A34" i="2" s="1"/>
  <c r="A35" i="2" s="1"/>
  <c r="A36" i="2" s="1"/>
  <c r="A37" i="2" s="1"/>
  <c r="A20" i="2"/>
  <c r="A21" i="2" s="1"/>
  <c r="A22" i="2" s="1"/>
  <c r="A23" i="2" s="1"/>
  <c r="A24" i="2" s="1"/>
  <c r="A25" i="2" s="1"/>
  <c r="A26" i="2" s="1"/>
  <c r="A27" i="2" s="1"/>
  <c r="A28" i="2" s="1"/>
  <c r="A11" i="2"/>
  <c r="A12" i="2" s="1"/>
  <c r="A13" i="2" s="1"/>
  <c r="A14" i="2" s="1"/>
  <c r="A15" i="2" s="1"/>
  <c r="A16" i="2" s="1"/>
  <c r="A17" i="2" s="1"/>
  <c r="A18" i="2" s="1"/>
  <c r="A19" i="2" s="1"/>
  <c r="A2" i="2"/>
  <c r="A3" i="2" s="1"/>
  <c r="A4" i="2" s="1"/>
  <c r="A5" i="2" s="1"/>
  <c r="A6" i="2" s="1"/>
  <c r="A7" i="2" s="1"/>
  <c r="A8" i="2" s="1"/>
  <c r="A9" i="2" s="1"/>
  <c r="A10" i="2" s="1"/>
  <c r="K1" i="2"/>
  <c r="J1" i="2"/>
  <c r="I1" i="2"/>
  <c r="H1" i="2"/>
  <c r="G1" i="2"/>
  <c r="F1" i="2"/>
  <c r="E1" i="2"/>
  <c r="D1" i="2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2" i="18"/>
  <c r="K1" i="18"/>
  <c r="A56" i="18"/>
  <c r="A57" i="18" s="1"/>
  <c r="A58" i="18" s="1"/>
  <c r="A59" i="18" s="1"/>
  <c r="A60" i="18" s="1"/>
  <c r="A61" i="18" s="1"/>
  <c r="A62" i="18" s="1"/>
  <c r="A63" i="18" s="1"/>
  <c r="A64" i="18" s="1"/>
  <c r="A47" i="18"/>
  <c r="A48" i="18" s="1"/>
  <c r="A49" i="18" s="1"/>
  <c r="A50" i="18" s="1"/>
  <c r="A51" i="18" s="1"/>
  <c r="A52" i="18" s="1"/>
  <c r="A53" i="18" s="1"/>
  <c r="A54" i="18" s="1"/>
  <c r="A55" i="18" s="1"/>
  <c r="A38" i="18"/>
  <c r="A39" i="18" s="1"/>
  <c r="A40" i="18" s="1"/>
  <c r="A41" i="18" s="1"/>
  <c r="A42" i="18" s="1"/>
  <c r="A43" i="18" s="1"/>
  <c r="A44" i="18" s="1"/>
  <c r="A45" i="18" s="1"/>
  <c r="A46" i="18" s="1"/>
  <c r="A29" i="18"/>
  <c r="A30" i="18" s="1"/>
  <c r="A31" i="18" s="1"/>
  <c r="A32" i="18" s="1"/>
  <c r="A33" i="18" s="1"/>
  <c r="A34" i="18" s="1"/>
  <c r="A35" i="18" s="1"/>
  <c r="A36" i="18" s="1"/>
  <c r="A37" i="18" s="1"/>
  <c r="A20" i="18"/>
  <c r="A21" i="18" s="1"/>
  <c r="A22" i="18" s="1"/>
  <c r="A23" i="18" s="1"/>
  <c r="A24" i="18" s="1"/>
  <c r="A25" i="18" s="1"/>
  <c r="A26" i="18" s="1"/>
  <c r="A27" i="18" s="1"/>
  <c r="A28" i="18" s="1"/>
  <c r="J1" i="18"/>
  <c r="I1" i="18"/>
  <c r="H1" i="18"/>
  <c r="G1" i="18"/>
  <c r="F1" i="18"/>
  <c r="E1" i="18"/>
  <c r="D1" i="18"/>
  <c r="A11" i="18"/>
  <c r="A12" i="18" s="1"/>
  <c r="A13" i="18" s="1"/>
  <c r="A14" i="18" s="1"/>
  <c r="A15" i="18" s="1"/>
  <c r="A16" i="18" s="1"/>
  <c r="A17" i="18" s="1"/>
  <c r="A18" i="18" s="1"/>
  <c r="A19" i="18" s="1"/>
  <c r="A2" i="18"/>
  <c r="A3" i="18" s="1"/>
  <c r="A4" i="18" s="1"/>
  <c r="A5" i="18" s="1"/>
  <c r="A6" i="18" s="1"/>
  <c r="A7" i="18" s="1"/>
  <c r="A8" i="18" s="1"/>
  <c r="A9" i="18" s="1"/>
  <c r="A10" i="18" s="1"/>
  <c r="A3" i="17"/>
  <c r="A3" i="23" s="1"/>
  <c r="A4" i="17"/>
  <c r="A4" i="23" s="1"/>
  <c r="A5" i="17"/>
  <c r="A5" i="23" s="1"/>
  <c r="A6" i="17"/>
  <c r="A6" i="23" s="1"/>
  <c r="A7" i="17"/>
  <c r="A7" i="23" s="1"/>
  <c r="A8" i="17"/>
  <c r="A8" i="23" s="1"/>
  <c r="A2" i="17"/>
  <c r="AP17" i="16"/>
  <c r="AP25" i="16" s="1"/>
  <c r="AP16" i="16"/>
  <c r="AP15" i="16"/>
  <c r="AP14" i="16"/>
  <c r="AH14" i="16"/>
  <c r="AH15" i="16"/>
  <c r="AH16" i="16"/>
  <c r="AH17" i="16"/>
  <c r="AH26" i="16" s="1"/>
  <c r="Z17" i="16"/>
  <c r="Z23" i="16" s="1"/>
  <c r="Z16" i="16"/>
  <c r="Z15" i="16"/>
  <c r="Z14" i="16"/>
  <c r="R17" i="16"/>
  <c r="R19" i="16" s="1"/>
  <c r="R16" i="16"/>
  <c r="R15" i="16"/>
  <c r="R14" i="16"/>
  <c r="J17" i="16"/>
  <c r="J20" i="16" s="1"/>
  <c r="J16" i="16"/>
  <c r="J15" i="16"/>
  <c r="J14" i="16"/>
  <c r="B16" i="16"/>
  <c r="B15" i="16"/>
  <c r="B33" i="16"/>
  <c r="B34" i="16"/>
  <c r="B35" i="16"/>
  <c r="B36" i="16"/>
  <c r="B37" i="16"/>
  <c r="B38" i="16"/>
  <c r="B39" i="16"/>
  <c r="B32" i="16"/>
  <c r="E3" i="16"/>
  <c r="E4" i="16"/>
  <c r="E5" i="16"/>
  <c r="E6" i="16"/>
  <c r="E7" i="16"/>
  <c r="E8" i="16"/>
  <c r="E2" i="16"/>
  <c r="B3" i="16"/>
  <c r="C3" i="16"/>
  <c r="B4" i="16"/>
  <c r="C4" i="16"/>
  <c r="B5" i="16"/>
  <c r="C5" i="16"/>
  <c r="B6" i="16"/>
  <c r="C6" i="16"/>
  <c r="B7" i="16"/>
  <c r="C7" i="16"/>
  <c r="B8" i="16"/>
  <c r="C8" i="16"/>
  <c r="C2" i="16"/>
  <c r="B2" i="16"/>
  <c r="A3" i="16"/>
  <c r="J12" i="16" s="1"/>
  <c r="A4" i="16"/>
  <c r="R12" i="16" s="1"/>
  <c r="A5" i="16"/>
  <c r="Z12" i="16" s="1"/>
  <c r="A6" i="16"/>
  <c r="AH12" i="16" s="1"/>
  <c r="A7" i="16"/>
  <c r="AP12" i="16" s="1"/>
  <c r="A8" i="16"/>
  <c r="A2" i="16"/>
  <c r="A8" i="9"/>
  <c r="A3" i="9"/>
  <c r="A4" i="9"/>
  <c r="A5" i="9"/>
  <c r="A6" i="9"/>
  <c r="A7" i="9"/>
  <c r="C8" i="20" l="1"/>
  <c r="D8" i="20" s="1"/>
  <c r="F7" i="23"/>
  <c r="G7" i="23"/>
  <c r="H7" i="23"/>
  <c r="C7" i="23"/>
  <c r="B7" i="23"/>
  <c r="D7" i="23"/>
  <c r="E7" i="23"/>
  <c r="C7" i="20"/>
  <c r="D7" i="20" s="1"/>
  <c r="D6" i="23"/>
  <c r="E6" i="23"/>
  <c r="F6" i="23"/>
  <c r="G6" i="23"/>
  <c r="H6" i="23"/>
  <c r="B6" i="23"/>
  <c r="C6" i="23"/>
  <c r="C6" i="20"/>
  <c r="D6" i="20" s="1"/>
  <c r="C5" i="23"/>
  <c r="D5" i="23"/>
  <c r="E5" i="23"/>
  <c r="B5" i="23"/>
  <c r="F5" i="23"/>
  <c r="G5" i="23"/>
  <c r="H5" i="23"/>
  <c r="C5" i="20"/>
  <c r="D5" i="20" s="1"/>
  <c r="H4" i="23"/>
  <c r="B4" i="23"/>
  <c r="C4" i="23"/>
  <c r="D4" i="23"/>
  <c r="E4" i="23"/>
  <c r="F4" i="23"/>
  <c r="G4" i="23"/>
  <c r="C4" i="20"/>
  <c r="D4" i="20" s="1"/>
  <c r="F3" i="23"/>
  <c r="G3" i="23"/>
  <c r="B3" i="23"/>
  <c r="H3" i="23"/>
  <c r="C3" i="23"/>
  <c r="D3" i="23"/>
  <c r="E3" i="23"/>
  <c r="J21" i="27"/>
  <c r="J24" i="27" s="1"/>
  <c r="J22" i="27"/>
  <c r="J20" i="27"/>
  <c r="J23" i="27" s="1"/>
  <c r="A2" i="23"/>
  <c r="B1" i="17" a="1"/>
  <c r="C9" i="20"/>
  <c r="D9" i="20" s="1"/>
  <c r="H8" i="23"/>
  <c r="C8" i="23"/>
  <c r="D8" i="23"/>
  <c r="E8" i="23"/>
  <c r="F8" i="23"/>
  <c r="B8" i="23"/>
  <c r="G8" i="23"/>
  <c r="AH25" i="16"/>
  <c r="Z20" i="16"/>
  <c r="B45" i="16"/>
  <c r="J19" i="16"/>
  <c r="J26" i="16"/>
  <c r="J25" i="16"/>
  <c r="R26" i="16"/>
  <c r="J24" i="16"/>
  <c r="R25" i="16"/>
  <c r="J23" i="16"/>
  <c r="R24" i="16"/>
  <c r="Z21" i="16"/>
  <c r="AH18" i="16"/>
  <c r="Z18" i="16"/>
  <c r="AH23" i="16"/>
  <c r="AP23" i="16"/>
  <c r="AP24" i="16"/>
  <c r="Z28" i="16"/>
  <c r="AH22" i="16"/>
  <c r="R23" i="16"/>
  <c r="AH24" i="16"/>
  <c r="G2" i="16"/>
  <c r="S2" i="16" s="1"/>
  <c r="J27" i="16"/>
  <c r="Z22" i="16"/>
  <c r="AH21" i="16"/>
  <c r="Z27" i="16"/>
  <c r="AP18" i="16"/>
  <c r="AP20" i="16"/>
  <c r="Z19" i="16"/>
  <c r="J22" i="16"/>
  <c r="R18" i="16"/>
  <c r="R21" i="16"/>
  <c r="Z25" i="16"/>
  <c r="AH28" i="16"/>
  <c r="AH20" i="16"/>
  <c r="AP27" i="16"/>
  <c r="AP19" i="16"/>
  <c r="R22" i="16"/>
  <c r="Z26" i="16"/>
  <c r="J18" i="16"/>
  <c r="J21" i="16"/>
  <c r="R28" i="16"/>
  <c r="R20" i="16"/>
  <c r="Z24" i="16"/>
  <c r="AH27" i="16"/>
  <c r="AH19" i="16"/>
  <c r="AP26" i="16"/>
  <c r="AP22" i="16"/>
  <c r="AP21" i="16"/>
  <c r="AP28" i="16"/>
  <c r="J28" i="16"/>
  <c r="R27" i="16"/>
  <c r="K8" i="20"/>
  <c r="J8" i="20"/>
  <c r="E8" i="20"/>
  <c r="F8" i="20"/>
  <c r="G8" i="20"/>
  <c r="H8" i="20"/>
  <c r="I8" i="20"/>
  <c r="J7" i="20"/>
  <c r="K7" i="20"/>
  <c r="E7" i="20"/>
  <c r="F7" i="20"/>
  <c r="G7" i="20"/>
  <c r="H7" i="20"/>
  <c r="I7" i="20"/>
  <c r="I6" i="20"/>
  <c r="J6" i="20"/>
  <c r="K6" i="20"/>
  <c r="E6" i="20"/>
  <c r="F6" i="20"/>
  <c r="G6" i="20"/>
  <c r="H6" i="20"/>
  <c r="H5" i="20"/>
  <c r="I5" i="20"/>
  <c r="J5" i="20"/>
  <c r="K5" i="20"/>
  <c r="E5" i="20"/>
  <c r="F5" i="20"/>
  <c r="G5" i="20"/>
  <c r="F4" i="20"/>
  <c r="G4" i="20"/>
  <c r="H4" i="20"/>
  <c r="I4" i="20"/>
  <c r="J4" i="20"/>
  <c r="K4" i="20"/>
  <c r="E4" i="20"/>
  <c r="K3" i="20"/>
  <c r="G3" i="20"/>
  <c r="H3" i="20"/>
  <c r="I3" i="20"/>
  <c r="E3" i="20"/>
  <c r="F3" i="20"/>
  <c r="J3" i="20"/>
  <c r="E9" i="20"/>
  <c r="F9" i="20"/>
  <c r="G9" i="20"/>
  <c r="H9" i="20"/>
  <c r="I9" i="20"/>
  <c r="J9" i="20"/>
  <c r="K9" i="20"/>
  <c r="B48" i="16"/>
  <c r="B52" i="16"/>
  <c r="B51" i="16"/>
  <c r="B44" i="16"/>
  <c r="B50" i="16"/>
  <c r="B49" i="16"/>
  <c r="B47" i="16"/>
  <c r="B43" i="16"/>
  <c r="B46" i="16"/>
  <c r="B53" i="16"/>
  <c r="I8" i="16"/>
  <c r="I4" i="16"/>
  <c r="H2" i="16"/>
  <c r="N5" i="16"/>
  <c r="I6" i="16"/>
  <c r="L8" i="16"/>
  <c r="M6" i="16"/>
  <c r="K8" i="16"/>
  <c r="P6" i="16"/>
  <c r="J6" i="16"/>
  <c r="H6" i="16"/>
  <c r="G6" i="16"/>
  <c r="S6" i="16" s="1"/>
  <c r="Q8" i="16"/>
  <c r="L4" i="16"/>
  <c r="H8" i="16"/>
  <c r="Q5" i="16"/>
  <c r="H4" i="16"/>
  <c r="K7" i="16"/>
  <c r="K3" i="16"/>
  <c r="O6" i="16"/>
  <c r="Q4" i="16"/>
  <c r="G8" i="16"/>
  <c r="S8" i="16" s="1"/>
  <c r="P8" i="16"/>
  <c r="L6" i="16"/>
  <c r="P4" i="16"/>
  <c r="O8" i="16"/>
  <c r="K6" i="16"/>
  <c r="M5" i="16"/>
  <c r="O4" i="16"/>
  <c r="G4" i="16"/>
  <c r="S4" i="16" s="1"/>
  <c r="I3" i="16"/>
  <c r="Q3" i="16"/>
  <c r="I7" i="16"/>
  <c r="M2" i="16"/>
  <c r="N8" i="16"/>
  <c r="P7" i="16"/>
  <c r="H7" i="16"/>
  <c r="J3" i="16"/>
  <c r="N2" i="16"/>
  <c r="L5" i="16"/>
  <c r="N4" i="16"/>
  <c r="P3" i="16"/>
  <c r="H3" i="16"/>
  <c r="Q2" i="16"/>
  <c r="L2" i="16"/>
  <c r="M8" i="16"/>
  <c r="O7" i="16"/>
  <c r="G7" i="16"/>
  <c r="S7" i="16" s="1"/>
  <c r="AQ25" i="16" s="1"/>
  <c r="K5" i="16"/>
  <c r="M4" i="16"/>
  <c r="O3" i="16"/>
  <c r="G3" i="16"/>
  <c r="S3" i="16" s="1"/>
  <c r="O2" i="16"/>
  <c r="J7" i="16"/>
  <c r="K2" i="16"/>
  <c r="N7" i="16"/>
  <c r="J5" i="16"/>
  <c r="N3" i="16"/>
  <c r="J2" i="16"/>
  <c r="M7" i="16"/>
  <c r="K4" i="16"/>
  <c r="Q7" i="16"/>
  <c r="I2" i="16"/>
  <c r="J8" i="16"/>
  <c r="L7" i="16"/>
  <c r="N6" i="16"/>
  <c r="P5" i="16"/>
  <c r="H5" i="16"/>
  <c r="J4" i="16"/>
  <c r="L3" i="16"/>
  <c r="Q6" i="16"/>
  <c r="I5" i="16"/>
  <c r="M3" i="16"/>
  <c r="P2" i="16"/>
  <c r="O5" i="16"/>
  <c r="G5" i="16"/>
  <c r="S5" i="16" s="1"/>
  <c r="AA27" i="16" l="1"/>
  <c r="I4" i="23"/>
  <c r="I6" i="23"/>
  <c r="I7" i="23"/>
  <c r="B1" i="17"/>
  <c r="B1" i="23" s="1"/>
  <c r="C1" i="23"/>
  <c r="D1" i="23"/>
  <c r="E1" i="23"/>
  <c r="F1" i="23"/>
  <c r="G1" i="23"/>
  <c r="H1" i="23"/>
  <c r="I5" i="23"/>
  <c r="I8" i="23"/>
  <c r="I3" i="23"/>
  <c r="C15" i="16"/>
  <c r="C14" i="16"/>
  <c r="C17" i="16"/>
  <c r="S18" i="16"/>
  <c r="AI24" i="16"/>
  <c r="C16" i="16"/>
  <c r="K26" i="16"/>
  <c r="K14" i="16"/>
  <c r="AA8" i="16"/>
  <c r="K38" i="16" s="1"/>
  <c r="K28" i="16"/>
  <c r="S22" i="16"/>
  <c r="AQ26" i="16"/>
  <c r="AA26" i="16"/>
  <c r="S26" i="16"/>
  <c r="K23" i="16"/>
  <c r="K27" i="16"/>
  <c r="AI22" i="16"/>
  <c r="AQ20" i="16"/>
  <c r="AA18" i="16"/>
  <c r="S20" i="16"/>
  <c r="AI21" i="16"/>
  <c r="AQ27" i="16"/>
  <c r="AQ17" i="16"/>
  <c r="AQ15" i="16"/>
  <c r="AQ23" i="16"/>
  <c r="AQ18" i="16"/>
  <c r="AQ21" i="16"/>
  <c r="AQ16" i="16"/>
  <c r="AQ24" i="16"/>
  <c r="AQ19" i="16"/>
  <c r="AQ14" i="16"/>
  <c r="AI26" i="16"/>
  <c r="S16" i="16"/>
  <c r="S14" i="16"/>
  <c r="S17" i="16"/>
  <c r="S25" i="16"/>
  <c r="S15" i="16"/>
  <c r="S23" i="16"/>
  <c r="S21" i="16"/>
  <c r="S24" i="16"/>
  <c r="S27" i="16"/>
  <c r="S19" i="16"/>
  <c r="S28" i="16"/>
  <c r="AA25" i="16"/>
  <c r="AA24" i="16"/>
  <c r="K18" i="16"/>
  <c r="K21" i="16"/>
  <c r="AQ28" i="16"/>
  <c r="AQ22" i="16"/>
  <c r="AA22" i="16"/>
  <c r="AA28" i="16"/>
  <c r="AA15" i="16"/>
  <c r="AA19" i="16"/>
  <c r="AA16" i="16"/>
  <c r="AA23" i="16"/>
  <c r="AA20" i="16"/>
  <c r="AA17" i="16"/>
  <c r="AA21" i="16"/>
  <c r="AA14" i="16"/>
  <c r="K15" i="16"/>
  <c r="K19" i="16"/>
  <c r="K16" i="16"/>
  <c r="K24" i="16"/>
  <c r="K17" i="16"/>
  <c r="K25" i="16"/>
  <c r="K22" i="16"/>
  <c r="AI19" i="16"/>
  <c r="AI27" i="16"/>
  <c r="AI14" i="16"/>
  <c r="AI16" i="16"/>
  <c r="AI17" i="16"/>
  <c r="AI25" i="16"/>
  <c r="AI23" i="16"/>
  <c r="AI20" i="16"/>
  <c r="AI28" i="16"/>
  <c r="AI15" i="16"/>
  <c r="K20" i="16"/>
  <c r="AI18" i="16"/>
  <c r="C51" i="16"/>
  <c r="C32" i="16"/>
  <c r="C35" i="16"/>
  <c r="C33" i="16"/>
  <c r="C41" i="16"/>
  <c r="C53" i="16"/>
  <c r="C34" i="16"/>
  <c r="C36" i="16"/>
  <c r="C46" i="16"/>
  <c r="C37" i="16"/>
  <c r="C43" i="16"/>
  <c r="C45" i="16"/>
  <c r="C47" i="16"/>
  <c r="C42" i="16"/>
  <c r="C40" i="16"/>
  <c r="C38" i="16"/>
  <c r="C49" i="16"/>
  <c r="C50" i="16"/>
  <c r="C44" i="16"/>
  <c r="C39" i="16"/>
  <c r="C52" i="16"/>
  <c r="C48" i="16"/>
  <c r="U8" i="16"/>
  <c r="E44" i="16" s="1"/>
  <c r="AA5" i="16"/>
  <c r="V4" i="16"/>
  <c r="U2" i="16"/>
  <c r="E14" i="16" s="1"/>
  <c r="V8" i="16"/>
  <c r="F51" i="16" s="1"/>
  <c r="U4" i="16"/>
  <c r="Z6" i="16"/>
  <c r="Y4" i="16"/>
  <c r="U6" i="16"/>
  <c r="V6" i="16"/>
  <c r="Y7" i="16"/>
  <c r="AC2" i="16"/>
  <c r="AB6" i="16"/>
  <c r="AB8" i="16"/>
  <c r="L51" i="16" s="1"/>
  <c r="Y8" i="16"/>
  <c r="I51" i="16" s="1"/>
  <c r="T6" i="16"/>
  <c r="AC6" i="16"/>
  <c r="W3" i="16"/>
  <c r="X3" i="16"/>
  <c r="W6" i="16"/>
  <c r="AC4" i="16"/>
  <c r="AC5" i="16"/>
  <c r="X7" i="16"/>
  <c r="X8" i="16"/>
  <c r="H47" i="16" s="1"/>
  <c r="AA3" i="16"/>
  <c r="X6" i="16"/>
  <c r="AA6" i="16"/>
  <c r="Z7" i="16"/>
  <c r="W2" i="16"/>
  <c r="AA7" i="16"/>
  <c r="Z2" i="16"/>
  <c r="U3" i="16"/>
  <c r="T8" i="16"/>
  <c r="D49" i="16" s="1"/>
  <c r="AC3" i="16"/>
  <c r="AC7" i="16"/>
  <c r="V7" i="16"/>
  <c r="Y6" i="16"/>
  <c r="X5" i="16"/>
  <c r="AA4" i="16"/>
  <c r="AC8" i="16"/>
  <c r="M50" i="16" s="1"/>
  <c r="W4" i="16"/>
  <c r="T7" i="16"/>
  <c r="W7" i="16"/>
  <c r="AB7" i="16"/>
  <c r="X4" i="16"/>
  <c r="T3" i="16"/>
  <c r="Z8" i="16"/>
  <c r="J51" i="16" s="1"/>
  <c r="W8" i="16"/>
  <c r="G50" i="16" s="1"/>
  <c r="T5" i="16"/>
  <c r="X2" i="16"/>
  <c r="Y5" i="16"/>
  <c r="AB2" i="16"/>
  <c r="Y3" i="16"/>
  <c r="Z3" i="16"/>
  <c r="AB3" i="16"/>
  <c r="Y2" i="16"/>
  <c r="T4" i="16"/>
  <c r="T2" i="16"/>
  <c r="V3" i="16"/>
  <c r="AA2" i="16"/>
  <c r="AB5" i="16"/>
  <c r="V2" i="16"/>
  <c r="U5" i="16"/>
  <c r="V5" i="16"/>
  <c r="W5" i="16"/>
  <c r="Z4" i="16"/>
  <c r="U7" i="16"/>
  <c r="AB4" i="16"/>
  <c r="Z5" i="16"/>
  <c r="D14" i="16" l="1"/>
  <c r="D17" i="16"/>
  <c r="K43" i="16"/>
  <c r="K40" i="16"/>
  <c r="K39" i="16"/>
  <c r="K45" i="16"/>
  <c r="K41" i="16"/>
  <c r="K44" i="16"/>
  <c r="K53" i="16"/>
  <c r="K51" i="16"/>
  <c r="K37" i="16"/>
  <c r="K48" i="16"/>
  <c r="K33" i="16"/>
  <c r="K34" i="16"/>
  <c r="K32" i="16"/>
  <c r="K42" i="16"/>
  <c r="K47" i="16"/>
  <c r="K36" i="16"/>
  <c r="K52" i="16"/>
  <c r="K49" i="16"/>
  <c r="K46" i="16"/>
  <c r="K50" i="16"/>
  <c r="K35" i="16"/>
  <c r="L46" i="16"/>
  <c r="L49" i="16"/>
  <c r="L44" i="16"/>
  <c r="E51" i="16"/>
  <c r="L47" i="16"/>
  <c r="AJ15" i="16"/>
  <c r="AJ25" i="16"/>
  <c r="AJ14" i="16"/>
  <c r="AJ16" i="16"/>
  <c r="AJ24" i="16"/>
  <c r="AJ28" i="16"/>
  <c r="AJ17" i="16"/>
  <c r="AJ20" i="16"/>
  <c r="AJ23" i="16"/>
  <c r="AJ22" i="16"/>
  <c r="AJ27" i="16"/>
  <c r="AJ19" i="16"/>
  <c r="AJ26" i="16"/>
  <c r="AJ21" i="16"/>
  <c r="AJ18" i="16"/>
  <c r="AC15" i="16"/>
  <c r="AC17" i="16"/>
  <c r="AC16" i="16"/>
  <c r="AC22" i="16"/>
  <c r="AC28" i="16"/>
  <c r="AC20" i="16"/>
  <c r="AC14" i="16"/>
  <c r="AC27" i="16"/>
  <c r="AC21" i="16"/>
  <c r="AC26" i="16"/>
  <c r="AC25" i="16"/>
  <c r="AC24" i="16"/>
  <c r="AC19" i="16"/>
  <c r="AC23" i="16"/>
  <c r="AC18" i="16"/>
  <c r="L53" i="16"/>
  <c r="M17" i="16"/>
  <c r="M15" i="16"/>
  <c r="M23" i="16"/>
  <c r="M14" i="16"/>
  <c r="M16" i="16"/>
  <c r="M24" i="16"/>
  <c r="M19" i="16"/>
  <c r="M27" i="16"/>
  <c r="M20" i="16"/>
  <c r="M22" i="16"/>
  <c r="M26" i="16"/>
  <c r="M28" i="16"/>
  <c r="M25" i="16"/>
  <c r="M21" i="16"/>
  <c r="M18" i="16"/>
  <c r="AK25" i="16"/>
  <c r="AK15" i="16"/>
  <c r="AK23" i="16"/>
  <c r="AK14" i="16"/>
  <c r="AK16" i="16"/>
  <c r="AK19" i="16"/>
  <c r="AK27" i="16"/>
  <c r="AK17" i="16"/>
  <c r="AK21" i="16"/>
  <c r="AK28" i="16"/>
  <c r="AK24" i="16"/>
  <c r="AK20" i="16"/>
  <c r="AK26" i="16"/>
  <c r="AK22" i="16"/>
  <c r="AK18" i="16"/>
  <c r="AS16" i="16"/>
  <c r="AS18" i="16"/>
  <c r="AS21" i="16"/>
  <c r="AS19" i="16"/>
  <c r="AS27" i="16"/>
  <c r="AS17" i="16"/>
  <c r="AS15" i="16"/>
  <c r="AS23" i="16"/>
  <c r="AS14" i="16"/>
  <c r="AS22" i="16"/>
  <c r="AS25" i="16"/>
  <c r="AS28" i="16"/>
  <c r="AS26" i="16"/>
  <c r="AS24" i="16"/>
  <c r="AS20" i="16"/>
  <c r="L52" i="16"/>
  <c r="AR24" i="16"/>
  <c r="AR20" i="16"/>
  <c r="AR28" i="16"/>
  <c r="AR17" i="16"/>
  <c r="AR15" i="16"/>
  <c r="AR18" i="16"/>
  <c r="AR14" i="16"/>
  <c r="AR21" i="16"/>
  <c r="AR16" i="16"/>
  <c r="AR23" i="16"/>
  <c r="AR25" i="16"/>
  <c r="AR26" i="16"/>
  <c r="AR27" i="16"/>
  <c r="AR19" i="16"/>
  <c r="AR22" i="16"/>
  <c r="L43" i="16"/>
  <c r="J46" i="16"/>
  <c r="L17" i="16"/>
  <c r="L19" i="16"/>
  <c r="L27" i="16"/>
  <c r="L22" i="16"/>
  <c r="L26" i="16"/>
  <c r="L15" i="16"/>
  <c r="L14" i="16"/>
  <c r="L16" i="16"/>
  <c r="L24" i="16"/>
  <c r="L18" i="16"/>
  <c r="L28" i="16"/>
  <c r="L25" i="16"/>
  <c r="L21" i="16"/>
  <c r="L23" i="16"/>
  <c r="L20" i="16"/>
  <c r="J52" i="16"/>
  <c r="T21" i="16"/>
  <c r="T17" i="16"/>
  <c r="T15" i="16"/>
  <c r="T18" i="16"/>
  <c r="T14" i="16"/>
  <c r="T24" i="16"/>
  <c r="T16" i="16"/>
  <c r="T26" i="16"/>
  <c r="T27" i="16"/>
  <c r="T22" i="16"/>
  <c r="T25" i="16"/>
  <c r="T23" i="16"/>
  <c r="T28" i="16"/>
  <c r="T19" i="16"/>
  <c r="T20" i="16"/>
  <c r="AB22" i="16"/>
  <c r="AB28" i="16"/>
  <c r="AB20" i="16"/>
  <c r="AB14" i="16"/>
  <c r="AB16" i="16"/>
  <c r="AB17" i="16"/>
  <c r="AB21" i="16"/>
  <c r="AB15" i="16"/>
  <c r="AB23" i="16"/>
  <c r="AB26" i="16"/>
  <c r="AB27" i="16"/>
  <c r="AB19" i="16"/>
  <c r="AB18" i="16"/>
  <c r="AB25" i="16"/>
  <c r="AB24" i="16"/>
  <c r="U16" i="16"/>
  <c r="U26" i="16"/>
  <c r="U21" i="16"/>
  <c r="U17" i="16"/>
  <c r="U25" i="16"/>
  <c r="U15" i="16"/>
  <c r="U23" i="16"/>
  <c r="U18" i="16"/>
  <c r="U14" i="16"/>
  <c r="U28" i="16"/>
  <c r="U27" i="16"/>
  <c r="U20" i="16"/>
  <c r="U19" i="16"/>
  <c r="U22" i="16"/>
  <c r="U24" i="16"/>
  <c r="I49" i="16"/>
  <c r="M53" i="16"/>
  <c r="E50" i="16"/>
  <c r="E49" i="16"/>
  <c r="F43" i="16"/>
  <c r="E46" i="16"/>
  <c r="F44" i="16"/>
  <c r="M49" i="16"/>
  <c r="D50" i="16"/>
  <c r="I53" i="16"/>
  <c r="G44" i="16"/>
  <c r="G47" i="16"/>
  <c r="H52" i="16"/>
  <c r="F53" i="16"/>
  <c r="H51" i="16"/>
  <c r="D46" i="16"/>
  <c r="H53" i="16"/>
  <c r="J32" i="16"/>
  <c r="J35" i="16"/>
  <c r="J38" i="16"/>
  <c r="J40" i="16"/>
  <c r="J33" i="16"/>
  <c r="J45" i="16"/>
  <c r="J37" i="16"/>
  <c r="J48" i="16"/>
  <c r="J34" i="16"/>
  <c r="J39" i="16"/>
  <c r="J36" i="16"/>
  <c r="J41" i="16"/>
  <c r="J42" i="16"/>
  <c r="I32" i="16"/>
  <c r="I37" i="16"/>
  <c r="I41" i="16"/>
  <c r="I38" i="16"/>
  <c r="I33" i="16"/>
  <c r="I48" i="16"/>
  <c r="I34" i="16"/>
  <c r="I42" i="16"/>
  <c r="I39" i="16"/>
  <c r="I36" i="16"/>
  <c r="I40" i="16"/>
  <c r="I45" i="16"/>
  <c r="I35" i="16"/>
  <c r="D32" i="16"/>
  <c r="D37" i="16"/>
  <c r="D48" i="16"/>
  <c r="D38" i="16"/>
  <c r="D45" i="16"/>
  <c r="D34" i="16"/>
  <c r="D41" i="16"/>
  <c r="D33" i="16"/>
  <c r="D36" i="16"/>
  <c r="D42" i="16"/>
  <c r="D35" i="16"/>
  <c r="D40" i="16"/>
  <c r="D39" i="16"/>
  <c r="G32" i="16"/>
  <c r="G35" i="16"/>
  <c r="G39" i="16"/>
  <c r="G37" i="16"/>
  <c r="G34" i="16"/>
  <c r="G38" i="16"/>
  <c r="G45" i="16"/>
  <c r="G33" i="16"/>
  <c r="G40" i="16"/>
  <c r="G42" i="16"/>
  <c r="G36" i="16"/>
  <c r="G48" i="16"/>
  <c r="G41" i="16"/>
  <c r="M44" i="16"/>
  <c r="H50" i="16"/>
  <c r="F47" i="16"/>
  <c r="I52" i="16"/>
  <c r="F50" i="16"/>
  <c r="J43" i="16"/>
  <c r="M46" i="16"/>
  <c r="G52" i="16"/>
  <c r="H44" i="16"/>
  <c r="J50" i="16"/>
  <c r="J49" i="16"/>
  <c r="I47" i="16"/>
  <c r="D47" i="16"/>
  <c r="I43" i="16"/>
  <c r="F52" i="16"/>
  <c r="I50" i="16"/>
  <c r="G49" i="16"/>
  <c r="I46" i="16"/>
  <c r="D53" i="16"/>
  <c r="D52" i="16"/>
  <c r="M32" i="16"/>
  <c r="M33" i="16"/>
  <c r="M41" i="16"/>
  <c r="M37" i="16"/>
  <c r="M35" i="16"/>
  <c r="M45" i="16"/>
  <c r="M39" i="16"/>
  <c r="M48" i="16"/>
  <c r="M42" i="16"/>
  <c r="M36" i="16"/>
  <c r="M38" i="16"/>
  <c r="M34" i="16"/>
  <c r="M40" i="16"/>
  <c r="H32" i="16"/>
  <c r="H41" i="16"/>
  <c r="H33" i="16"/>
  <c r="H36" i="16"/>
  <c r="H39" i="16"/>
  <c r="H45" i="16"/>
  <c r="H42" i="16"/>
  <c r="H38" i="16"/>
  <c r="H35" i="16"/>
  <c r="H48" i="16"/>
  <c r="H37" i="16"/>
  <c r="H34" i="16"/>
  <c r="H40" i="16"/>
  <c r="F32" i="16"/>
  <c r="F38" i="16"/>
  <c r="F34" i="16"/>
  <c r="F42" i="16"/>
  <c r="F35" i="16"/>
  <c r="F48" i="16"/>
  <c r="F40" i="16"/>
  <c r="F45" i="16"/>
  <c r="F37" i="16"/>
  <c r="F39" i="16"/>
  <c r="F41" i="16"/>
  <c r="F36" i="16"/>
  <c r="F33" i="16"/>
  <c r="D43" i="16"/>
  <c r="F46" i="16"/>
  <c r="M51" i="16"/>
  <c r="G51" i="16"/>
  <c r="M43" i="16"/>
  <c r="H43" i="16"/>
  <c r="H46" i="16"/>
  <c r="J53" i="16"/>
  <c r="D51" i="16"/>
  <c r="L32" i="16"/>
  <c r="L48" i="16"/>
  <c r="L37" i="16"/>
  <c r="L38" i="16"/>
  <c r="L40" i="16"/>
  <c r="L34" i="16"/>
  <c r="L45" i="16"/>
  <c r="L36" i="16"/>
  <c r="L41" i="16"/>
  <c r="L42" i="16"/>
  <c r="L35" i="16"/>
  <c r="L39" i="16"/>
  <c r="L33" i="16"/>
  <c r="M52" i="16"/>
  <c r="J44" i="16"/>
  <c r="D44" i="16"/>
  <c r="H49" i="16"/>
  <c r="M47" i="16"/>
  <c r="E32" i="16"/>
  <c r="E33" i="16"/>
  <c r="E41" i="16"/>
  <c r="E37" i="16"/>
  <c r="E45" i="16"/>
  <c r="E35" i="16"/>
  <c r="E40" i="16"/>
  <c r="E38" i="16"/>
  <c r="E42" i="16"/>
  <c r="E39" i="16"/>
  <c r="E48" i="16"/>
  <c r="E36" i="16"/>
  <c r="E34" i="16"/>
  <c r="E52" i="16"/>
  <c r="I44" i="16"/>
  <c r="L50" i="16"/>
  <c r="F49" i="16"/>
  <c r="E47" i="16"/>
  <c r="J47" i="16"/>
  <c r="E43" i="16"/>
  <c r="G43" i="16"/>
  <c r="G46" i="16"/>
  <c r="G53" i="16"/>
  <c r="E53" i="16"/>
  <c r="E15" i="16"/>
  <c r="E16" i="16"/>
  <c r="D15" i="16"/>
  <c r="F16" i="16" s="1"/>
  <c r="D16" i="16"/>
  <c r="G17" i="16" s="1"/>
  <c r="F17" i="16" l="1"/>
  <c r="N21" i="16"/>
  <c r="O42" i="16"/>
  <c r="E8" i="5" s="1"/>
  <c r="N42" i="16"/>
  <c r="G16" i="16"/>
  <c r="N43" i="16"/>
  <c r="AL19" i="16"/>
  <c r="AL18" i="16"/>
  <c r="V19" i="16"/>
  <c r="AD21" i="16"/>
  <c r="AD26" i="16"/>
  <c r="AD18" i="16"/>
  <c r="N27" i="16"/>
  <c r="AT22" i="16"/>
  <c r="N18" i="16"/>
  <c r="N19" i="16"/>
  <c r="AL21" i="16"/>
  <c r="AD22" i="16"/>
  <c r="N16" i="16"/>
  <c r="AT17" i="16"/>
  <c r="AL16" i="16"/>
  <c r="AL23" i="16"/>
  <c r="W17" i="16"/>
  <c r="E4" i="5" s="1"/>
  <c r="V17" i="16"/>
  <c r="AT20" i="16"/>
  <c r="AL27" i="16"/>
  <c r="AD17" i="16"/>
  <c r="V22" i="16"/>
  <c r="V23" i="16"/>
  <c r="N20" i="16"/>
  <c r="AL20" i="16"/>
  <c r="AL17" i="16"/>
  <c r="AM17" i="16"/>
  <c r="E6" i="5" s="1"/>
  <c r="AT27" i="16"/>
  <c r="AM16" i="16"/>
  <c r="N22" i="16"/>
  <c r="AT23" i="16"/>
  <c r="AT24" i="16"/>
  <c r="AD28" i="16"/>
  <c r="AL24" i="16"/>
  <c r="AT19" i="16"/>
  <c r="V26" i="16"/>
  <c r="AL28" i="16"/>
  <c r="V16" i="16"/>
  <c r="V21" i="16"/>
  <c r="AT16" i="16"/>
  <c r="AE17" i="16"/>
  <c r="E5" i="5" s="1"/>
  <c r="AL22" i="16"/>
  <c r="AD25" i="16"/>
  <c r="V20" i="16"/>
  <c r="N25" i="16"/>
  <c r="AU17" i="16"/>
  <c r="E7" i="5" s="1"/>
  <c r="AL26" i="16"/>
  <c r="N24" i="16"/>
  <c r="N17" i="16"/>
  <c r="V24" i="16"/>
  <c r="O16" i="16"/>
  <c r="AD27" i="16"/>
  <c r="N26" i="16"/>
  <c r="N23" i="16"/>
  <c r="AT21" i="16"/>
  <c r="AT18" i="16"/>
  <c r="AD24" i="16"/>
  <c r="AD23" i="16"/>
  <c r="V27" i="16"/>
  <c r="N28" i="16"/>
  <c r="AT25" i="16"/>
  <c r="AT28" i="16"/>
  <c r="AD20" i="16"/>
  <c r="V25" i="16"/>
  <c r="AE18" i="16"/>
  <c r="AE16" i="16"/>
  <c r="AL25" i="16"/>
  <c r="AD16" i="16"/>
  <c r="AU18" i="16"/>
  <c r="AM18" i="16"/>
  <c r="O43" i="16"/>
  <c r="O18" i="16"/>
  <c r="W16" i="16"/>
  <c r="AU16" i="16"/>
  <c r="O17" i="16"/>
  <c r="E3" i="5" s="1"/>
  <c r="AD19" i="16"/>
  <c r="AT26" i="16"/>
  <c r="V18" i="16"/>
  <c r="W18" i="16"/>
  <c r="V28" i="16"/>
  <c r="N48" i="16"/>
  <c r="O45" i="16"/>
  <c r="N45" i="16"/>
  <c r="N52" i="16"/>
  <c r="N44" i="16"/>
  <c r="N50" i="16"/>
  <c r="O44" i="16"/>
  <c r="N51" i="16"/>
  <c r="O49" i="16"/>
  <c r="O53" i="16"/>
  <c r="O50" i="16"/>
  <c r="O46" i="16"/>
  <c r="O47" i="16"/>
  <c r="N49" i="16"/>
  <c r="O48" i="16"/>
  <c r="N53" i="16"/>
  <c r="O51" i="16"/>
  <c r="N47" i="16"/>
  <c r="N46" i="16"/>
  <c r="O52" i="16"/>
  <c r="AM19" i="16" l="1"/>
  <c r="AM20" i="16" s="1"/>
  <c r="AM21" i="16" s="1"/>
  <c r="AM22" i="16" s="1"/>
  <c r="AM23" i="16" s="1"/>
  <c r="AM24" i="16" s="1"/>
  <c r="AM25" i="16" s="1"/>
  <c r="AM26" i="16" s="1"/>
  <c r="AM27" i="16" s="1"/>
  <c r="AM28" i="16" s="1"/>
  <c r="W19" i="16"/>
  <c r="W20" i="16" s="1"/>
  <c r="W21" i="16" s="1"/>
  <c r="W22" i="16" s="1"/>
  <c r="W23" i="16" s="1"/>
  <c r="W24" i="16" s="1"/>
  <c r="W25" i="16" s="1"/>
  <c r="W26" i="16" s="1"/>
  <c r="W27" i="16" s="1"/>
  <c r="W28" i="16" s="1"/>
  <c r="O19" i="16"/>
  <c r="O20" i="16" s="1"/>
  <c r="O21" i="16" s="1"/>
  <c r="O22" i="16" s="1"/>
  <c r="O23" i="16" s="1"/>
  <c r="O24" i="16" s="1"/>
  <c r="O25" i="16" s="1"/>
  <c r="O26" i="16" s="1"/>
  <c r="O27" i="16" s="1"/>
  <c r="O28" i="16" s="1"/>
  <c r="AU19" i="16"/>
  <c r="AU20" i="16" s="1"/>
  <c r="AU21" i="16" s="1"/>
  <c r="AU22" i="16" s="1"/>
  <c r="AU23" i="16" s="1"/>
  <c r="AU24" i="16" s="1"/>
  <c r="AU25" i="16" s="1"/>
  <c r="AU26" i="16" s="1"/>
  <c r="AU27" i="16" s="1"/>
  <c r="AU28" i="16" s="1"/>
  <c r="AE19" i="16"/>
  <c r="AE20" i="16" s="1"/>
  <c r="AE21" i="16" s="1"/>
  <c r="AE22" i="16" s="1"/>
  <c r="AE23" i="16" s="1"/>
  <c r="AE24" i="16" s="1"/>
  <c r="AE25" i="16" s="1"/>
  <c r="AE26" i="16" s="1"/>
  <c r="AE27" i="16" s="1"/>
  <c r="AE28" i="16" s="1"/>
  <c r="T1" i="16" l="1"/>
  <c r="U1" i="16"/>
  <c r="V1" i="16"/>
  <c r="W1" i="16"/>
  <c r="X1" i="16"/>
  <c r="Y1" i="16"/>
  <c r="Z1" i="16"/>
  <c r="AA1" i="16"/>
  <c r="AB1" i="16"/>
  <c r="AC1" i="16"/>
  <c r="S1" i="16"/>
  <c r="A2" i="9" l="1"/>
  <c r="E24" i="16" l="1"/>
  <c r="E20" i="16"/>
  <c r="C28" i="16"/>
  <c r="D22" i="16"/>
  <c r="E26" i="16"/>
  <c r="E19" i="16"/>
  <c r="D19" i="16"/>
  <c r="C21" i="16"/>
  <c r="D25" i="16"/>
  <c r="C27" i="16"/>
  <c r="D23" i="16"/>
  <c r="E17" i="16"/>
  <c r="E2" i="5"/>
  <c r="E28" i="16" l="1"/>
  <c r="E18" i="16"/>
  <c r="D24" i="16"/>
  <c r="D28" i="16"/>
  <c r="C19" i="16"/>
  <c r="E25" i="16"/>
  <c r="F27" i="16" s="1"/>
  <c r="D27" i="16"/>
  <c r="F28" i="16" s="1"/>
  <c r="D18" i="16"/>
  <c r="E27" i="16"/>
  <c r="E22" i="16"/>
  <c r="C18" i="16"/>
  <c r="F18" i="16" s="1"/>
  <c r="E21" i="16"/>
  <c r="C22" i="16"/>
  <c r="E23" i="16"/>
  <c r="D21" i="16"/>
  <c r="D20" i="16"/>
  <c r="F21" i="16" s="1"/>
  <c r="C23" i="16"/>
  <c r="D26" i="16"/>
  <c r="C20" i="16"/>
  <c r="F20" i="16" s="1"/>
  <c r="C24" i="16"/>
  <c r="F24" i="16" s="1"/>
  <c r="C25" i="16"/>
  <c r="C26" i="16"/>
  <c r="F26" i="16" s="1"/>
  <c r="G18" i="16" l="1"/>
  <c r="F19" i="16"/>
  <c r="F23" i="16"/>
  <c r="F25" i="16"/>
  <c r="F22" i="16"/>
  <c r="G19" i="16" l="1"/>
  <c r="G20" i="16" s="1"/>
  <c r="G21" i="16" s="1"/>
  <c r="G22" i="16"/>
  <c r="G23" i="16" s="1"/>
  <c r="G24" i="16" s="1"/>
  <c r="G25" i="16" s="1"/>
  <c r="G26" i="16" s="1"/>
  <c r="G27" i="16" s="1"/>
  <c r="G2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<sst xmlns="http://schemas.openxmlformats.org/spreadsheetml/2006/main" count="1526" uniqueCount="162">
  <si>
    <t>Stock</t>
  </si>
  <si>
    <t>Mechanical recycling</t>
  </si>
  <si>
    <t>Manufacturing</t>
  </si>
  <si>
    <t>Incineration</t>
  </si>
  <si>
    <t>Landfill</t>
  </si>
  <si>
    <t>growth_rate</t>
  </si>
  <si>
    <t xml:space="preserve">Product </t>
  </si>
  <si>
    <t>Input</t>
  </si>
  <si>
    <t xml:space="preserve">cdf </t>
  </si>
  <si>
    <t>lifetime_years</t>
  </si>
  <si>
    <t>kt</t>
  </si>
  <si>
    <t>Fibers</t>
  </si>
  <si>
    <t>Other</t>
  </si>
  <si>
    <t xml:space="preserve">Fibers </t>
  </si>
  <si>
    <t>Product</t>
  </si>
  <si>
    <t>sd_lifetime</t>
  </si>
  <si>
    <t>scope</t>
  </si>
  <si>
    <t>Europe</t>
  </si>
  <si>
    <t>system_name</t>
  </si>
  <si>
    <t>Data input requirements</t>
  </si>
  <si>
    <t xml:space="preserve">Sheet name </t>
  </si>
  <si>
    <t xml:space="preserve">system </t>
  </si>
  <si>
    <t>parameters</t>
  </si>
  <si>
    <t xml:space="preserve">hist </t>
  </si>
  <si>
    <t>start_year</t>
  </si>
  <si>
    <t>end_year</t>
  </si>
  <si>
    <t xml:space="preserve">timestep </t>
  </si>
  <si>
    <t>process_number</t>
  </si>
  <si>
    <t>process_type</t>
  </si>
  <si>
    <t>Description</t>
  </si>
  <si>
    <t>System definitions such as modelling years and scope</t>
  </si>
  <si>
    <t xml:space="preserve">Values of transfer coefficients (TC's) from  each process. Matrix form. </t>
  </si>
  <si>
    <t xml:space="preserve">Parameters for each material assesed in the system regarding product lifetime, virgin consumption and stock prior to modelling start. </t>
  </si>
  <si>
    <t xml:space="preserve">Historic vigin consumption used to calculate growth rate for future consumption. </t>
  </si>
  <si>
    <t>Required input (columns)</t>
  </si>
  <si>
    <t>system_name
start_year 
end_year
unit
scope</t>
  </si>
  <si>
    <t>process_number
process_name
tc_process_1 - 
tc_process_n</t>
  </si>
  <si>
    <t>vPET</t>
  </si>
  <si>
    <t>Kt</t>
  </si>
  <si>
    <t>Virgin production</t>
  </si>
  <si>
    <t>Bottles</t>
  </si>
  <si>
    <t>Trays</t>
  </si>
  <si>
    <t>POM</t>
  </si>
  <si>
    <t xml:space="preserve">Kt </t>
  </si>
  <si>
    <t>Fibres</t>
  </si>
  <si>
    <t>rPET flakes</t>
  </si>
  <si>
    <t xml:space="preserve">Collected and sorted </t>
  </si>
  <si>
    <t>rPET  pellets (bottles)</t>
  </si>
  <si>
    <t xml:space="preserve">Loss </t>
  </si>
  <si>
    <t>Loss collection</t>
  </si>
  <si>
    <t>Loss Sorting</t>
  </si>
  <si>
    <t>f_out</t>
  </si>
  <si>
    <t>Sum</t>
  </si>
  <si>
    <t xml:space="preserve">Lifetime </t>
  </si>
  <si>
    <t>Sd</t>
  </si>
  <si>
    <t xml:space="preserve">Stock </t>
  </si>
  <si>
    <t>Final disposal</t>
  </si>
  <si>
    <t>stock_year_0_use</t>
  </si>
  <si>
    <t>r</t>
  </si>
  <si>
    <t xml:space="preserve">Material </t>
  </si>
  <si>
    <t>X</t>
  </si>
  <si>
    <t xml:space="preserve">Flow from stock </t>
  </si>
  <si>
    <t xml:space="preserve">Output </t>
  </si>
  <si>
    <t>FP_2d</t>
  </si>
  <si>
    <t>FP_bottles</t>
  </si>
  <si>
    <t>FP_other</t>
  </si>
  <si>
    <t>NFP_2d</t>
  </si>
  <si>
    <t xml:space="preserve">NFP_bottles </t>
  </si>
  <si>
    <t>NFP_other</t>
  </si>
  <si>
    <t>Production</t>
  </si>
  <si>
    <t>Use</t>
  </si>
  <si>
    <t>Sorting</t>
  </si>
  <si>
    <t>Reprocessing</t>
  </si>
  <si>
    <t>PET packaging and fibers</t>
  </si>
  <si>
    <t>Flow from stock</t>
  </si>
  <si>
    <t xml:space="preserve">FP_2d </t>
  </si>
  <si>
    <t xml:space="preserve">Year </t>
  </si>
  <si>
    <t xml:space="preserve">First stock year </t>
  </si>
  <si>
    <t>Delta stock</t>
  </si>
  <si>
    <t xml:space="preserve"> </t>
  </si>
  <si>
    <t xml:space="preserve">Landfill </t>
  </si>
  <si>
    <t>Collection - source seperated</t>
  </si>
  <si>
    <t>Collection - residual</t>
  </si>
  <si>
    <t>Export</t>
  </si>
  <si>
    <t>Leaving system</t>
  </si>
  <si>
    <t>Recycled material</t>
  </si>
  <si>
    <t xml:space="preserve">Year 0 </t>
  </si>
  <si>
    <t>To_production</t>
  </si>
  <si>
    <t>to_use</t>
  </si>
  <si>
    <t>to_manufacturing</t>
  </si>
  <si>
    <t xml:space="preserve">TC values </t>
  </si>
  <si>
    <t>import_year_0</t>
  </si>
  <si>
    <t>Collection - source separation</t>
  </si>
  <si>
    <t>Processes</t>
  </si>
  <si>
    <t>From product</t>
  </si>
  <si>
    <t>To product</t>
  </si>
  <si>
    <t>To process</t>
  </si>
  <si>
    <t>From process</t>
  </si>
  <si>
    <t>Value</t>
  </si>
  <si>
    <t xml:space="preserve">Purity </t>
  </si>
  <si>
    <t>TC</t>
  </si>
  <si>
    <t>Process</t>
  </si>
  <si>
    <t>Calculation step</t>
  </si>
  <si>
    <t xml:space="preserve">Flows </t>
  </si>
  <si>
    <t>Input to production</t>
  </si>
  <si>
    <t>Process from complete</t>
  </si>
  <si>
    <t>Process to</t>
  </si>
  <si>
    <t>Number of inputs to process</t>
  </si>
  <si>
    <t>Number of input calculated</t>
  </si>
  <si>
    <t>Number of inputs needed</t>
  </si>
  <si>
    <t>Collection - source</t>
  </si>
  <si>
    <t xml:space="preserve">Reprocessing </t>
  </si>
  <si>
    <t>Flow</t>
  </si>
  <si>
    <t>Input production</t>
  </si>
  <si>
    <t>Pre recycled material</t>
  </si>
  <si>
    <t>Post recycled material</t>
  </si>
  <si>
    <t xml:space="preserve">Manufacturing </t>
  </si>
  <si>
    <t xml:space="preserve">Use </t>
  </si>
  <si>
    <t xml:space="preserve">Collection </t>
  </si>
  <si>
    <t xml:space="preserve">EOL treatment </t>
  </si>
  <si>
    <t xml:space="preserve">Recycled material </t>
  </si>
  <si>
    <t>Lifecycle</t>
  </si>
  <si>
    <t>Virgin</t>
  </si>
  <si>
    <t xml:space="preserve">Recycled </t>
  </si>
  <si>
    <t>Import</t>
  </si>
  <si>
    <t>Pre-consumer</t>
  </si>
  <si>
    <t>Source separation</t>
  </si>
  <si>
    <t>Residual</t>
  </si>
  <si>
    <t>Pre</t>
  </si>
  <si>
    <t>Post</t>
  </si>
  <si>
    <t>Node name</t>
  </si>
  <si>
    <t>Node number</t>
  </si>
  <si>
    <t xml:space="preserve">x value (distance) </t>
  </si>
  <si>
    <t>Data name</t>
  </si>
  <si>
    <t>rec_flows</t>
  </si>
  <si>
    <t>df_import</t>
  </si>
  <si>
    <t>d_stock</t>
  </si>
  <si>
    <t>flows_all[landfill]</t>
  </si>
  <si>
    <t>flows_all[incineration]</t>
  </si>
  <si>
    <t>flows_all[reprecessing]</t>
  </si>
  <si>
    <t>flows_all[sorting]</t>
  </si>
  <si>
    <t>flows_all[collection]</t>
  </si>
  <si>
    <t>flows_all[ use]</t>
  </si>
  <si>
    <t>flows_all[manufacturing]</t>
  </si>
  <si>
    <t>pre_rec</t>
  </si>
  <si>
    <t>prod_virgin</t>
  </si>
  <si>
    <t>post_rec</t>
  </si>
  <si>
    <t>node number</t>
  </si>
  <si>
    <t>node placement</t>
  </si>
  <si>
    <t>unit</t>
  </si>
  <si>
    <t>kt/year</t>
  </si>
  <si>
    <t>tc</t>
  </si>
  <si>
    <t>Partitioning</t>
  </si>
  <si>
    <t>Partitioning of recycled material to other materials. Matrix form.</t>
  </si>
  <si>
    <t>list of materials</t>
  </si>
  <si>
    <t xml:space="preserve">growth_rate
lifetime_years
sd_lifetime
stock_year_0
import_year_0
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</si>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</sst>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6" fillId="0" borderId="3" xfId="3" applyBorder="1" applyAlignment="1">
      <alignment vertical="center"/>
    </xf>
    <xf numFmtId="0" fontId="6" fillId="0" borderId="3" xfId="3" applyBorder="1"/>
    <xf numFmtId="0" fontId="3" fillId="0" borderId="0" xfId="2" applyBorder="1" applyAlignment="1"/>
    <xf numFmtId="1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16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2" fontId="0" fillId="13" borderId="0" xfId="0" applyNumberFormat="1" applyFill="1"/>
    <xf numFmtId="0" fontId="2" fillId="0" borderId="0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Link" xfId="3" builtinId="8"/>
    <cellStyle name="Normal" xfId="0" builtinId="0"/>
    <cellStyle name="Overskrift 1" xfId="1" builtinId="16"/>
    <cellStyle name="Overskrift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8918</xdr:colOff>
      <xdr:row>0</xdr:row>
      <xdr:rowOff>157264</xdr:rowOff>
    </xdr:from>
    <xdr:to>
      <xdr:col>21</xdr:col>
      <xdr:colOff>354702</xdr:colOff>
      <xdr:row>30</xdr:row>
      <xdr:rowOff>160909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B60AE30-B2BC-0D49-99E3-1A104826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1578" y="157264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10</xdr:col>
      <xdr:colOff>445851</xdr:colOff>
      <xdr:row>31</xdr:row>
      <xdr:rowOff>54044</xdr:rowOff>
    </xdr:from>
    <xdr:to>
      <xdr:col>19</xdr:col>
      <xdr:colOff>800911</xdr:colOff>
      <xdr:row>54</xdr:row>
      <xdr:rowOff>64468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C71066F4-50AF-DF44-9534-262165431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0213" y="5917661"/>
          <a:ext cx="7772400" cy="436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454771</xdr:colOff>
      <xdr:row>1</xdr:row>
      <xdr:rowOff>22157</xdr:rowOff>
    </xdr:from>
    <xdr:to>
      <xdr:col>24</xdr:col>
      <xdr:colOff>800554</xdr:colOff>
      <xdr:row>31</xdr:row>
      <xdr:rowOff>25802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AECE718-FAE3-AC49-B7A3-8BC1E7AB8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29558" y="211306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13</xdr:col>
      <xdr:colOff>54043</xdr:colOff>
      <xdr:row>37</xdr:row>
      <xdr:rowOff>1</xdr:rowOff>
    </xdr:from>
    <xdr:to>
      <xdr:col>22</xdr:col>
      <xdr:colOff>571230</xdr:colOff>
      <xdr:row>60</xdr:row>
      <xdr:rowOff>10426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2F7E5A6-B747-4C4F-ACB1-E7195130C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5213" y="6241916"/>
          <a:ext cx="7772400" cy="4360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792535</xdr:colOff>
      <xdr:row>1</xdr:row>
      <xdr:rowOff>62690</xdr:rowOff>
    </xdr:from>
    <xdr:to>
      <xdr:col>17</xdr:col>
      <xdr:colOff>314170</xdr:colOff>
      <xdr:row>31</xdr:row>
      <xdr:rowOff>66335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E14A7F6-24A0-6A43-9141-E9B3BDEC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2109" y="251839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33</xdr:row>
      <xdr:rowOff>13512</xdr:rowOff>
    </xdr:from>
    <xdr:to>
      <xdr:col>17</xdr:col>
      <xdr:colOff>382081</xdr:colOff>
      <xdr:row>56</xdr:row>
      <xdr:rowOff>23937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ED4BE414-95CC-824C-97F5-5443B6365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60744" y="6255427"/>
          <a:ext cx="7772400" cy="4360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558800</xdr:colOff>
      <xdr:row>11</xdr:row>
      <xdr:rowOff>114300</xdr:rowOff>
    </xdr:from>
    <xdr:to>
      <xdr:col>20</xdr:col>
      <xdr:colOff>76200</xdr:colOff>
      <xdr:row>34</xdr:row>
      <xdr:rowOff>93650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73831D10-80C8-8A4C-BC85-B7B979CEB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2209800"/>
          <a:ext cx="7772400" cy="4360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211576</xdr:colOff>
      <xdr:row>1</xdr:row>
      <xdr:rowOff>49179</xdr:rowOff>
    </xdr:from>
    <xdr:to>
      <xdr:col>24</xdr:col>
      <xdr:colOff>557359</xdr:colOff>
      <xdr:row>31</xdr:row>
      <xdr:rowOff>52824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8E037E1-027A-C64C-AFD6-7AF06531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959" y="238328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15</xdr:col>
      <xdr:colOff>189147</xdr:colOff>
      <xdr:row>19</xdr:row>
      <xdr:rowOff>162128</xdr:rowOff>
    </xdr:from>
    <xdr:to>
      <xdr:col>24</xdr:col>
      <xdr:colOff>544206</xdr:colOff>
      <xdr:row>42</xdr:row>
      <xdr:rowOff>172553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E965763-10AE-5167-03A6-8F65F30A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5530" y="3755958"/>
          <a:ext cx="7772400" cy="4360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792535</xdr:colOff>
      <xdr:row>1</xdr:row>
      <xdr:rowOff>62690</xdr:rowOff>
    </xdr:from>
    <xdr:to>
      <xdr:col>17</xdr:col>
      <xdr:colOff>314170</xdr:colOff>
      <xdr:row>31</xdr:row>
      <xdr:rowOff>66335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B70C7EAD-0EF3-7F42-AFAD-340C1778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5835" y="253190"/>
          <a:ext cx="7776635" cy="5718645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33</xdr:row>
      <xdr:rowOff>13512</xdr:rowOff>
    </xdr:from>
    <xdr:to>
      <xdr:col>17</xdr:col>
      <xdr:colOff>382081</xdr:colOff>
      <xdr:row>56</xdr:row>
      <xdr:rowOff>23937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38C7EBED-4575-3D45-99EF-20C4EE3D2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5821" y="6300012"/>
          <a:ext cx="7784560" cy="439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DDA3-50B4-3045-A384-4B9C4B8C647E}">
  <sheetPr>
    <tabColor theme="8"/>
  </sheetPr>
  <dimension ref="B2:D9"/>
  <sheetViews>
    <sheetView workbookViewId="0">
      <selection activeCell="B4" sqref="B4:D9"/>
    </sheetView>
  </sheetViews>
  <sheetFormatPr baseColWidth="10" defaultRowHeight="15" x14ac:dyDescent="0.2"/>
  <cols>
    <col min="2" max="2" width="12.6640625" bestFit="1" customWidth="1"/>
    <col min="3" max="3" width="33.6640625" bestFit="1" customWidth="1"/>
    <col min="4" max="4" width="24.5" bestFit="1" customWidth="1"/>
    <col min="5" max="5" width="16.5" customWidth="1"/>
  </cols>
  <sheetData>
    <row r="2" spans="2:4" ht="52" customHeight="1" x14ac:dyDescent="0.25">
      <c r="B2" s="40" t="s">
        <v>19</v>
      </c>
      <c r="C2" s="40"/>
      <c r="D2" s="40"/>
    </row>
    <row r="4" spans="2:4" ht="17" x14ac:dyDescent="0.2">
      <c r="B4" s="9" t="s">
        <v>20</v>
      </c>
      <c r="C4" s="9" t="s">
        <v>29</v>
      </c>
      <c r="D4" s="14" t="s">
        <v>34</v>
      </c>
    </row>
    <row r="5" spans="2:4" ht="80" x14ac:dyDescent="0.2">
      <c r="B5" s="12" t="s">
        <v>21</v>
      </c>
      <c r="C5" s="11" t="s">
        <v>30</v>
      </c>
      <c r="D5" s="11" t="s">
        <v>35</v>
      </c>
    </row>
    <row r="6" spans="2:4" ht="64" x14ac:dyDescent="0.2">
      <c r="B6" s="13" t="s">
        <v>151</v>
      </c>
      <c r="C6" s="11" t="s">
        <v>31</v>
      </c>
      <c r="D6" s="11" t="s">
        <v>36</v>
      </c>
    </row>
    <row r="7" spans="2:4" ht="32" x14ac:dyDescent="0.2">
      <c r="B7" s="13" t="s">
        <v>152</v>
      </c>
      <c r="C7" s="11" t="s">
        <v>153</v>
      </c>
      <c r="D7" s="11" t="s">
        <v>154</v>
      </c>
    </row>
    <row r="8" spans="2:4" ht="96" x14ac:dyDescent="0.2">
      <c r="B8" s="13" t="s">
        <v>22</v>
      </c>
      <c r="C8" s="11" t="s">
        <v>32</v>
      </c>
      <c r="D8" s="11" t="s">
        <v>155</v>
      </c>
    </row>
    <row r="9" spans="2:4" ht="48" x14ac:dyDescent="0.2">
      <c r="B9" s="13" t="s">
        <v>23</v>
      </c>
      <c r="C9" s="11" t="s">
        <v>33</v>
      </c>
      <c r="D9" s="10"/>
    </row>
  </sheetData>
  <mergeCells count="1">
    <mergeCell ref="B2:D2"/>
  </mergeCells>
  <hyperlinks>
    <hyperlink ref="B5" location="system!A1" display="system " xr:uid="{C566D046-1C53-9643-A9AD-DC3CD1D2BA8B}"/>
    <hyperlink ref="B6" location="tc!A1" display="tc" xr:uid="{0EFB5076-41E9-C949-A234-66601B0DE00D}"/>
    <hyperlink ref="B7" location="partitioning!A1" display="Partitioning" xr:uid="{1FBAA0C5-928E-2C41-8959-4C9863AF181A}"/>
    <hyperlink ref="B8" location="parameters!A1" display="parameters" xr:uid="{0CC23751-EDE7-554A-B2CC-7E8636B72EE3}"/>
    <hyperlink ref="B9" location="hist!A1" display="hist " xr:uid="{F6B2C5FD-4146-F14D-AA1F-56F6B32218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959-7D7D-9249-979C-F32B973761E3}">
  <sheetPr>
    <tabColor theme="9" tint="0.79998168889431442"/>
  </sheetPr>
  <dimension ref="A1:I6"/>
  <sheetViews>
    <sheetView workbookViewId="0">
      <selection activeCell="D10" sqref="D10"/>
    </sheetView>
  </sheetViews>
  <sheetFormatPr baseColWidth="10" defaultRowHeight="15" x14ac:dyDescent="0.2"/>
  <cols>
    <col min="1" max="1" width="21.1640625" bestFit="1" customWidth="1"/>
    <col min="2" max="2" width="13" bestFit="1" customWidth="1"/>
  </cols>
  <sheetData>
    <row r="1" spans="1:9" x14ac:dyDescent="0.2">
      <c r="A1" t="s">
        <v>18</v>
      </c>
      <c r="B1" t="s">
        <v>24</v>
      </c>
      <c r="C1" t="s">
        <v>25</v>
      </c>
      <c r="D1" t="s">
        <v>149</v>
      </c>
      <c r="E1" t="s">
        <v>26</v>
      </c>
      <c r="F1" t="s">
        <v>16</v>
      </c>
    </row>
    <row r="2" spans="1:9" x14ac:dyDescent="0.2">
      <c r="A2" t="s">
        <v>73</v>
      </c>
      <c r="B2">
        <v>2019</v>
      </c>
      <c r="C2">
        <v>2030</v>
      </c>
      <c r="D2" t="s">
        <v>150</v>
      </c>
      <c r="E2" s="2" t="s">
        <v>76</v>
      </c>
      <c r="F2" t="s">
        <v>17</v>
      </c>
      <c r="H2" s="2"/>
    </row>
    <row r="3" spans="1:9" x14ac:dyDescent="0.2">
      <c r="F3" s="2"/>
      <c r="G3" s="2"/>
      <c r="H3" s="2"/>
    </row>
    <row r="4" spans="1:9" x14ac:dyDescent="0.2">
      <c r="E4" s="2"/>
    </row>
    <row r="5" spans="1:9" x14ac:dyDescent="0.2">
      <c r="H5" s="2"/>
      <c r="I5" s="2"/>
    </row>
    <row r="6" spans="1:9" x14ac:dyDescent="0.2">
      <c r="C6" s="2"/>
      <c r="H6" s="2"/>
      <c r="I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AC2-0E6E-1943-B6B7-BDED7D37451F}">
  <sheetPr>
    <tabColor theme="9" tint="0.79998168889431442"/>
  </sheetPr>
  <dimension ref="A1:F10"/>
  <sheetViews>
    <sheetView workbookViewId="0">
      <selection activeCell="E18" sqref="E18"/>
    </sheetView>
  </sheetViews>
  <sheetFormatPr baseColWidth="10" defaultRowHeight="15" x14ac:dyDescent="0.2"/>
  <cols>
    <col min="2" max="2" width="10.5" bestFit="1" customWidth="1"/>
    <col min="3" max="3" width="11.6640625" bestFit="1" customWidth="1"/>
    <col min="4" max="4" width="13" bestFit="1" customWidth="1"/>
  </cols>
  <sheetData>
    <row r="1" spans="1:6" x14ac:dyDescent="0.2">
      <c r="A1" t="s">
        <v>14</v>
      </c>
      <c r="B1" t="s">
        <v>5</v>
      </c>
      <c r="C1" t="s">
        <v>9</v>
      </c>
      <c r="D1" t="s">
        <v>15</v>
      </c>
      <c r="E1" t="s">
        <v>57</v>
      </c>
      <c r="F1" t="s">
        <v>91</v>
      </c>
    </row>
    <row r="2" spans="1:6" x14ac:dyDescent="0.2">
      <c r="A2" t="s">
        <v>156</v>
      </c>
      <c r="B2">
        <v>2.5000000000000001E-2</v>
      </c>
      <c r="C2">
        <v>0.5</v>
      </c>
      <c r="D2">
        <v>0.1</v>
      </c>
      <c r="E2" s="1">
        <f>'stock release'!G17</f>
        <v>166.58673202789217</v>
      </c>
      <c r="F2">
        <v>0</v>
      </c>
    </row>
    <row r="3" spans="1:6" x14ac:dyDescent="0.2">
      <c r="A3" s="3" t="s">
        <v>157</v>
      </c>
      <c r="B3">
        <v>2.4E-2</v>
      </c>
      <c r="C3">
        <v>0.5</v>
      </c>
      <c r="D3">
        <v>0.1</v>
      </c>
      <c r="E3" s="1">
        <f>'stock release'!O17</f>
        <v>674.2795933990019</v>
      </c>
      <c r="F3">
        <v>0</v>
      </c>
    </row>
    <row r="4" spans="1:6" x14ac:dyDescent="0.2">
      <c r="A4" s="3" t="s">
        <v>158</v>
      </c>
      <c r="B4">
        <v>3.5999999999999997E-2</v>
      </c>
      <c r="C4">
        <v>0.5</v>
      </c>
      <c r="D4">
        <v>0.1</v>
      </c>
      <c r="E4" s="1">
        <f>'stock release'!W17</f>
        <v>1348.5591867980038</v>
      </c>
      <c r="F4">
        <v>0</v>
      </c>
    </row>
    <row r="5" spans="1:6" x14ac:dyDescent="0.2">
      <c r="A5" s="3" t="s">
        <v>159</v>
      </c>
      <c r="B5">
        <v>2.5000000000000001E-2</v>
      </c>
      <c r="C5">
        <v>0.5</v>
      </c>
      <c r="D5">
        <v>0.1</v>
      </c>
      <c r="E5" s="1">
        <f>'stock release'!AE17</f>
        <v>158.65402197623575</v>
      </c>
      <c r="F5">
        <v>0</v>
      </c>
    </row>
    <row r="6" spans="1:6" x14ac:dyDescent="0.2">
      <c r="A6" s="3" t="s">
        <v>160</v>
      </c>
      <c r="B6">
        <v>2.4E-2</v>
      </c>
      <c r="C6">
        <v>0.5</v>
      </c>
      <c r="D6">
        <v>0.1</v>
      </c>
      <c r="E6" s="1">
        <f>'stock release'!AM17</f>
        <v>1031.2511428455318</v>
      </c>
      <c r="F6">
        <v>0</v>
      </c>
    </row>
    <row r="7" spans="1:6" x14ac:dyDescent="0.2">
      <c r="A7" s="3" t="s">
        <v>161</v>
      </c>
      <c r="B7">
        <v>3.5999999999999997E-2</v>
      </c>
      <c r="C7">
        <v>0.5</v>
      </c>
      <c r="D7">
        <v>0.1</v>
      </c>
      <c r="E7" s="1">
        <f>'stock release'!AU17</f>
        <v>515.62557142276592</v>
      </c>
      <c r="F7">
        <v>0</v>
      </c>
    </row>
    <row r="8" spans="1:6" x14ac:dyDescent="0.2">
      <c r="A8" s="3" t="s">
        <v>11</v>
      </c>
      <c r="B8">
        <v>4.8000000000000001E-2</v>
      </c>
      <c r="C8">
        <v>5</v>
      </c>
      <c r="D8">
        <v>1.5</v>
      </c>
      <c r="E8" s="1">
        <f>'stock release'!O42</f>
        <v>14056.652237703169</v>
      </c>
      <c r="F8">
        <v>1035.0999999999999</v>
      </c>
    </row>
    <row r="9" spans="1:6" x14ac:dyDescent="0.2">
      <c r="A9" s="3"/>
    </row>
    <row r="10" spans="1:6" x14ac:dyDescent="0.2">
      <c r="A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722-C130-6440-8C89-53566397ECB3}">
  <sheetPr>
    <tabColor theme="9" tint="0.79998168889431442"/>
  </sheetPr>
  <dimension ref="A1:AE30"/>
  <sheetViews>
    <sheetView workbookViewId="0"/>
  </sheetViews>
  <sheetFormatPr baseColWidth="10" defaultRowHeight="15" x14ac:dyDescent="0.2"/>
  <cols>
    <col min="2" max="5" width="5.6640625" bestFit="1" customWidth="1"/>
    <col min="6" max="30" width="6.6640625" bestFit="1" customWidth="1"/>
  </cols>
  <sheetData>
    <row r="1" spans="1:31" x14ac:dyDescent="0.2">
      <c r="A1" t="str">
        <f>parameters!A1</f>
        <v>Product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/>
    </row>
    <row r="2" spans="1:31" x14ac:dyDescent="0.2">
      <c r="A2" s="6" t="str">
        <f>parameters!A2</f>
        <v>Food packaging 2d</v>
      </c>
      <c r="B2" s="17">
        <v>85.262722852512184</v>
      </c>
      <c r="C2" s="17">
        <v>86.995705024311206</v>
      </c>
      <c r="D2" s="17">
        <v>85.262722852512184</v>
      </c>
      <c r="E2" s="17">
        <v>91.848055105348493</v>
      </c>
      <c r="F2" s="17">
        <v>91.154862236628873</v>
      </c>
      <c r="G2" s="17">
        <v>94.620826580226932</v>
      </c>
      <c r="H2" s="17">
        <v>101.89935170178283</v>
      </c>
      <c r="I2" s="17">
        <v>106.75170178282012</v>
      </c>
      <c r="J2" s="17">
        <v>112.64384116693682</v>
      </c>
      <c r="K2" s="17">
        <v>120.26896272285255</v>
      </c>
      <c r="L2" s="17">
        <v>125.46790923824963</v>
      </c>
      <c r="M2" s="17">
        <v>87.144246353322544</v>
      </c>
      <c r="N2" s="17">
        <v>99.522690437601312</v>
      </c>
      <c r="O2" s="17">
        <v>103.97893030794168</v>
      </c>
      <c r="P2" s="17">
        <v>111.90113452188007</v>
      </c>
      <c r="Q2" s="17">
        <v>125.26985413290114</v>
      </c>
      <c r="R2" s="17">
        <v>171.56523500810377</v>
      </c>
      <c r="S2" s="17">
        <v>168.09927066450572</v>
      </c>
      <c r="T2" s="17">
        <v>178.24959481361429</v>
      </c>
      <c r="U2" s="17">
        <v>137.84635332252836</v>
      </c>
      <c r="V2" s="17">
        <v>151.2645867098866</v>
      </c>
      <c r="W2" s="17">
        <v>147.72435170178284</v>
      </c>
      <c r="X2" s="17">
        <v>158.18166126418154</v>
      </c>
      <c r="Y2" s="17">
        <v>165.67309562398708</v>
      </c>
      <c r="Z2" s="17">
        <v>172.25842787682336</v>
      </c>
      <c r="AA2" s="17">
        <v>182.83457050243112</v>
      </c>
      <c r="AB2" s="17">
        <v>187.59779578606162</v>
      </c>
      <c r="AC2" s="17">
        <v>195.2031118314425</v>
      </c>
      <c r="AD2" s="17">
        <v>198.31752836304705</v>
      </c>
      <c r="AE2" s="1"/>
    </row>
    <row r="3" spans="1:31" x14ac:dyDescent="0.2">
      <c r="A3" s="6" t="str">
        <f>parameters!A3</f>
        <v>Food packaging bottles</v>
      </c>
      <c r="B3" s="17">
        <v>289.89325769854139</v>
      </c>
      <c r="C3" s="17">
        <v>295.78539708265811</v>
      </c>
      <c r="D3" s="17">
        <v>289.89325769854139</v>
      </c>
      <c r="E3" s="17">
        <v>312.28338735818483</v>
      </c>
      <c r="F3" s="17">
        <v>309.92653160453813</v>
      </c>
      <c r="G3" s="17">
        <v>321.71081037277156</v>
      </c>
      <c r="H3" s="17">
        <v>346.45779578606169</v>
      </c>
      <c r="I3" s="17">
        <v>362.95578606158841</v>
      </c>
      <c r="J3" s="17">
        <v>382.98905996758521</v>
      </c>
      <c r="K3" s="17">
        <v>408.91447325769872</v>
      </c>
      <c r="L3" s="17">
        <v>426.59089141004876</v>
      </c>
      <c r="M3" s="17">
        <v>296.29043760129662</v>
      </c>
      <c r="N3" s="17">
        <v>338.37714748784447</v>
      </c>
      <c r="O3" s="17">
        <v>353.52836304700168</v>
      </c>
      <c r="P3" s="17">
        <v>380.46385737439226</v>
      </c>
      <c r="Q3" s="17">
        <v>425.91750405186394</v>
      </c>
      <c r="R3" s="17">
        <v>583.32179902755286</v>
      </c>
      <c r="S3" s="17">
        <v>571.53752025931942</v>
      </c>
      <c r="T3" s="17">
        <v>606.04862236628867</v>
      </c>
      <c r="U3" s="17">
        <v>468.67760129659649</v>
      </c>
      <c r="V3" s="17">
        <v>514.29959481361448</v>
      </c>
      <c r="W3" s="17">
        <v>502.26279578606159</v>
      </c>
      <c r="X3" s="17">
        <v>537.81764829821736</v>
      </c>
      <c r="Y3" s="17">
        <v>563.28852512155606</v>
      </c>
      <c r="Z3" s="17">
        <v>585.67865478119938</v>
      </c>
      <c r="AA3" s="17">
        <v>621.63753970826588</v>
      </c>
      <c r="AB3" s="17">
        <v>637.8325056726095</v>
      </c>
      <c r="AC3" s="17">
        <v>663.69058022690456</v>
      </c>
      <c r="AD3" s="17">
        <v>674.27959643435997</v>
      </c>
      <c r="AE3" s="1"/>
    </row>
    <row r="4" spans="1:31" x14ac:dyDescent="0.2">
      <c r="A4" s="6" t="str">
        <f>parameters!A4</f>
        <v>Food packaging other</v>
      </c>
      <c r="B4" s="17">
        <v>579.78651539708278</v>
      </c>
      <c r="C4" s="17">
        <v>591.57079416531622</v>
      </c>
      <c r="D4" s="17">
        <v>579.78651539708278</v>
      </c>
      <c r="E4" s="17">
        <v>624.56677471636965</v>
      </c>
      <c r="F4" s="17">
        <v>619.85306320907625</v>
      </c>
      <c r="G4" s="17">
        <v>643.42162074554312</v>
      </c>
      <c r="H4" s="17">
        <v>692.91559157212339</v>
      </c>
      <c r="I4" s="17">
        <v>725.91157212317682</v>
      </c>
      <c r="J4" s="17">
        <v>765.97811993517041</v>
      </c>
      <c r="K4" s="17">
        <v>817.82894651539743</v>
      </c>
      <c r="L4" s="17">
        <v>853.18178282009751</v>
      </c>
      <c r="M4" s="17">
        <v>592.58087520259323</v>
      </c>
      <c r="N4" s="17">
        <v>676.75429497568894</v>
      </c>
      <c r="O4" s="17">
        <v>707.05672609400335</v>
      </c>
      <c r="P4" s="17">
        <v>760.92771474878452</v>
      </c>
      <c r="Q4" s="17">
        <v>851.83500810372789</v>
      </c>
      <c r="R4" s="17">
        <v>1166.6435980551057</v>
      </c>
      <c r="S4" s="17">
        <v>1143.0750405186388</v>
      </c>
      <c r="T4" s="17">
        <v>1212.0972447325773</v>
      </c>
      <c r="U4" s="17">
        <v>937.35520259319298</v>
      </c>
      <c r="V4" s="17">
        <v>1028.599189627229</v>
      </c>
      <c r="W4" s="17">
        <v>1004.5255915721232</v>
      </c>
      <c r="X4" s="17">
        <v>1075.6352965964347</v>
      </c>
      <c r="Y4" s="17">
        <v>1126.5770502431121</v>
      </c>
      <c r="Z4" s="17">
        <v>1171.3573095623988</v>
      </c>
      <c r="AA4" s="17">
        <v>1243.2750794165318</v>
      </c>
      <c r="AB4" s="17">
        <v>1275.665011345219</v>
      </c>
      <c r="AC4" s="17">
        <v>1327.3811604538091</v>
      </c>
      <c r="AD4" s="17">
        <v>1348.5591928687199</v>
      </c>
      <c r="AE4" s="1"/>
    </row>
    <row r="5" spans="1:31" x14ac:dyDescent="0.2">
      <c r="A5" s="6" t="str">
        <f>parameters!A5</f>
        <v>Non-food packaging 2d</v>
      </c>
      <c r="B5" s="17">
        <v>68.21017828200975</v>
      </c>
      <c r="C5" s="17">
        <v>69.596564019448977</v>
      </c>
      <c r="D5" s="17">
        <v>68.21017828200975</v>
      </c>
      <c r="E5" s="17">
        <v>73.478444084278777</v>
      </c>
      <c r="F5" s="17">
        <v>72.92388978930309</v>
      </c>
      <c r="G5" s="17">
        <v>75.696661264181543</v>
      </c>
      <c r="H5" s="17">
        <v>81.519481361426273</v>
      </c>
      <c r="I5" s="17">
        <v>85.401361426256102</v>
      </c>
      <c r="J5" s="17">
        <v>90.11507293354947</v>
      </c>
      <c r="K5" s="17">
        <v>96.215170178282051</v>
      </c>
      <c r="L5" s="17">
        <v>100.3743273905997</v>
      </c>
      <c r="M5" s="17">
        <v>69.715397082658029</v>
      </c>
      <c r="N5" s="17">
        <v>79.618152350081047</v>
      </c>
      <c r="O5" s="17">
        <v>83.183144246353336</v>
      </c>
      <c r="P5" s="17">
        <v>89.520907617504065</v>
      </c>
      <c r="Q5" s="17">
        <v>100.21588330632092</v>
      </c>
      <c r="R5" s="17">
        <v>137.25218800648301</v>
      </c>
      <c r="S5" s="17">
        <v>134.47941653160458</v>
      </c>
      <c r="T5" s="17">
        <v>142.59967585089143</v>
      </c>
      <c r="U5" s="17">
        <v>110.27708265802271</v>
      </c>
      <c r="V5" s="17">
        <v>121.01166936790928</v>
      </c>
      <c r="W5" s="17">
        <v>118.17948136142626</v>
      </c>
      <c r="X5" s="17">
        <v>126.54532901134525</v>
      </c>
      <c r="Y5" s="17">
        <v>132.53847649918964</v>
      </c>
      <c r="Z5" s="17">
        <v>137.80674230145868</v>
      </c>
      <c r="AA5" s="17">
        <v>146.26765640194492</v>
      </c>
      <c r="AB5" s="17">
        <v>150.07823662884931</v>
      </c>
      <c r="AC5" s="17">
        <v>156.16248946515401</v>
      </c>
      <c r="AD5" s="17">
        <v>158.65402269043764</v>
      </c>
    </row>
    <row r="6" spans="1:31" x14ac:dyDescent="0.2">
      <c r="A6" s="6" t="str">
        <f>parameters!A6</f>
        <v>Non-food packaging bottles</v>
      </c>
      <c r="B6" s="17">
        <v>443.36615883306331</v>
      </c>
      <c r="C6" s="17">
        <v>452.37766612641832</v>
      </c>
      <c r="D6" s="17">
        <v>443.36615883306331</v>
      </c>
      <c r="E6" s="17">
        <v>477.6098865478121</v>
      </c>
      <c r="F6" s="17">
        <v>474.0052836304701</v>
      </c>
      <c r="G6" s="17">
        <v>492.02829821718001</v>
      </c>
      <c r="H6" s="17">
        <v>529.87662884927079</v>
      </c>
      <c r="I6" s="17">
        <v>555.10884927066456</v>
      </c>
      <c r="J6" s="17">
        <v>585.74797406807147</v>
      </c>
      <c r="K6" s="17">
        <v>625.39860615883322</v>
      </c>
      <c r="L6" s="17">
        <v>652.43312803889808</v>
      </c>
      <c r="M6" s="17">
        <v>453.15008103727723</v>
      </c>
      <c r="N6" s="17">
        <v>517.51799027552681</v>
      </c>
      <c r="O6" s="17">
        <v>540.69043760129671</v>
      </c>
      <c r="P6" s="17">
        <v>581.88589951377639</v>
      </c>
      <c r="Q6" s="17">
        <v>651.40324149108596</v>
      </c>
      <c r="R6" s="17">
        <v>892.13922204213964</v>
      </c>
      <c r="S6" s="17">
        <v>874.11620745542973</v>
      </c>
      <c r="T6" s="17">
        <v>926.89789303079431</v>
      </c>
      <c r="U6" s="17">
        <v>716.80103727714754</v>
      </c>
      <c r="V6" s="17">
        <v>786.57585089141025</v>
      </c>
      <c r="W6" s="17">
        <v>768.16662884927064</v>
      </c>
      <c r="X6" s="17">
        <v>822.54463857374401</v>
      </c>
      <c r="Y6" s="17">
        <v>861.50009724473273</v>
      </c>
      <c r="Z6" s="17">
        <v>895.74382495948146</v>
      </c>
      <c r="AA6" s="17">
        <v>950.73976661264192</v>
      </c>
      <c r="AB6" s="17">
        <v>975.50853808752049</v>
      </c>
      <c r="AC6" s="17">
        <v>1015.0561815235011</v>
      </c>
      <c r="AD6" s="17">
        <v>1031.2511474878445</v>
      </c>
    </row>
    <row r="7" spans="1:31" x14ac:dyDescent="0.2">
      <c r="A7" s="6" t="str">
        <f>parameters!A7</f>
        <v>Non-food packaging other</v>
      </c>
      <c r="B7" s="17">
        <v>221.68307941653165</v>
      </c>
      <c r="C7" s="17">
        <v>226.18883306320916</v>
      </c>
      <c r="D7" s="17">
        <v>221.68307941653165</v>
      </c>
      <c r="E7" s="17">
        <v>238.80494327390605</v>
      </c>
      <c r="F7" s="17">
        <v>237.00264181523505</v>
      </c>
      <c r="G7" s="17">
        <v>246.01414910859</v>
      </c>
      <c r="H7" s="17">
        <v>264.93831442463539</v>
      </c>
      <c r="I7" s="17">
        <v>277.55442463533228</v>
      </c>
      <c r="J7" s="17">
        <v>292.87398703403574</v>
      </c>
      <c r="K7" s="17">
        <v>312.69930307941661</v>
      </c>
      <c r="L7" s="17">
        <v>326.21656401944904</v>
      </c>
      <c r="M7" s="17">
        <v>226.57504051863862</v>
      </c>
      <c r="N7" s="17">
        <v>258.75899513776341</v>
      </c>
      <c r="O7" s="17">
        <v>270.34521880064835</v>
      </c>
      <c r="P7" s="17">
        <v>290.9429497568882</v>
      </c>
      <c r="Q7" s="17">
        <v>325.70162074554298</v>
      </c>
      <c r="R7" s="17">
        <v>446.06961102106982</v>
      </c>
      <c r="S7" s="17">
        <v>437.05810372771487</v>
      </c>
      <c r="T7" s="17">
        <v>463.44894651539715</v>
      </c>
      <c r="U7" s="17">
        <v>358.40051863857377</v>
      </c>
      <c r="V7" s="17">
        <v>393.28792544570513</v>
      </c>
      <c r="W7" s="17">
        <v>384.08331442463532</v>
      </c>
      <c r="X7" s="17">
        <v>411.272319286872</v>
      </c>
      <c r="Y7" s="17">
        <v>430.75004862236636</v>
      </c>
      <c r="Z7" s="17">
        <v>447.87191247974073</v>
      </c>
      <c r="AA7" s="17">
        <v>475.36988330632096</v>
      </c>
      <c r="AB7" s="17">
        <v>487.75426904376025</v>
      </c>
      <c r="AC7" s="17">
        <v>507.52809076175055</v>
      </c>
      <c r="AD7" s="17">
        <v>515.62557374392225</v>
      </c>
    </row>
    <row r="8" spans="1:31" x14ac:dyDescent="0.2">
      <c r="A8" s="6" t="str">
        <f>parameters!A8</f>
        <v>Fibers</v>
      </c>
      <c r="B8" s="17">
        <v>839.05990796008575</v>
      </c>
      <c r="C8" s="17">
        <v>879.33478354216993</v>
      </c>
      <c r="D8" s="17">
        <v>921.5428531521942</v>
      </c>
      <c r="E8" s="17">
        <v>965.77691010349952</v>
      </c>
      <c r="F8" s="17">
        <v>1012.1342017884676</v>
      </c>
      <c r="G8" s="17">
        <v>1060.716643474314</v>
      </c>
      <c r="H8" s="17">
        <v>1111.6310423610812</v>
      </c>
      <c r="I8" s="17">
        <v>1164.9893323944132</v>
      </c>
      <c r="J8" s="17">
        <v>1220.908820349345</v>
      </c>
      <c r="K8" s="17">
        <v>1279.5124437261136</v>
      </c>
      <c r="L8" s="17">
        <v>1340.9290410249671</v>
      </c>
      <c r="M8" s="17">
        <v>1405.2936349941656</v>
      </c>
      <c r="N8" s="17">
        <v>1472.7477294738856</v>
      </c>
      <c r="O8" s="17">
        <v>1543.439620488632</v>
      </c>
      <c r="P8" s="17">
        <v>1617.5247222720864</v>
      </c>
      <c r="Q8" s="17">
        <v>1695.1659089411467</v>
      </c>
      <c r="R8" s="17">
        <v>1776.5338725703216</v>
      </c>
      <c r="S8" s="17">
        <v>1861.8074984536972</v>
      </c>
      <c r="T8" s="17">
        <v>1951.1742583794746</v>
      </c>
      <c r="U8" s="17">
        <v>2044.8306227816895</v>
      </c>
      <c r="V8" s="17">
        <v>2142.9824926752108</v>
      </c>
      <c r="W8" s="17">
        <v>2245.8456523236209</v>
      </c>
      <c r="X8" s="17">
        <v>2353.6462436351549</v>
      </c>
      <c r="Y8" s="17">
        <v>2466.6212633296427</v>
      </c>
      <c r="Z8" s="17">
        <v>2585.0190839694656</v>
      </c>
      <c r="AA8" s="17">
        <v>2585.0190839694656</v>
      </c>
      <c r="AB8" s="17">
        <v>2585.0190839694656</v>
      </c>
      <c r="AC8" s="17">
        <v>2585.0190839694656</v>
      </c>
      <c r="AD8" s="17">
        <v>2585.0190839694656</v>
      </c>
    </row>
    <row r="9" spans="1:31" x14ac:dyDescent="0.2">
      <c r="A9" s="6"/>
      <c r="B9" s="6"/>
      <c r="C9" s="6"/>
      <c r="D9" s="7"/>
      <c r="E9" s="7"/>
      <c r="G9" s="7"/>
      <c r="H9" s="7"/>
      <c r="I9" s="7"/>
      <c r="J9" s="7"/>
      <c r="K9" s="7"/>
      <c r="L9" s="7"/>
      <c r="M9" s="7"/>
      <c r="N9" s="7"/>
    </row>
    <row r="10" spans="1:31" x14ac:dyDescent="0.2">
      <c r="A10" s="6"/>
      <c r="B10" s="6"/>
      <c r="C10" s="6"/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31" x14ac:dyDescent="0.2">
      <c r="A11" s="6"/>
      <c r="B11" s="6"/>
      <c r="C11" s="6"/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31" x14ac:dyDescent="0.2">
      <c r="A12" s="6"/>
      <c r="B12" s="6"/>
      <c r="C12" s="6"/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31" x14ac:dyDescent="0.2">
      <c r="A13" s="6"/>
      <c r="B13" s="6"/>
      <c r="C13" s="6"/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31" x14ac:dyDescent="0.2">
      <c r="A14" s="6"/>
      <c r="B14" s="6"/>
      <c r="C14" s="6"/>
      <c r="D14" s="7"/>
      <c r="E14" s="7"/>
      <c r="G14" s="7"/>
      <c r="H14" s="7"/>
      <c r="I14" s="7"/>
      <c r="J14" s="7"/>
      <c r="K14" s="7"/>
      <c r="L14" s="7"/>
      <c r="M14" s="7"/>
      <c r="N14" s="7"/>
    </row>
    <row r="15" spans="1:31" x14ac:dyDescent="0.2">
      <c r="A15" s="6"/>
      <c r="B15" s="6"/>
      <c r="C15" s="6"/>
      <c r="D15" s="7"/>
      <c r="E15" s="7"/>
      <c r="G15" s="7"/>
      <c r="H15" s="7"/>
      <c r="I15" s="7"/>
      <c r="J15" s="7"/>
      <c r="K15" s="7"/>
      <c r="L15" s="7"/>
      <c r="M15" s="7"/>
      <c r="N15" s="7"/>
    </row>
    <row r="16" spans="1:31" x14ac:dyDescent="0.2">
      <c r="A16" s="6"/>
      <c r="B16" s="6"/>
      <c r="C16" s="6"/>
      <c r="D16" s="7"/>
      <c r="E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/>
      <c r="B17" s="6"/>
      <c r="C17" s="6"/>
      <c r="D17" s="7"/>
      <c r="E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/>
      <c r="B18" s="6"/>
      <c r="C18" s="6"/>
      <c r="D18" s="7"/>
      <c r="E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/>
      <c r="B19" s="6"/>
      <c r="C19" s="6"/>
      <c r="D19" s="7"/>
      <c r="E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/>
      <c r="B20" s="6"/>
      <c r="C20" s="6"/>
      <c r="D20" s="7"/>
      <c r="E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/>
      <c r="B21" s="6"/>
      <c r="C21" s="6"/>
      <c r="D21" s="7"/>
      <c r="E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/>
      <c r="B22" s="6"/>
      <c r="C22" s="6"/>
      <c r="D22" s="7"/>
      <c r="E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/>
      <c r="B23" s="6"/>
      <c r="C23" s="6"/>
      <c r="D23" s="7"/>
      <c r="E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/>
      <c r="B24" s="6"/>
      <c r="C24" s="6"/>
      <c r="D24" s="7"/>
      <c r="E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/>
      <c r="B25" s="6"/>
      <c r="C25" s="6"/>
      <c r="D25" s="7"/>
      <c r="E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/>
      <c r="B26" s="6"/>
      <c r="C26" s="6"/>
      <c r="D26" s="7"/>
      <c r="E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/>
      <c r="B27" s="6"/>
      <c r="C27" s="6"/>
      <c r="D27" s="7"/>
      <c r="E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6"/>
      <c r="B28" s="6"/>
      <c r="C28" s="6"/>
      <c r="D28" s="7"/>
      <c r="E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6"/>
      <c r="C29" s="6"/>
      <c r="D29" s="7"/>
      <c r="E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6"/>
      <c r="C30" s="6"/>
      <c r="D30" s="7"/>
      <c r="E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74D-F1FA-7844-9610-5B98EE45DE25}">
  <sheetPr>
    <tabColor theme="9" tint="0.79998168889431442"/>
  </sheetPr>
  <dimension ref="A1:N127"/>
  <sheetViews>
    <sheetView zoomScale="139" zoomScaleNormal="139" workbookViewId="0">
      <pane ySplit="1" topLeftCell="A2" activePane="bottomLeft" state="frozen"/>
      <selection pane="bottomLeft" activeCell="G24" sqref="G24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9.33203125" customWidth="1"/>
  </cols>
  <sheetData>
    <row r="1" spans="1:14" x14ac:dyDescent="0.2">
      <c r="A1" t="s">
        <v>112</v>
      </c>
      <c r="B1" t="s">
        <v>97</v>
      </c>
      <c r="C1" t="s">
        <v>96</v>
      </c>
      <c r="D1" t="str">
        <f>parameters!A2</f>
        <v>Food packaging 2d</v>
      </c>
      <c r="E1" s="1" t="str">
        <f>parameters!A3</f>
        <v>Food packaging bottles</v>
      </c>
      <c r="F1" s="1" t="str">
        <f>parameters!A4</f>
        <v>Food packaging other</v>
      </c>
      <c r="G1" s="1" t="str">
        <f>parameters!A5</f>
        <v>Non-food packaging 2d</v>
      </c>
      <c r="H1" s="1" t="str">
        <f>parameters!A6</f>
        <v>Non-food packaging bottles</v>
      </c>
      <c r="I1" s="1" t="str">
        <f>parameters!A7</f>
        <v>Non-food packaging other</v>
      </c>
      <c r="J1" s="1" t="str">
        <f>parameters!A8</f>
        <v>Fibers</v>
      </c>
    </row>
    <row r="2" spans="1:14" x14ac:dyDescent="0.2">
      <c r="A2">
        <v>1</v>
      </c>
      <c r="B2" t="s">
        <v>69</v>
      </c>
      <c r="C2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4" x14ac:dyDescent="0.2">
      <c r="A3">
        <v>2</v>
      </c>
      <c r="B3" t="s">
        <v>2</v>
      </c>
      <c r="C3" t="s">
        <v>70</v>
      </c>
      <c r="D3">
        <v>0.84</v>
      </c>
      <c r="E3">
        <v>0.84</v>
      </c>
      <c r="F3" s="2">
        <v>0.84</v>
      </c>
      <c r="G3" s="2">
        <v>0.84</v>
      </c>
      <c r="H3" s="2">
        <v>0.84</v>
      </c>
      <c r="I3" s="2">
        <v>0.84</v>
      </c>
      <c r="J3" s="2">
        <v>0.93</v>
      </c>
    </row>
    <row r="4" spans="1:14" x14ac:dyDescent="0.2">
      <c r="A4">
        <v>3</v>
      </c>
      <c r="B4" t="s">
        <v>2</v>
      </c>
      <c r="C4" t="s">
        <v>114</v>
      </c>
      <c r="D4">
        <v>0.08</v>
      </c>
      <c r="E4">
        <v>0.08</v>
      </c>
      <c r="F4" s="2">
        <v>0.08</v>
      </c>
      <c r="G4" s="2">
        <v>0.08</v>
      </c>
      <c r="H4" s="2">
        <v>0.08</v>
      </c>
      <c r="I4" s="2">
        <v>0.08</v>
      </c>
      <c r="J4" s="2">
        <v>7.0000000000000007E-2</v>
      </c>
    </row>
    <row r="5" spans="1:14" x14ac:dyDescent="0.2">
      <c r="A5">
        <v>4</v>
      </c>
      <c r="B5" t="s">
        <v>2</v>
      </c>
      <c r="C5" t="s">
        <v>83</v>
      </c>
      <c r="D5" s="2">
        <v>0.08</v>
      </c>
      <c r="E5" s="2">
        <v>0.08</v>
      </c>
      <c r="F5" s="2">
        <v>0.08</v>
      </c>
      <c r="G5" s="2">
        <v>0.08</v>
      </c>
      <c r="H5" s="2">
        <v>0.08</v>
      </c>
      <c r="I5" s="2">
        <v>0.08</v>
      </c>
      <c r="J5" s="2">
        <v>0</v>
      </c>
      <c r="M5" s="21"/>
    </row>
    <row r="6" spans="1:14" x14ac:dyDescent="0.2">
      <c r="A6">
        <v>5</v>
      </c>
      <c r="B6" t="s">
        <v>70</v>
      </c>
      <c r="C6" t="s">
        <v>92</v>
      </c>
      <c r="D6" s="39">
        <v>0.9</v>
      </c>
      <c r="E6" s="39">
        <v>0.9</v>
      </c>
      <c r="F6" s="39">
        <v>0.9</v>
      </c>
      <c r="G6" s="39">
        <v>0.9</v>
      </c>
      <c r="H6" s="39">
        <v>0.9</v>
      </c>
      <c r="I6" s="39">
        <v>0.9</v>
      </c>
      <c r="J6" s="39">
        <v>0.9</v>
      </c>
    </row>
    <row r="7" spans="1:14" x14ac:dyDescent="0.2">
      <c r="A7">
        <v>6</v>
      </c>
      <c r="B7" t="s">
        <v>70</v>
      </c>
      <c r="C7" t="s">
        <v>82</v>
      </c>
      <c r="D7" s="39">
        <v>0.1</v>
      </c>
      <c r="E7" s="39">
        <v>0.1</v>
      </c>
      <c r="F7" s="39">
        <v>0.1</v>
      </c>
      <c r="G7" s="39">
        <v>0.1</v>
      </c>
      <c r="H7" s="39">
        <v>0.1</v>
      </c>
      <c r="I7" s="39">
        <v>0.1</v>
      </c>
      <c r="J7" s="39">
        <v>0.1</v>
      </c>
      <c r="M7" s="21"/>
    </row>
    <row r="8" spans="1:14" x14ac:dyDescent="0.2">
      <c r="A8">
        <v>7</v>
      </c>
      <c r="B8" t="s">
        <v>92</v>
      </c>
      <c r="C8" t="s">
        <v>71</v>
      </c>
      <c r="D8" s="2">
        <v>0.71</v>
      </c>
      <c r="E8" s="2">
        <v>0.71</v>
      </c>
      <c r="F8" s="2">
        <v>0.71</v>
      </c>
      <c r="G8" s="2">
        <v>0.71</v>
      </c>
      <c r="H8" s="2">
        <v>0.71</v>
      </c>
      <c r="I8" s="2">
        <v>0.71</v>
      </c>
      <c r="J8" s="2">
        <v>0.91</v>
      </c>
      <c r="K8" s="21"/>
    </row>
    <row r="9" spans="1:14" x14ac:dyDescent="0.2">
      <c r="A9">
        <v>8</v>
      </c>
      <c r="B9" t="s">
        <v>92</v>
      </c>
      <c r="C9" t="s">
        <v>83</v>
      </c>
      <c r="D9" s="2">
        <v>0.28999999999999998</v>
      </c>
      <c r="E9" s="2">
        <v>0.28999999999999998</v>
      </c>
      <c r="F9" s="2">
        <v>0.28999999999999998</v>
      </c>
      <c r="G9" s="2">
        <v>0.28999999999999998</v>
      </c>
      <c r="H9" s="2">
        <v>0.28999999999999998</v>
      </c>
      <c r="I9" s="2">
        <v>0.28999999999999998</v>
      </c>
      <c r="J9" s="2">
        <v>0.09</v>
      </c>
      <c r="K9" s="21"/>
      <c r="L9" s="21"/>
    </row>
    <row r="10" spans="1:14" x14ac:dyDescent="0.2">
      <c r="A10">
        <v>9</v>
      </c>
      <c r="B10" t="s">
        <v>82</v>
      </c>
      <c r="C10" t="s">
        <v>4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0.4</v>
      </c>
      <c r="J10" s="2">
        <v>0.4</v>
      </c>
    </row>
    <row r="11" spans="1:14" x14ac:dyDescent="0.2">
      <c r="A11">
        <v>10</v>
      </c>
      <c r="B11" t="s">
        <v>82</v>
      </c>
      <c r="C11" t="s">
        <v>3</v>
      </c>
      <c r="D11" s="2">
        <v>0.6</v>
      </c>
      <c r="E11" s="2">
        <v>0.6</v>
      </c>
      <c r="F11" s="2">
        <v>0.6</v>
      </c>
      <c r="G11" s="2">
        <v>0.6</v>
      </c>
      <c r="H11" s="2">
        <v>0.6</v>
      </c>
      <c r="I11" s="2">
        <v>0.6</v>
      </c>
      <c r="J11" s="2">
        <v>0.6</v>
      </c>
    </row>
    <row r="12" spans="1:14" x14ac:dyDescent="0.2">
      <c r="A12">
        <v>11</v>
      </c>
      <c r="B12" t="s">
        <v>71</v>
      </c>
      <c r="C12" t="s">
        <v>4</v>
      </c>
      <c r="D12" s="4">
        <v>0.17</v>
      </c>
      <c r="E12" s="2">
        <v>7.0000000000000007E-2</v>
      </c>
      <c r="F12" s="2">
        <v>0.3</v>
      </c>
      <c r="G12" s="2">
        <v>0.17</v>
      </c>
      <c r="H12" s="2">
        <v>7.0000000000000007E-2</v>
      </c>
      <c r="I12" s="2">
        <v>0.3</v>
      </c>
      <c r="J12" s="2">
        <v>0.4</v>
      </c>
      <c r="K12" s="21"/>
      <c r="N12" s="21"/>
    </row>
    <row r="13" spans="1:14" x14ac:dyDescent="0.2">
      <c r="A13">
        <v>12</v>
      </c>
      <c r="B13" t="s">
        <v>71</v>
      </c>
      <c r="C13" t="s">
        <v>3</v>
      </c>
      <c r="D13" s="2">
        <v>0.25</v>
      </c>
      <c r="E13" s="2">
        <v>0.1</v>
      </c>
      <c r="F13" s="2">
        <v>0.46</v>
      </c>
      <c r="G13" s="2">
        <v>0.25</v>
      </c>
      <c r="H13" s="2">
        <v>0.1</v>
      </c>
      <c r="I13" s="2">
        <v>0.46</v>
      </c>
      <c r="J13" s="2">
        <v>0.6</v>
      </c>
    </row>
    <row r="14" spans="1:14" x14ac:dyDescent="0.2">
      <c r="A14">
        <v>13</v>
      </c>
      <c r="B14" t="s">
        <v>71</v>
      </c>
      <c r="C14" t="s">
        <v>72</v>
      </c>
      <c r="D14" s="2">
        <v>0.57999999999999996</v>
      </c>
      <c r="E14" s="2">
        <v>0.83</v>
      </c>
      <c r="F14" s="2">
        <v>0.24</v>
      </c>
      <c r="G14" s="2">
        <v>0.57999999999999996</v>
      </c>
      <c r="H14" s="2">
        <v>0.83</v>
      </c>
      <c r="I14" s="2">
        <v>0.24</v>
      </c>
      <c r="J14" s="2">
        <v>0</v>
      </c>
    </row>
    <row r="15" spans="1:14" x14ac:dyDescent="0.2">
      <c r="A15">
        <v>14</v>
      </c>
      <c r="B15" t="s">
        <v>72</v>
      </c>
      <c r="C15" t="s">
        <v>4</v>
      </c>
      <c r="D15" s="2">
        <v>8.7999999999999995E-2</v>
      </c>
      <c r="E15" s="2">
        <v>6.6000000000000003E-2</v>
      </c>
      <c r="F15" s="2">
        <v>8.7999999999999995E-2</v>
      </c>
      <c r="G15" s="2">
        <v>8.7999999999999995E-2</v>
      </c>
      <c r="H15" s="2">
        <v>6.6000000000000003E-2</v>
      </c>
      <c r="I15" s="2">
        <v>8.7999999999999995E-2</v>
      </c>
      <c r="J15" s="2">
        <v>0</v>
      </c>
    </row>
    <row r="16" spans="1:14" x14ac:dyDescent="0.2">
      <c r="A16">
        <v>15</v>
      </c>
      <c r="B16" t="s">
        <v>72</v>
      </c>
      <c r="C16" t="s">
        <v>3</v>
      </c>
      <c r="D16" s="2">
        <v>0.13500000000000001</v>
      </c>
      <c r="E16" s="2">
        <v>0.10100000000000001</v>
      </c>
      <c r="F16" s="2">
        <v>0.13500000000000001</v>
      </c>
      <c r="G16" s="2">
        <v>0.13500000000000001</v>
      </c>
      <c r="H16" s="2">
        <v>0.10100000000000001</v>
      </c>
      <c r="I16" s="2">
        <v>0.13500000000000001</v>
      </c>
      <c r="J16" s="2">
        <v>0</v>
      </c>
    </row>
    <row r="17" spans="1:10" x14ac:dyDescent="0.2">
      <c r="A17">
        <v>16</v>
      </c>
      <c r="B17" t="s">
        <v>72</v>
      </c>
      <c r="C17" t="s">
        <v>115</v>
      </c>
      <c r="D17" s="2">
        <v>0.77700000000000002</v>
      </c>
      <c r="E17" s="2">
        <v>0.83299999999999996</v>
      </c>
      <c r="F17" s="2">
        <v>0.77700000000000002</v>
      </c>
      <c r="G17" s="2">
        <v>0.77700000000000002</v>
      </c>
      <c r="H17" s="2">
        <v>0.83299999999999996</v>
      </c>
      <c r="I17" s="2">
        <v>0.77700000000000002</v>
      </c>
      <c r="J17" s="2">
        <v>0</v>
      </c>
    </row>
    <row r="18" spans="1:10" x14ac:dyDescent="0.2">
      <c r="A18">
        <v>17</v>
      </c>
      <c r="B18" t="s">
        <v>4</v>
      </c>
      <c r="C18" t="s">
        <v>56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>
        <v>18</v>
      </c>
      <c r="B19" t="s">
        <v>3</v>
      </c>
      <c r="C19" t="s">
        <v>56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">
      <c r="D20" s="2"/>
    </row>
    <row r="23" spans="1:10" x14ac:dyDescent="0.2">
      <c r="D23" s="2"/>
    </row>
    <row r="24" spans="1:10" x14ac:dyDescent="0.2">
      <c r="D24" s="2"/>
    </row>
    <row r="25" spans="1:10" x14ac:dyDescent="0.2">
      <c r="D25" s="2"/>
    </row>
    <row r="26" spans="1:10" x14ac:dyDescent="0.2">
      <c r="D26" s="2"/>
    </row>
    <row r="27" spans="1:10" x14ac:dyDescent="0.2">
      <c r="D27" s="2"/>
    </row>
    <row r="28" spans="1:10" x14ac:dyDescent="0.2">
      <c r="D28" s="2"/>
    </row>
    <row r="29" spans="1:10" x14ac:dyDescent="0.2">
      <c r="D29" s="2"/>
    </row>
    <row r="30" spans="1:10" x14ac:dyDescent="0.2">
      <c r="D30" s="2"/>
    </row>
    <row r="31" spans="1:10" x14ac:dyDescent="0.2">
      <c r="D31" s="2"/>
    </row>
    <row r="32" spans="1:10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</sheetData>
  <dataValidations count="1">
    <dataValidation type="list" allowBlank="1" showInputMessage="1" showErrorMessage="1" sqref="B133:C135" xr:uid="{0CB39005-674E-2849-91D1-42F89BC88EBE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C003CD-B5E7-5449-8D61-0E85E3C472AA}">
          <x14:formula1>
            <xm:f>process_list!$A$2:$A$13</xm:f>
          </x14:formula1>
          <xm:sqref>B2:B127 C20:C127</xm:sqref>
        </x14:dataValidation>
        <x14:dataValidation type="list" allowBlank="1" showInputMessage="1" showErrorMessage="1" xr:uid="{DA447DC3-E946-AA47-92D3-2D83E60C23C0}">
          <x14:formula1>
            <xm:f>parameters!$A$2:$A$8</xm:f>
          </x14:formula1>
          <xm:sqref>A20:A127</xm:sqref>
        </x14:dataValidation>
        <x14:dataValidation type="list" allowBlank="1" showInputMessage="1" showErrorMessage="1" xr:uid="{BB2634AF-A8D9-014A-8E4D-021224BA936D}">
          <x14:formula1>
            <xm:f>process_list!$A$2:$A$14</xm:f>
          </x14:formula1>
          <xm:sqref>C2:C19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8DD-81A5-A64C-B543-C5CB971ADC65}">
  <sheetPr>
    <tabColor theme="9" tint="0.79998168889431442"/>
  </sheetPr>
  <dimension ref="A1:M8"/>
  <sheetViews>
    <sheetView tabSelected="1" workbookViewId="0">
      <selection activeCell="G32" sqref="G32"/>
    </sheetView>
  </sheetViews>
  <sheetFormatPr baseColWidth="10" defaultRowHeight="15" x14ac:dyDescent="0.2"/>
  <cols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tr">
        <f>parameters!A1</f>
        <v>Product</v>
      </c>
      <c r="B1" t="str" cm="1">
        <f t="array" ref="B1:H1">"from_"&amp;""&amp;TRANSPOSE(A2:A8)</f>
        <v>from_Food packaging 2d</v>
      </c>
      <c r="C1" t="str">
        <v>from_Food packaging bottles</v>
      </c>
      <c r="D1" t="str">
        <v>from_Food packaging other</v>
      </c>
      <c r="E1" t="str">
        <v>from_Non-food packaging 2d</v>
      </c>
      <c r="F1" t="str">
        <v>from_Non-food packaging bottles</v>
      </c>
      <c r="G1" t="str">
        <v>from_Non-food packaging other</v>
      </c>
      <c r="H1" t="str">
        <v>from_Fibers</v>
      </c>
    </row>
    <row r="2" spans="1:13" x14ac:dyDescent="0.2">
      <c r="A2" t="str">
        <f>parameters!A2</f>
        <v>Food packaging 2d</v>
      </c>
    </row>
    <row r="3" spans="1:13" x14ac:dyDescent="0.2">
      <c r="A3" t="str">
        <f>parameters!A3</f>
        <v>Food packaging bottles</v>
      </c>
      <c r="C3" s="5">
        <v>0.19700000000000001</v>
      </c>
      <c r="M3" s="2"/>
    </row>
    <row r="4" spans="1:13" x14ac:dyDescent="0.2">
      <c r="A4" t="str">
        <f>parameters!A4</f>
        <v>Food packaging other</v>
      </c>
      <c r="C4">
        <v>0.4</v>
      </c>
      <c r="D4">
        <v>0.9</v>
      </c>
    </row>
    <row r="5" spans="1:13" x14ac:dyDescent="0.2">
      <c r="A5" t="str">
        <f>parameters!A5</f>
        <v>Non-food packaging 2d</v>
      </c>
    </row>
    <row r="6" spans="1:13" x14ac:dyDescent="0.2">
      <c r="A6" t="str">
        <f>parameters!A6</f>
        <v>Non-food packaging bottles</v>
      </c>
      <c r="C6">
        <v>9.8000000000000004E-2</v>
      </c>
      <c r="F6">
        <v>0.29499999999999998</v>
      </c>
    </row>
    <row r="7" spans="1:13" x14ac:dyDescent="0.2">
      <c r="A7" t="str">
        <f>parameters!A7</f>
        <v>Non-food packaging other</v>
      </c>
      <c r="B7">
        <v>1</v>
      </c>
      <c r="C7">
        <v>0.15</v>
      </c>
      <c r="D7">
        <v>0.1</v>
      </c>
      <c r="E7">
        <v>1</v>
      </c>
      <c r="F7">
        <v>0.55000000000000004</v>
      </c>
      <c r="G7">
        <v>1</v>
      </c>
    </row>
    <row r="8" spans="1:13" x14ac:dyDescent="0.2">
      <c r="A8" t="str">
        <f>parameters!A8</f>
        <v>Fibers</v>
      </c>
      <c r="C8">
        <v>0.155</v>
      </c>
      <c r="F8">
        <v>0.155</v>
      </c>
      <c r="H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FF0-FAF4-EF44-A2E9-B60072DD3AFF}">
  <dimension ref="A1:M46"/>
  <sheetViews>
    <sheetView workbookViewId="0">
      <selection activeCell="A14" sqref="A14"/>
    </sheetView>
  </sheetViews>
  <sheetFormatPr baseColWidth="10" defaultRowHeight="15" x14ac:dyDescent="0.2"/>
  <cols>
    <col min="1" max="1" width="23.83203125" bestFit="1" customWidth="1"/>
    <col min="2" max="2" width="12.83203125" bestFit="1" customWidth="1"/>
  </cols>
  <sheetData>
    <row r="1" spans="1:1" x14ac:dyDescent="0.2">
      <c r="A1" t="s">
        <v>93</v>
      </c>
    </row>
    <row r="2" spans="1:1" x14ac:dyDescent="0.2">
      <c r="A2" t="s">
        <v>69</v>
      </c>
    </row>
    <row r="3" spans="1:1" x14ac:dyDescent="0.2">
      <c r="A3" t="s">
        <v>2</v>
      </c>
    </row>
    <row r="4" spans="1:1" x14ac:dyDescent="0.2">
      <c r="A4" t="s">
        <v>70</v>
      </c>
    </row>
    <row r="5" spans="1:1" x14ac:dyDescent="0.2">
      <c r="A5" s="2" t="s">
        <v>92</v>
      </c>
    </row>
    <row r="6" spans="1:1" ht="16" x14ac:dyDescent="0.2">
      <c r="A6" s="21" t="s">
        <v>82</v>
      </c>
    </row>
    <row r="7" spans="1:1" x14ac:dyDescent="0.2">
      <c r="A7" t="s">
        <v>71</v>
      </c>
    </row>
    <row r="8" spans="1:1" x14ac:dyDescent="0.2">
      <c r="A8" t="s">
        <v>4</v>
      </c>
    </row>
    <row r="9" spans="1:1" x14ac:dyDescent="0.2">
      <c r="A9" t="s">
        <v>3</v>
      </c>
    </row>
    <row r="10" spans="1:1" x14ac:dyDescent="0.2">
      <c r="A10" t="s">
        <v>72</v>
      </c>
    </row>
    <row r="11" spans="1:1" x14ac:dyDescent="0.2">
      <c r="A11" t="s">
        <v>83</v>
      </c>
    </row>
    <row r="12" spans="1:1" x14ac:dyDescent="0.2">
      <c r="A12" t="s">
        <v>56</v>
      </c>
    </row>
    <row r="13" spans="1:1" x14ac:dyDescent="0.2">
      <c r="A13" t="s">
        <v>114</v>
      </c>
    </row>
    <row r="14" spans="1:1" x14ac:dyDescent="0.2">
      <c r="A14" t="s">
        <v>115</v>
      </c>
    </row>
    <row r="46" spans="13:13" x14ac:dyDescent="0.2">
      <c r="M46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5DF-B588-4048-893F-7FF8B1959B96}">
  <dimension ref="A1:M29"/>
  <sheetViews>
    <sheetView workbookViewId="0">
      <selection activeCell="F35" sqref="F35"/>
    </sheetView>
  </sheetViews>
  <sheetFormatPr baseColWidth="10" defaultRowHeight="15" x14ac:dyDescent="0.2"/>
  <cols>
    <col min="1" max="1" width="14.33203125" bestFit="1" customWidth="1"/>
    <col min="2" max="2" width="12.5" customWidth="1"/>
    <col min="3" max="3" width="24.33203125" bestFit="1" customWidth="1"/>
    <col min="4" max="4" width="15.33203125" bestFit="1" customWidth="1"/>
    <col min="5" max="5" width="12.5" customWidth="1"/>
    <col min="6" max="6" width="20.6640625" bestFit="1" customWidth="1"/>
    <col min="7" max="8" width="18.33203125" bestFit="1" customWidth="1"/>
    <col min="9" max="9" width="14.83203125" bestFit="1" customWidth="1"/>
    <col min="10" max="10" width="12.5" customWidth="1"/>
  </cols>
  <sheetData>
    <row r="1" spans="1:13" x14ac:dyDescent="0.2">
      <c r="A1" t="s">
        <v>121</v>
      </c>
      <c r="B1" t="s">
        <v>69</v>
      </c>
      <c r="C1" t="s">
        <v>116</v>
      </c>
      <c r="D1" t="s">
        <v>117</v>
      </c>
      <c r="E1" t="s">
        <v>0</v>
      </c>
      <c r="F1" t="s">
        <v>118</v>
      </c>
      <c r="G1" t="s">
        <v>71</v>
      </c>
      <c r="H1" t="s">
        <v>119</v>
      </c>
      <c r="I1" t="s">
        <v>120</v>
      </c>
      <c r="K1" t="s">
        <v>130</v>
      </c>
      <c r="L1" t="s">
        <v>147</v>
      </c>
      <c r="M1" t="s">
        <v>148</v>
      </c>
    </row>
    <row r="2" spans="1:13" x14ac:dyDescent="0.2">
      <c r="K2" t="str">
        <f>B3</f>
        <v>Virgin</v>
      </c>
      <c r="L2">
        <f>B11</f>
        <v>1</v>
      </c>
    </row>
    <row r="3" spans="1:13" x14ac:dyDescent="0.2">
      <c r="A3" t="s">
        <v>130</v>
      </c>
      <c r="B3" t="s">
        <v>122</v>
      </c>
      <c r="C3" t="str">
        <f>parameters!A2</f>
        <v>Food packaging 2d</v>
      </c>
      <c r="D3" t="s">
        <v>70</v>
      </c>
      <c r="E3" t="s">
        <v>78</v>
      </c>
      <c r="F3" t="s">
        <v>126</v>
      </c>
      <c r="G3" t="s">
        <v>71</v>
      </c>
      <c r="H3" t="s">
        <v>72</v>
      </c>
      <c r="I3" t="s">
        <v>128</v>
      </c>
      <c r="K3" t="str">
        <f t="shared" ref="K3:K4" si="0">B4</f>
        <v xml:space="preserve">Recycled </v>
      </c>
      <c r="L3">
        <f t="shared" ref="L3:L4" si="1">B12</f>
        <v>2</v>
      </c>
    </row>
    <row r="4" spans="1:13" x14ac:dyDescent="0.2">
      <c r="B4" t="s">
        <v>123</v>
      </c>
      <c r="C4" t="str">
        <f>parameters!A3</f>
        <v>Food packaging bottles</v>
      </c>
      <c r="D4" t="s">
        <v>125</v>
      </c>
      <c r="F4" t="s">
        <v>127</v>
      </c>
      <c r="G4" t="s">
        <v>83</v>
      </c>
      <c r="H4" t="s">
        <v>3</v>
      </c>
      <c r="I4" t="s">
        <v>129</v>
      </c>
      <c r="K4" t="str">
        <f t="shared" si="0"/>
        <v>Import</v>
      </c>
      <c r="L4">
        <f t="shared" si="1"/>
        <v>3</v>
      </c>
    </row>
    <row r="5" spans="1:13" x14ac:dyDescent="0.2">
      <c r="B5" t="s">
        <v>124</v>
      </c>
      <c r="C5" t="str">
        <f>parameters!A4</f>
        <v>Food packaging other</v>
      </c>
      <c r="H5" t="s">
        <v>4</v>
      </c>
      <c r="K5" t="str">
        <f>C3</f>
        <v>Food packaging 2d</v>
      </c>
      <c r="L5">
        <f>C11</f>
        <v>4</v>
      </c>
    </row>
    <row r="6" spans="1:13" x14ac:dyDescent="0.2">
      <c r="C6" t="str">
        <f>parameters!A5</f>
        <v>Non-food packaging 2d</v>
      </c>
      <c r="K6" t="str">
        <f t="shared" ref="K6:K11" si="2">C4</f>
        <v>Food packaging bottles</v>
      </c>
      <c r="L6">
        <f t="shared" ref="L6:L11" si="3">C12</f>
        <v>5</v>
      </c>
    </row>
    <row r="7" spans="1:13" x14ac:dyDescent="0.2">
      <c r="C7" t="str">
        <f>parameters!A6</f>
        <v>Non-food packaging bottles</v>
      </c>
      <c r="K7" t="str">
        <f t="shared" si="2"/>
        <v>Food packaging other</v>
      </c>
      <c r="L7">
        <f t="shared" si="3"/>
        <v>6</v>
      </c>
    </row>
    <row r="8" spans="1:13" x14ac:dyDescent="0.2">
      <c r="C8" t="str">
        <f>parameters!A7</f>
        <v>Non-food packaging other</v>
      </c>
      <c r="K8" t="str">
        <f t="shared" si="2"/>
        <v>Non-food packaging 2d</v>
      </c>
      <c r="L8">
        <f t="shared" si="3"/>
        <v>7</v>
      </c>
    </row>
    <row r="9" spans="1:13" x14ac:dyDescent="0.2">
      <c r="C9" t="str">
        <f>parameters!A8</f>
        <v>Fibers</v>
      </c>
      <c r="K9" t="str">
        <f t="shared" si="2"/>
        <v>Non-food packaging bottles</v>
      </c>
      <c r="L9">
        <f t="shared" si="3"/>
        <v>8</v>
      </c>
    </row>
    <row r="10" spans="1:13" x14ac:dyDescent="0.2">
      <c r="K10" t="str">
        <f t="shared" si="2"/>
        <v>Non-food packaging other</v>
      </c>
      <c r="L10">
        <f t="shared" si="3"/>
        <v>9</v>
      </c>
    </row>
    <row r="11" spans="1:13" x14ac:dyDescent="0.2">
      <c r="A11" t="s">
        <v>131</v>
      </c>
      <c r="B11">
        <v>1</v>
      </c>
      <c r="C11">
        <v>4</v>
      </c>
      <c r="D11">
        <v>11</v>
      </c>
      <c r="E11">
        <v>13</v>
      </c>
      <c r="F11">
        <v>14</v>
      </c>
      <c r="G11">
        <v>16</v>
      </c>
      <c r="H11">
        <v>18</v>
      </c>
      <c r="I11">
        <v>21</v>
      </c>
      <c r="K11" t="str">
        <f t="shared" si="2"/>
        <v>Fibers</v>
      </c>
      <c r="L11">
        <f t="shared" si="3"/>
        <v>10</v>
      </c>
    </row>
    <row r="12" spans="1:13" x14ac:dyDescent="0.2">
      <c r="B12">
        <v>2</v>
      </c>
      <c r="C12">
        <v>5</v>
      </c>
      <c r="D12">
        <v>12</v>
      </c>
      <c r="F12">
        <v>15</v>
      </c>
      <c r="G12">
        <v>13</v>
      </c>
      <c r="H12">
        <v>19</v>
      </c>
      <c r="I12">
        <v>22</v>
      </c>
    </row>
    <row r="13" spans="1:13" x14ac:dyDescent="0.2">
      <c r="B13">
        <v>3</v>
      </c>
      <c r="C13">
        <v>6</v>
      </c>
      <c r="H13">
        <v>20</v>
      </c>
    </row>
    <row r="14" spans="1:13" x14ac:dyDescent="0.2">
      <c r="C14">
        <v>7</v>
      </c>
    </row>
    <row r="15" spans="1:13" x14ac:dyDescent="0.2">
      <c r="C15">
        <v>8</v>
      </c>
    </row>
    <row r="16" spans="1:13" x14ac:dyDescent="0.2">
      <c r="C16">
        <v>9</v>
      </c>
    </row>
    <row r="17" spans="1:10" x14ac:dyDescent="0.2">
      <c r="C17">
        <v>10</v>
      </c>
    </row>
    <row r="19" spans="1:10" x14ac:dyDescent="0.2">
      <c r="A19" t="s">
        <v>132</v>
      </c>
      <c r="B19">
        <v>0</v>
      </c>
      <c r="C19" s="2">
        <f>1/6</f>
        <v>0.16666666666666666</v>
      </c>
      <c r="D19" s="2">
        <f>2/6</f>
        <v>0.33333333333333331</v>
      </c>
      <c r="E19" s="2">
        <v>0.37</v>
      </c>
      <c r="F19" s="2">
        <f>3/6</f>
        <v>0.5</v>
      </c>
      <c r="G19" s="2">
        <f>4/6</f>
        <v>0.66666666666666663</v>
      </c>
      <c r="H19" s="2">
        <f>5/6</f>
        <v>0.83333333333333337</v>
      </c>
      <c r="I19" s="2">
        <f>6/6</f>
        <v>1</v>
      </c>
      <c r="J19" s="2"/>
    </row>
    <row r="20" spans="1:10" x14ac:dyDescent="0.2">
      <c r="B20">
        <v>0</v>
      </c>
      <c r="C20" s="2">
        <f t="shared" ref="C20:C25" si="4">1/6</f>
        <v>0.16666666666666666</v>
      </c>
      <c r="D20" s="2">
        <f>2/6</f>
        <v>0.33333333333333331</v>
      </c>
      <c r="E20" s="2"/>
      <c r="F20" s="2">
        <f>3/6</f>
        <v>0.5</v>
      </c>
      <c r="G20" s="2">
        <f>4/6</f>
        <v>0.66666666666666663</v>
      </c>
      <c r="H20" s="2">
        <f t="shared" ref="H20:H21" si="5">5.5/6</f>
        <v>0.91666666666666663</v>
      </c>
      <c r="I20" s="2">
        <f>6/6</f>
        <v>1</v>
      </c>
      <c r="J20" s="2"/>
    </row>
    <row r="21" spans="1:10" x14ac:dyDescent="0.2">
      <c r="B21">
        <v>0</v>
      </c>
      <c r="C21" s="2">
        <f t="shared" si="4"/>
        <v>0.16666666666666666</v>
      </c>
      <c r="D21" s="2"/>
      <c r="E21" s="2"/>
      <c r="F21" s="2"/>
      <c r="G21" s="2"/>
      <c r="H21" s="2">
        <f t="shared" si="5"/>
        <v>0.91666666666666663</v>
      </c>
      <c r="I21" s="2"/>
      <c r="J21" s="2"/>
    </row>
    <row r="22" spans="1:10" x14ac:dyDescent="0.2">
      <c r="C22" s="2">
        <f t="shared" si="4"/>
        <v>0.16666666666666666</v>
      </c>
      <c r="D22" s="2"/>
      <c r="E22" s="2"/>
      <c r="F22" s="2"/>
      <c r="G22" s="2"/>
      <c r="H22" s="2"/>
      <c r="I22" s="2"/>
      <c r="J22" s="2"/>
    </row>
    <row r="23" spans="1:10" x14ac:dyDescent="0.2">
      <c r="C23" s="2">
        <f t="shared" si="4"/>
        <v>0.16666666666666666</v>
      </c>
      <c r="D23" s="2"/>
      <c r="E23" s="2"/>
      <c r="F23" s="2"/>
      <c r="G23" s="2"/>
      <c r="H23" s="2"/>
      <c r="I23" s="2"/>
      <c r="J23" s="2"/>
    </row>
    <row r="24" spans="1:10" x14ac:dyDescent="0.2">
      <c r="C24" s="2">
        <f t="shared" si="4"/>
        <v>0.16666666666666666</v>
      </c>
      <c r="D24" s="2"/>
      <c r="E24" s="2"/>
      <c r="F24" s="2"/>
      <c r="G24" s="2"/>
      <c r="H24" s="2"/>
      <c r="I24" s="2"/>
      <c r="J24" s="2"/>
    </row>
    <row r="25" spans="1:10" x14ac:dyDescent="0.2">
      <c r="C25" s="2">
        <f t="shared" si="4"/>
        <v>0.16666666666666666</v>
      </c>
      <c r="D25" s="2"/>
      <c r="E25" s="2"/>
      <c r="F25" s="2"/>
      <c r="G25" s="2"/>
      <c r="H25" s="2"/>
      <c r="I25" s="2"/>
      <c r="J25" s="2"/>
    </row>
    <row r="27" spans="1:10" x14ac:dyDescent="0.2">
      <c r="A27" t="s">
        <v>133</v>
      </c>
      <c r="B27" t="s">
        <v>145</v>
      </c>
      <c r="C27" t="s">
        <v>143</v>
      </c>
      <c r="D27" t="s">
        <v>142</v>
      </c>
      <c r="E27" t="s">
        <v>136</v>
      </c>
      <c r="F27" t="s">
        <v>141</v>
      </c>
      <c r="G27" t="s">
        <v>140</v>
      </c>
      <c r="H27" t="s">
        <v>139</v>
      </c>
      <c r="I27" t="s">
        <v>144</v>
      </c>
    </row>
    <row r="28" spans="1:10" x14ac:dyDescent="0.2">
      <c r="B28" t="s">
        <v>134</v>
      </c>
      <c r="H28" t="s">
        <v>138</v>
      </c>
      <c r="I28" t="s">
        <v>146</v>
      </c>
    </row>
    <row r="29" spans="1:10" x14ac:dyDescent="0.2">
      <c r="B29" t="s">
        <v>135</v>
      </c>
      <c r="H29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9BE1-7533-9745-B16E-57207D2FBA66}">
  <dimension ref="A1:M13"/>
  <sheetViews>
    <sheetView workbookViewId="0">
      <selection activeCell="D22" sqref="D22"/>
    </sheetView>
  </sheetViews>
  <sheetFormatPr baseColWidth="10" defaultRowHeight="15" x14ac:dyDescent="0.2"/>
  <cols>
    <col min="1" max="1" width="11.6640625" bestFit="1" customWidth="1"/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">
        <v>94</v>
      </c>
      <c r="B1" t="s">
        <v>95</v>
      </c>
      <c r="C1" t="s">
        <v>98</v>
      </c>
    </row>
    <row r="2" spans="1:13" x14ac:dyDescent="0.2">
      <c r="A2" t="s">
        <v>63</v>
      </c>
      <c r="B2" t="s">
        <v>68</v>
      </c>
      <c r="C2">
        <v>1</v>
      </c>
    </row>
    <row r="3" spans="1:13" x14ac:dyDescent="0.2">
      <c r="A3" t="s">
        <v>64</v>
      </c>
      <c r="B3" t="s">
        <v>64</v>
      </c>
      <c r="C3">
        <v>0.19700000000000001</v>
      </c>
      <c r="F3" s="5"/>
      <c r="M3" s="2"/>
    </row>
    <row r="4" spans="1:13" x14ac:dyDescent="0.2">
      <c r="A4" t="s">
        <v>64</v>
      </c>
      <c r="B4" t="s">
        <v>65</v>
      </c>
      <c r="C4">
        <v>0.4</v>
      </c>
    </row>
    <row r="5" spans="1:13" x14ac:dyDescent="0.2">
      <c r="A5" t="s">
        <v>64</v>
      </c>
      <c r="B5" t="s">
        <v>67</v>
      </c>
      <c r="C5">
        <v>9.8000000000000004E-2</v>
      </c>
    </row>
    <row r="6" spans="1:13" x14ac:dyDescent="0.2">
      <c r="A6" t="s">
        <v>64</v>
      </c>
      <c r="B6" t="s">
        <v>68</v>
      </c>
      <c r="C6">
        <v>0.15</v>
      </c>
    </row>
    <row r="7" spans="1:13" x14ac:dyDescent="0.2">
      <c r="A7" t="s">
        <v>64</v>
      </c>
      <c r="B7" t="s">
        <v>11</v>
      </c>
      <c r="C7">
        <v>0.155</v>
      </c>
    </row>
    <row r="8" spans="1:13" x14ac:dyDescent="0.2">
      <c r="A8" t="s">
        <v>65</v>
      </c>
      <c r="B8" t="s">
        <v>65</v>
      </c>
      <c r="C8">
        <v>0.9</v>
      </c>
    </row>
    <row r="9" spans="1:13" x14ac:dyDescent="0.2">
      <c r="A9" t="s">
        <v>65</v>
      </c>
      <c r="B9" t="s">
        <v>68</v>
      </c>
      <c r="C9">
        <v>0.1</v>
      </c>
      <c r="F9" s="5"/>
    </row>
    <row r="10" spans="1:13" x14ac:dyDescent="0.2">
      <c r="A10" t="s">
        <v>66</v>
      </c>
      <c r="B10" t="s">
        <v>68</v>
      </c>
      <c r="C10">
        <v>1</v>
      </c>
    </row>
    <row r="11" spans="1:13" x14ac:dyDescent="0.2">
      <c r="A11" t="s">
        <v>67</v>
      </c>
      <c r="B11" t="s">
        <v>67</v>
      </c>
      <c r="C11">
        <v>0.29499999999999998</v>
      </c>
    </row>
    <row r="12" spans="1:13" x14ac:dyDescent="0.2">
      <c r="A12" t="s">
        <v>67</v>
      </c>
      <c r="B12" t="s">
        <v>68</v>
      </c>
      <c r="C12">
        <v>0.55000000000000004</v>
      </c>
    </row>
    <row r="13" spans="1:13" x14ac:dyDescent="0.2">
      <c r="A13" t="s">
        <v>11</v>
      </c>
      <c r="B13" t="s">
        <v>11</v>
      </c>
      <c r="C1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EDC5D0-11A1-2741-94F0-8F967D6F7E1B}">
          <x14:formula1>
            <xm:f>parameters!$A$2:$A$8</xm:f>
          </x14:formula1>
          <xm:sqref>A2:B8 A9:A25 B9:B26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AD4C-C623-2341-A9E5-74FE6EB65432}">
  <dimension ref="A1:O122"/>
  <sheetViews>
    <sheetView zoomScale="94" zoomScaleNormal="100" workbookViewId="0">
      <pane ySplit="1" topLeftCell="A2" activePane="bottomLeft" state="frozen"/>
      <selection pane="bottomLeft" activeCell="G30" sqref="G30:P31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18.5" bestFit="1" customWidth="1"/>
    <col min="8" max="9" width="13.33203125" bestFit="1" customWidth="1"/>
    <col min="10" max="10" width="11.6640625" bestFit="1" customWidth="1"/>
    <col min="12" max="12" width="23.83203125" bestFit="1" customWidth="1"/>
    <col min="13" max="13" width="9.5" customWidth="1"/>
    <col min="14" max="14" width="8.6640625" customWidth="1"/>
  </cols>
  <sheetData>
    <row r="1" spans="1:15" x14ac:dyDescent="0.2">
      <c r="A1" t="s">
        <v>14</v>
      </c>
      <c r="B1" t="s">
        <v>97</v>
      </c>
      <c r="C1" t="s">
        <v>96</v>
      </c>
      <c r="D1" t="s">
        <v>100</v>
      </c>
      <c r="G1" t="s">
        <v>105</v>
      </c>
      <c r="H1" t="s">
        <v>106</v>
      </c>
      <c r="I1" t="s">
        <v>102</v>
      </c>
      <c r="J1" t="s">
        <v>103</v>
      </c>
      <c r="L1" t="s">
        <v>101</v>
      </c>
      <c r="M1" t="s">
        <v>107</v>
      </c>
      <c r="N1" t="s">
        <v>108</v>
      </c>
      <c r="O1" t="s">
        <v>109</v>
      </c>
    </row>
    <row r="2" spans="1:15" x14ac:dyDescent="0.2">
      <c r="A2" t="str">
        <f>parameters!A2</f>
        <v>Food packaging 2d</v>
      </c>
      <c r="B2" t="s">
        <v>69</v>
      </c>
      <c r="C2" t="s">
        <v>2</v>
      </c>
      <c r="D2" s="2">
        <v>1</v>
      </c>
      <c r="G2" s="26" t="s">
        <v>104</v>
      </c>
      <c r="H2" s="26" t="s">
        <v>69</v>
      </c>
      <c r="I2" s="26">
        <v>1</v>
      </c>
      <c r="J2">
        <f>J3</f>
        <v>203.27546657212321</v>
      </c>
      <c r="L2" t="str">
        <f>process_list!A2</f>
        <v>Production</v>
      </c>
      <c r="M2">
        <v>1</v>
      </c>
      <c r="N2">
        <f t="shared" ref="N2:N13" si="0">COUNTIF($H$2:$H$24,L2)</f>
        <v>1</v>
      </c>
      <c r="O2">
        <f>M2-N2</f>
        <v>0</v>
      </c>
    </row>
    <row r="3" spans="1:15" x14ac:dyDescent="0.2">
      <c r="A3" t="s">
        <v>63</v>
      </c>
      <c r="B3" t="s">
        <v>2</v>
      </c>
      <c r="C3" t="s">
        <v>70</v>
      </c>
      <c r="D3">
        <v>0.84</v>
      </c>
      <c r="G3" s="27" t="s">
        <v>69</v>
      </c>
      <c r="H3" s="27" t="s">
        <v>2</v>
      </c>
      <c r="I3" s="27">
        <v>2</v>
      </c>
      <c r="J3" s="27">
        <f>D2*production!B2</f>
        <v>203.27546657212321</v>
      </c>
      <c r="L3" t="str">
        <f>process_list!A3</f>
        <v>Manufacturing</v>
      </c>
      <c r="M3">
        <f t="shared" ref="M3:M13" si="1">COUNTIF($C$2:$C$19,L3)</f>
        <v>1</v>
      </c>
      <c r="N3">
        <f t="shared" si="0"/>
        <v>1</v>
      </c>
      <c r="O3">
        <f t="shared" ref="O3:O13" si="2">M3-N3</f>
        <v>0</v>
      </c>
    </row>
    <row r="4" spans="1:15" x14ac:dyDescent="0.2">
      <c r="A4" t="s">
        <v>63</v>
      </c>
      <c r="B4" t="s">
        <v>2</v>
      </c>
      <c r="C4" t="s">
        <v>72</v>
      </c>
      <c r="D4">
        <v>0.08</v>
      </c>
      <c r="G4" s="28" t="s">
        <v>2</v>
      </c>
      <c r="H4" s="28" t="s">
        <v>70</v>
      </c>
      <c r="I4" s="28">
        <v>3</v>
      </c>
      <c r="J4" s="28">
        <f>D3*J3</f>
        <v>170.7513919205835</v>
      </c>
      <c r="L4" t="str">
        <f>process_list!A4</f>
        <v>Use</v>
      </c>
      <c r="M4">
        <f t="shared" si="1"/>
        <v>1</v>
      </c>
      <c r="N4">
        <f t="shared" si="0"/>
        <v>1</v>
      </c>
      <c r="O4">
        <f t="shared" si="2"/>
        <v>0</v>
      </c>
    </row>
    <row r="5" spans="1:15" x14ac:dyDescent="0.2">
      <c r="A5" t="s">
        <v>63</v>
      </c>
      <c r="B5" t="s">
        <v>2</v>
      </c>
      <c r="C5" t="s">
        <v>83</v>
      </c>
      <c r="D5" s="2">
        <v>0.08</v>
      </c>
      <c r="F5" s="21"/>
      <c r="G5" s="28"/>
      <c r="H5" s="28" t="s">
        <v>72</v>
      </c>
      <c r="I5" s="28"/>
      <c r="J5" s="28">
        <f>D4*J3</f>
        <v>16.262037325769857</v>
      </c>
      <c r="L5" t="str">
        <f>process_list!A5</f>
        <v>Collection - source separation</v>
      </c>
      <c r="M5">
        <f t="shared" si="1"/>
        <v>1</v>
      </c>
      <c r="N5">
        <f t="shared" si="0"/>
        <v>1</v>
      </c>
      <c r="O5">
        <f t="shared" si="2"/>
        <v>0</v>
      </c>
    </row>
    <row r="6" spans="1:15" x14ac:dyDescent="0.2">
      <c r="A6" t="s">
        <v>63</v>
      </c>
      <c r="B6" t="s">
        <v>70</v>
      </c>
      <c r="C6" t="s">
        <v>92</v>
      </c>
      <c r="D6" s="2">
        <v>0.7</v>
      </c>
      <c r="G6" s="28"/>
      <c r="H6" s="28" t="s">
        <v>83</v>
      </c>
      <c r="I6" s="28"/>
      <c r="J6" s="28">
        <f>D5*J3</f>
        <v>16.262037325769857</v>
      </c>
      <c r="L6" t="str">
        <f>process_list!A6</f>
        <v>Collection - residual</v>
      </c>
      <c r="M6">
        <f t="shared" si="1"/>
        <v>1</v>
      </c>
      <c r="N6">
        <f t="shared" si="0"/>
        <v>1</v>
      </c>
      <c r="O6">
        <f t="shared" si="2"/>
        <v>0</v>
      </c>
    </row>
    <row r="7" spans="1:15" x14ac:dyDescent="0.2">
      <c r="A7" t="s">
        <v>63</v>
      </c>
      <c r="B7" t="s">
        <v>70</v>
      </c>
      <c r="C7" t="s">
        <v>82</v>
      </c>
      <c r="D7" s="2">
        <v>0.3</v>
      </c>
      <c r="G7" s="29" t="s">
        <v>70</v>
      </c>
      <c r="H7" s="30" t="s">
        <v>92</v>
      </c>
      <c r="I7" s="30">
        <v>4</v>
      </c>
      <c r="J7" s="30">
        <f>J4*D6</f>
        <v>119.52597434440844</v>
      </c>
      <c r="L7" t="str">
        <f>process_list!A7</f>
        <v>Sorting</v>
      </c>
      <c r="M7">
        <f t="shared" si="1"/>
        <v>1</v>
      </c>
      <c r="N7">
        <f t="shared" si="0"/>
        <v>1</v>
      </c>
      <c r="O7">
        <f t="shared" si="2"/>
        <v>0</v>
      </c>
    </row>
    <row r="8" spans="1:15" x14ac:dyDescent="0.2">
      <c r="A8" t="s">
        <v>63</v>
      </c>
      <c r="B8" t="s">
        <v>92</v>
      </c>
      <c r="C8" t="s">
        <v>71</v>
      </c>
      <c r="D8" s="2">
        <v>0.71</v>
      </c>
      <c r="G8" s="30"/>
      <c r="H8" s="30" t="s">
        <v>82</v>
      </c>
      <c r="I8" s="30"/>
      <c r="J8" s="31">
        <f>J4*D7</f>
        <v>51.225417576175047</v>
      </c>
      <c r="K8" s="21"/>
      <c r="L8" t="str">
        <f>process_list!A8</f>
        <v>Landfill</v>
      </c>
      <c r="M8">
        <f t="shared" si="1"/>
        <v>3</v>
      </c>
      <c r="N8">
        <f t="shared" si="0"/>
        <v>3</v>
      </c>
      <c r="O8">
        <f t="shared" si="2"/>
        <v>0</v>
      </c>
    </row>
    <row r="9" spans="1:15" x14ac:dyDescent="0.2">
      <c r="A9" t="s">
        <v>63</v>
      </c>
      <c r="B9" t="s">
        <v>92</v>
      </c>
      <c r="C9" t="s">
        <v>83</v>
      </c>
      <c r="D9" s="2">
        <v>0.28999999999999998</v>
      </c>
      <c r="G9" s="32" t="s">
        <v>110</v>
      </c>
      <c r="H9" s="32" t="s">
        <v>71</v>
      </c>
      <c r="I9" s="32">
        <v>5</v>
      </c>
      <c r="J9" s="33">
        <f>J7*D8</f>
        <v>84.863441784529982</v>
      </c>
      <c r="K9" s="21"/>
      <c r="L9" t="str">
        <f>process_list!A9</f>
        <v>Incineration</v>
      </c>
      <c r="M9">
        <f t="shared" si="1"/>
        <v>3</v>
      </c>
      <c r="N9">
        <f t="shared" si="0"/>
        <v>3</v>
      </c>
      <c r="O9">
        <f t="shared" si="2"/>
        <v>0</v>
      </c>
    </row>
    <row r="10" spans="1:15" x14ac:dyDescent="0.2">
      <c r="A10" t="s">
        <v>63</v>
      </c>
      <c r="B10" t="s">
        <v>82</v>
      </c>
      <c r="C10" t="s">
        <v>4</v>
      </c>
      <c r="D10" s="2">
        <v>0.4</v>
      </c>
      <c r="G10" s="32"/>
      <c r="H10" s="32" t="s">
        <v>83</v>
      </c>
      <c r="I10" s="32"/>
      <c r="J10" s="32">
        <f>J7*D9</f>
        <v>34.662532559878443</v>
      </c>
      <c r="L10" t="str">
        <f>process_list!A10</f>
        <v>Reprocessing</v>
      </c>
      <c r="M10">
        <f t="shared" si="1"/>
        <v>2</v>
      </c>
      <c r="N10">
        <f t="shared" si="0"/>
        <v>2</v>
      </c>
      <c r="O10">
        <f t="shared" si="2"/>
        <v>0</v>
      </c>
    </row>
    <row r="11" spans="1:15" x14ac:dyDescent="0.2">
      <c r="A11" t="s">
        <v>63</v>
      </c>
      <c r="B11" t="s">
        <v>82</v>
      </c>
      <c r="C11" t="s">
        <v>3</v>
      </c>
      <c r="D11" s="2">
        <v>0.6</v>
      </c>
      <c r="G11" s="34" t="s">
        <v>82</v>
      </c>
      <c r="H11" s="34" t="s">
        <v>4</v>
      </c>
      <c r="I11" s="34">
        <v>6</v>
      </c>
      <c r="J11" s="34">
        <f>J8*D10</f>
        <v>20.490167030470019</v>
      </c>
      <c r="L11" t="str">
        <f>process_list!A11</f>
        <v>Export</v>
      </c>
      <c r="M11">
        <f t="shared" si="1"/>
        <v>2</v>
      </c>
      <c r="N11">
        <f t="shared" si="0"/>
        <v>2</v>
      </c>
      <c r="O11">
        <f t="shared" si="2"/>
        <v>0</v>
      </c>
    </row>
    <row r="12" spans="1:15" x14ac:dyDescent="0.2">
      <c r="A12" t="s">
        <v>63</v>
      </c>
      <c r="B12" t="s">
        <v>71</v>
      </c>
      <c r="C12" t="s">
        <v>4</v>
      </c>
      <c r="D12" s="4">
        <v>0.17</v>
      </c>
      <c r="G12" s="34"/>
      <c r="H12" s="34" t="s">
        <v>3</v>
      </c>
      <c r="I12" s="34"/>
      <c r="J12" s="34">
        <f>J8*D11</f>
        <v>30.735250545705028</v>
      </c>
      <c r="K12" s="21"/>
      <c r="L12" t="str">
        <f>process_list!A12</f>
        <v>Final disposal</v>
      </c>
      <c r="M12">
        <f t="shared" si="1"/>
        <v>2</v>
      </c>
      <c r="N12">
        <f t="shared" si="0"/>
        <v>2</v>
      </c>
      <c r="O12">
        <f t="shared" si="2"/>
        <v>0</v>
      </c>
    </row>
    <row r="13" spans="1:15" x14ac:dyDescent="0.2">
      <c r="A13" t="s">
        <v>63</v>
      </c>
      <c r="B13" t="s">
        <v>71</v>
      </c>
      <c r="C13" t="s">
        <v>3</v>
      </c>
      <c r="D13" s="2">
        <v>0.25</v>
      </c>
      <c r="G13" s="35" t="s">
        <v>71</v>
      </c>
      <c r="H13" s="35" t="s">
        <v>4</v>
      </c>
      <c r="I13" s="35">
        <v>7</v>
      </c>
      <c r="J13" s="35">
        <f>J9*D12</f>
        <v>14.426785103370099</v>
      </c>
      <c r="L13" t="str">
        <f>process_list!A13</f>
        <v>Pre recycled material</v>
      </c>
      <c r="M13">
        <f t="shared" si="1"/>
        <v>0</v>
      </c>
      <c r="N13">
        <f t="shared" si="0"/>
        <v>0</v>
      </c>
      <c r="O13">
        <f t="shared" si="2"/>
        <v>0</v>
      </c>
    </row>
    <row r="14" spans="1:15" x14ac:dyDescent="0.2">
      <c r="A14" t="s">
        <v>63</v>
      </c>
      <c r="B14" t="s">
        <v>71</v>
      </c>
      <c r="C14" t="s">
        <v>72</v>
      </c>
      <c r="D14" s="2">
        <v>0.57999999999999996</v>
      </c>
      <c r="G14" s="35"/>
      <c r="H14" s="35" t="s">
        <v>3</v>
      </c>
      <c r="I14" s="35"/>
      <c r="J14" s="35">
        <f>J9*D13</f>
        <v>21.215860446132496</v>
      </c>
    </row>
    <row r="15" spans="1:15" x14ac:dyDescent="0.2">
      <c r="A15" t="s">
        <v>63</v>
      </c>
      <c r="B15" t="s">
        <v>72</v>
      </c>
      <c r="C15" t="s">
        <v>4</v>
      </c>
      <c r="D15" s="2">
        <v>8.7999999999999995E-2</v>
      </c>
      <c r="G15" s="35"/>
      <c r="H15" s="35"/>
      <c r="I15" s="35"/>
      <c r="J15" s="35"/>
    </row>
    <row r="16" spans="1:15" x14ac:dyDescent="0.2">
      <c r="A16" t="s">
        <v>63</v>
      </c>
      <c r="B16" t="s">
        <v>72</v>
      </c>
      <c r="C16" t="s">
        <v>3</v>
      </c>
      <c r="D16" s="2">
        <v>0.13500000000000001</v>
      </c>
      <c r="G16" s="35"/>
      <c r="H16" s="35"/>
      <c r="I16" s="35"/>
      <c r="J16" s="35"/>
    </row>
    <row r="17" spans="1:10" x14ac:dyDescent="0.2">
      <c r="A17" t="s">
        <v>63</v>
      </c>
      <c r="B17" t="s">
        <v>72</v>
      </c>
      <c r="C17" t="s">
        <v>85</v>
      </c>
      <c r="D17" s="2">
        <v>0.77700000000000002</v>
      </c>
      <c r="G17" s="35"/>
      <c r="H17" s="35"/>
      <c r="I17" s="35"/>
      <c r="J17" s="35"/>
    </row>
    <row r="18" spans="1:10" x14ac:dyDescent="0.2">
      <c r="A18" t="s">
        <v>63</v>
      </c>
      <c r="B18" t="s">
        <v>4</v>
      </c>
      <c r="C18" t="s">
        <v>56</v>
      </c>
      <c r="D18" s="2">
        <v>1</v>
      </c>
      <c r="G18" s="35"/>
      <c r="H18" s="35"/>
      <c r="I18" s="35"/>
      <c r="J18" s="35"/>
    </row>
    <row r="19" spans="1:10" x14ac:dyDescent="0.2">
      <c r="A19" t="s">
        <v>63</v>
      </c>
      <c r="B19" t="s">
        <v>3</v>
      </c>
      <c r="C19" t="s">
        <v>56</v>
      </c>
      <c r="D19" s="2">
        <v>1</v>
      </c>
      <c r="G19" s="35"/>
      <c r="H19" s="35" t="s">
        <v>72</v>
      </c>
      <c r="I19" s="35"/>
      <c r="J19" s="35">
        <f>J9*D14</f>
        <v>49.220796235027386</v>
      </c>
    </row>
    <row r="20" spans="1:10" x14ac:dyDescent="0.2">
      <c r="A20" t="s">
        <v>64</v>
      </c>
      <c r="B20" t="s">
        <v>69</v>
      </c>
      <c r="C20" t="s">
        <v>2</v>
      </c>
      <c r="D20" s="2">
        <v>1</v>
      </c>
      <c r="G20" s="36" t="s">
        <v>111</v>
      </c>
      <c r="H20" s="36" t="s">
        <v>4</v>
      </c>
      <c r="I20" s="36">
        <v>8</v>
      </c>
      <c r="J20" s="36">
        <f>($J$19+$J$5)*D15</f>
        <v>5.7624893533501576</v>
      </c>
    </row>
    <row r="21" spans="1:10" x14ac:dyDescent="0.2">
      <c r="A21" t="s">
        <v>64</v>
      </c>
      <c r="B21" t="s">
        <v>2</v>
      </c>
      <c r="C21" t="s">
        <v>70</v>
      </c>
      <c r="D21">
        <v>0.84</v>
      </c>
      <c r="G21" s="36"/>
      <c r="H21" s="36" t="s">
        <v>3</v>
      </c>
      <c r="I21" s="36"/>
      <c r="J21" s="36">
        <f>($J$19+$J$5)*D16</f>
        <v>8.8401825307076294</v>
      </c>
    </row>
    <row r="22" spans="1:10" x14ac:dyDescent="0.2">
      <c r="A22" t="s">
        <v>64</v>
      </c>
      <c r="B22" t="s">
        <v>2</v>
      </c>
      <c r="C22" t="s">
        <v>72</v>
      </c>
      <c r="D22">
        <v>0.08</v>
      </c>
      <c r="G22" s="36"/>
      <c r="H22" s="36" t="s">
        <v>85</v>
      </c>
      <c r="I22" s="36"/>
      <c r="J22" s="36">
        <f>($J$19+$J$5)*D17</f>
        <v>50.880161676739462</v>
      </c>
    </row>
    <row r="23" spans="1:10" x14ac:dyDescent="0.2">
      <c r="A23" t="s">
        <v>64</v>
      </c>
      <c r="B23" t="s">
        <v>2</v>
      </c>
      <c r="C23" t="s">
        <v>83</v>
      </c>
      <c r="D23" s="2">
        <v>0.08</v>
      </c>
      <c r="G23" s="37" t="s">
        <v>4</v>
      </c>
      <c r="H23" s="37" t="s">
        <v>56</v>
      </c>
      <c r="I23" s="37">
        <v>9</v>
      </c>
      <c r="J23" s="37">
        <f>($J$11+$J$13+$J$20)*D18</f>
        <v>40.679441487190275</v>
      </c>
    </row>
    <row r="24" spans="1:10" x14ac:dyDescent="0.2">
      <c r="A24" t="s">
        <v>64</v>
      </c>
      <c r="B24" t="s">
        <v>70</v>
      </c>
      <c r="C24" t="s">
        <v>92</v>
      </c>
      <c r="D24" s="2">
        <v>0.57999999999999996</v>
      </c>
      <c r="G24" s="38" t="s">
        <v>3</v>
      </c>
      <c r="H24" s="38" t="s">
        <v>56</v>
      </c>
      <c r="I24" s="38">
        <v>10</v>
      </c>
      <c r="J24" s="38">
        <f>J14+J12+J21</f>
        <v>60.791293522545153</v>
      </c>
    </row>
    <row r="25" spans="1:10" x14ac:dyDescent="0.2">
      <c r="A25" t="s">
        <v>64</v>
      </c>
      <c r="B25" t="s">
        <v>70</v>
      </c>
      <c r="C25" t="s">
        <v>82</v>
      </c>
      <c r="D25" s="2">
        <v>0.42</v>
      </c>
      <c r="G25" s="26" t="s">
        <v>83</v>
      </c>
      <c r="H25" s="26" t="s">
        <v>83</v>
      </c>
      <c r="I25" s="26">
        <v>11</v>
      </c>
      <c r="J25" s="26">
        <f>J10+J6</f>
        <v>50.924569885648296</v>
      </c>
    </row>
    <row r="26" spans="1:10" x14ac:dyDescent="0.2">
      <c r="A26" t="s">
        <v>64</v>
      </c>
      <c r="B26" t="s">
        <v>92</v>
      </c>
      <c r="C26" t="s">
        <v>71</v>
      </c>
      <c r="D26" s="2">
        <v>0.71</v>
      </c>
    </row>
    <row r="27" spans="1:10" x14ac:dyDescent="0.2">
      <c r="A27" t="s">
        <v>64</v>
      </c>
      <c r="B27" t="s">
        <v>92</v>
      </c>
      <c r="C27" t="s">
        <v>83</v>
      </c>
      <c r="D27" s="2">
        <v>0.28999999999999998</v>
      </c>
    </row>
    <row r="28" spans="1:10" x14ac:dyDescent="0.2">
      <c r="A28" t="s">
        <v>64</v>
      </c>
      <c r="B28" t="s">
        <v>82</v>
      </c>
      <c r="C28" t="s">
        <v>4</v>
      </c>
      <c r="D28" s="2">
        <v>0.4</v>
      </c>
    </row>
    <row r="29" spans="1:10" x14ac:dyDescent="0.2">
      <c r="A29" t="s">
        <v>64</v>
      </c>
      <c r="B29" t="s">
        <v>82</v>
      </c>
      <c r="C29" t="s">
        <v>3</v>
      </c>
      <c r="D29" s="2">
        <v>0.6</v>
      </c>
    </row>
    <row r="30" spans="1:10" x14ac:dyDescent="0.2">
      <c r="A30" t="s">
        <v>64</v>
      </c>
      <c r="B30" t="s">
        <v>71</v>
      </c>
      <c r="C30" t="s">
        <v>4</v>
      </c>
      <c r="D30" s="2">
        <v>7.0000000000000007E-2</v>
      </c>
    </row>
    <row r="31" spans="1:10" x14ac:dyDescent="0.2">
      <c r="A31" t="s">
        <v>64</v>
      </c>
      <c r="B31" t="s">
        <v>71</v>
      </c>
      <c r="C31" t="s">
        <v>3</v>
      </c>
      <c r="D31" s="2">
        <v>0.1</v>
      </c>
    </row>
    <row r="32" spans="1:10" x14ac:dyDescent="0.2">
      <c r="A32" t="s">
        <v>64</v>
      </c>
      <c r="B32" t="s">
        <v>71</v>
      </c>
      <c r="C32" t="s">
        <v>72</v>
      </c>
      <c r="D32" s="2">
        <v>0.83</v>
      </c>
    </row>
    <row r="33" spans="1:4" x14ac:dyDescent="0.2">
      <c r="A33" t="s">
        <v>64</v>
      </c>
      <c r="B33" t="s">
        <v>72</v>
      </c>
      <c r="C33" t="s">
        <v>4</v>
      </c>
      <c r="D33" s="2">
        <v>6.6000000000000003E-2</v>
      </c>
    </row>
    <row r="34" spans="1:4" x14ac:dyDescent="0.2">
      <c r="A34" t="s">
        <v>64</v>
      </c>
      <c r="B34" t="s">
        <v>72</v>
      </c>
      <c r="C34" t="s">
        <v>3</v>
      </c>
      <c r="D34" s="2">
        <v>0.10100000000000001</v>
      </c>
    </row>
    <row r="35" spans="1:4" x14ac:dyDescent="0.2">
      <c r="A35" t="s">
        <v>64</v>
      </c>
      <c r="B35" t="s">
        <v>72</v>
      </c>
      <c r="C35" t="s">
        <v>85</v>
      </c>
      <c r="D35" s="2">
        <v>0.83299999999999996</v>
      </c>
    </row>
    <row r="36" spans="1:4" x14ac:dyDescent="0.2">
      <c r="A36" t="s">
        <v>64</v>
      </c>
      <c r="B36" t="s">
        <v>4</v>
      </c>
      <c r="C36" t="s">
        <v>56</v>
      </c>
      <c r="D36" s="2">
        <v>1</v>
      </c>
    </row>
    <row r="37" spans="1:4" x14ac:dyDescent="0.2">
      <c r="A37" t="s">
        <v>64</v>
      </c>
      <c r="B37" t="s">
        <v>3</v>
      </c>
      <c r="C37" t="s">
        <v>56</v>
      </c>
      <c r="D37" s="2">
        <v>1</v>
      </c>
    </row>
    <row r="38" spans="1:4" x14ac:dyDescent="0.2">
      <c r="A38" t="s">
        <v>65</v>
      </c>
      <c r="B38" t="s">
        <v>69</v>
      </c>
      <c r="C38" t="s">
        <v>2</v>
      </c>
      <c r="D38" s="2">
        <v>1</v>
      </c>
    </row>
    <row r="39" spans="1:4" x14ac:dyDescent="0.2">
      <c r="A39" t="s">
        <v>65</v>
      </c>
      <c r="B39" t="s">
        <v>2</v>
      </c>
      <c r="C39" t="s">
        <v>70</v>
      </c>
      <c r="D39" s="2">
        <v>0.84</v>
      </c>
    </row>
    <row r="40" spans="1:4" x14ac:dyDescent="0.2">
      <c r="A40" t="s">
        <v>65</v>
      </c>
      <c r="B40" t="s">
        <v>2</v>
      </c>
      <c r="C40" t="s">
        <v>72</v>
      </c>
      <c r="D40" s="2">
        <v>0.08</v>
      </c>
    </row>
    <row r="41" spans="1:4" x14ac:dyDescent="0.2">
      <c r="A41" t="s">
        <v>65</v>
      </c>
      <c r="B41" t="s">
        <v>2</v>
      </c>
      <c r="C41" t="s">
        <v>83</v>
      </c>
      <c r="D41" s="2">
        <v>0.08</v>
      </c>
    </row>
    <row r="42" spans="1:4" x14ac:dyDescent="0.2">
      <c r="A42" t="s">
        <v>65</v>
      </c>
      <c r="B42" t="s">
        <v>70</v>
      </c>
      <c r="C42" t="s">
        <v>92</v>
      </c>
      <c r="D42" s="2">
        <v>0.55000000000000004</v>
      </c>
    </row>
    <row r="43" spans="1:4" x14ac:dyDescent="0.2">
      <c r="A43" t="s">
        <v>65</v>
      </c>
      <c r="B43" t="s">
        <v>70</v>
      </c>
      <c r="C43" t="s">
        <v>82</v>
      </c>
      <c r="D43" s="2">
        <v>0.45</v>
      </c>
    </row>
    <row r="44" spans="1:4" x14ac:dyDescent="0.2">
      <c r="A44" t="s">
        <v>65</v>
      </c>
      <c r="B44" t="s">
        <v>92</v>
      </c>
      <c r="C44" t="s">
        <v>71</v>
      </c>
      <c r="D44" s="2">
        <v>0.71</v>
      </c>
    </row>
    <row r="45" spans="1:4" x14ac:dyDescent="0.2">
      <c r="A45" t="s">
        <v>65</v>
      </c>
      <c r="B45" t="s">
        <v>92</v>
      </c>
      <c r="C45" t="s">
        <v>83</v>
      </c>
      <c r="D45" s="2">
        <v>0.28999999999999998</v>
      </c>
    </row>
    <row r="46" spans="1:4" x14ac:dyDescent="0.2">
      <c r="A46" t="s">
        <v>65</v>
      </c>
      <c r="B46" t="s">
        <v>82</v>
      </c>
      <c r="C46" t="s">
        <v>4</v>
      </c>
      <c r="D46" s="2">
        <v>0.4</v>
      </c>
    </row>
    <row r="47" spans="1:4" x14ac:dyDescent="0.2">
      <c r="A47" t="s">
        <v>65</v>
      </c>
      <c r="B47" t="s">
        <v>82</v>
      </c>
      <c r="C47" t="s">
        <v>3</v>
      </c>
      <c r="D47" s="2">
        <v>0.6</v>
      </c>
    </row>
    <row r="48" spans="1:4" x14ac:dyDescent="0.2">
      <c r="A48" t="s">
        <v>65</v>
      </c>
      <c r="B48" t="s">
        <v>71</v>
      </c>
      <c r="C48" t="s">
        <v>4</v>
      </c>
      <c r="D48" s="2">
        <v>0.3</v>
      </c>
    </row>
    <row r="49" spans="1:4" x14ac:dyDescent="0.2">
      <c r="A49" t="s">
        <v>65</v>
      </c>
      <c r="B49" t="s">
        <v>71</v>
      </c>
      <c r="C49" t="s">
        <v>3</v>
      </c>
      <c r="D49" s="2">
        <v>0.46</v>
      </c>
    </row>
    <row r="50" spans="1:4" x14ac:dyDescent="0.2">
      <c r="A50" t="s">
        <v>65</v>
      </c>
      <c r="B50" t="s">
        <v>71</v>
      </c>
      <c r="C50" t="s">
        <v>72</v>
      </c>
      <c r="D50" s="2">
        <v>0.24</v>
      </c>
    </row>
    <row r="51" spans="1:4" x14ac:dyDescent="0.2">
      <c r="A51" t="s">
        <v>65</v>
      </c>
      <c r="B51" t="s">
        <v>72</v>
      </c>
      <c r="C51" t="s">
        <v>4</v>
      </c>
      <c r="D51" s="2">
        <v>8.7999999999999995E-2</v>
      </c>
    </row>
    <row r="52" spans="1:4" x14ac:dyDescent="0.2">
      <c r="A52" t="s">
        <v>65</v>
      </c>
      <c r="B52" t="s">
        <v>72</v>
      </c>
      <c r="C52" t="s">
        <v>3</v>
      </c>
      <c r="D52" s="2">
        <v>0.13500000000000001</v>
      </c>
    </row>
    <row r="53" spans="1:4" x14ac:dyDescent="0.2">
      <c r="A53" t="s">
        <v>65</v>
      </c>
      <c r="B53" t="s">
        <v>72</v>
      </c>
      <c r="C53" t="s">
        <v>85</v>
      </c>
      <c r="D53" s="2">
        <v>0.77700000000000002</v>
      </c>
    </row>
    <row r="54" spans="1:4" x14ac:dyDescent="0.2">
      <c r="A54" t="s">
        <v>65</v>
      </c>
      <c r="B54" t="s">
        <v>4</v>
      </c>
      <c r="C54" t="s">
        <v>56</v>
      </c>
      <c r="D54" s="2">
        <v>1</v>
      </c>
    </row>
    <row r="55" spans="1:4" x14ac:dyDescent="0.2">
      <c r="A55" t="s">
        <v>65</v>
      </c>
      <c r="B55" t="s">
        <v>3</v>
      </c>
      <c r="C55" t="s">
        <v>56</v>
      </c>
      <c r="D55" s="2">
        <v>1</v>
      </c>
    </row>
    <row r="56" spans="1:4" x14ac:dyDescent="0.2">
      <c r="A56" t="s">
        <v>66</v>
      </c>
      <c r="B56" t="s">
        <v>69</v>
      </c>
      <c r="C56" t="s">
        <v>2</v>
      </c>
      <c r="D56" s="2">
        <v>1</v>
      </c>
    </row>
    <row r="57" spans="1:4" x14ac:dyDescent="0.2">
      <c r="A57" t="s">
        <v>66</v>
      </c>
      <c r="B57" t="s">
        <v>2</v>
      </c>
      <c r="C57" t="s">
        <v>70</v>
      </c>
      <c r="D57" s="2">
        <v>0.84</v>
      </c>
    </row>
    <row r="58" spans="1:4" x14ac:dyDescent="0.2">
      <c r="A58" t="s">
        <v>66</v>
      </c>
      <c r="B58" t="s">
        <v>2</v>
      </c>
      <c r="C58" t="s">
        <v>72</v>
      </c>
      <c r="D58" s="2">
        <v>0.08</v>
      </c>
    </row>
    <row r="59" spans="1:4" x14ac:dyDescent="0.2">
      <c r="A59" t="s">
        <v>66</v>
      </c>
      <c r="B59" t="s">
        <v>2</v>
      </c>
      <c r="C59" t="s">
        <v>83</v>
      </c>
      <c r="D59" s="2">
        <v>0.08</v>
      </c>
    </row>
    <row r="60" spans="1:4" x14ac:dyDescent="0.2">
      <c r="A60" t="s">
        <v>66</v>
      </c>
      <c r="B60" t="s">
        <v>70</v>
      </c>
      <c r="C60" t="s">
        <v>92</v>
      </c>
      <c r="D60" s="2">
        <v>0.7</v>
      </c>
    </row>
    <row r="61" spans="1:4" x14ac:dyDescent="0.2">
      <c r="A61" t="s">
        <v>66</v>
      </c>
      <c r="B61" t="s">
        <v>70</v>
      </c>
      <c r="C61" t="s">
        <v>82</v>
      </c>
      <c r="D61" s="2">
        <v>0.3</v>
      </c>
    </row>
    <row r="62" spans="1:4" x14ac:dyDescent="0.2">
      <c r="A62" t="s">
        <v>66</v>
      </c>
      <c r="B62" t="s">
        <v>92</v>
      </c>
      <c r="C62" t="s">
        <v>71</v>
      </c>
      <c r="D62" s="2">
        <v>0.71</v>
      </c>
    </row>
    <row r="63" spans="1:4" x14ac:dyDescent="0.2">
      <c r="A63" t="s">
        <v>66</v>
      </c>
      <c r="B63" t="s">
        <v>92</v>
      </c>
      <c r="C63" t="s">
        <v>83</v>
      </c>
      <c r="D63" s="2">
        <v>0.28999999999999998</v>
      </c>
    </row>
    <row r="64" spans="1:4" x14ac:dyDescent="0.2">
      <c r="A64" t="s">
        <v>66</v>
      </c>
      <c r="B64" t="s">
        <v>82</v>
      </c>
      <c r="C64" t="s">
        <v>4</v>
      </c>
      <c r="D64" s="2">
        <v>0.4</v>
      </c>
    </row>
    <row r="65" spans="1:4" x14ac:dyDescent="0.2">
      <c r="A65" t="s">
        <v>66</v>
      </c>
      <c r="B65" t="s">
        <v>82</v>
      </c>
      <c r="C65" t="s">
        <v>3</v>
      </c>
      <c r="D65" s="2">
        <v>0.6</v>
      </c>
    </row>
    <row r="66" spans="1:4" x14ac:dyDescent="0.2">
      <c r="A66" t="s">
        <v>66</v>
      </c>
      <c r="B66" t="s">
        <v>71</v>
      </c>
      <c r="C66" t="s">
        <v>4</v>
      </c>
      <c r="D66" s="2">
        <v>0.17</v>
      </c>
    </row>
    <row r="67" spans="1:4" x14ac:dyDescent="0.2">
      <c r="A67" t="s">
        <v>66</v>
      </c>
      <c r="B67" t="s">
        <v>71</v>
      </c>
      <c r="C67" t="s">
        <v>3</v>
      </c>
      <c r="D67" s="2">
        <v>0.25</v>
      </c>
    </row>
    <row r="68" spans="1:4" x14ac:dyDescent="0.2">
      <c r="A68" t="s">
        <v>66</v>
      </c>
      <c r="B68" t="s">
        <v>71</v>
      </c>
      <c r="C68" t="s">
        <v>72</v>
      </c>
      <c r="D68" s="2">
        <v>0.57999999999999996</v>
      </c>
    </row>
    <row r="69" spans="1:4" x14ac:dyDescent="0.2">
      <c r="A69" t="s">
        <v>66</v>
      </c>
      <c r="B69" t="s">
        <v>72</v>
      </c>
      <c r="C69" t="s">
        <v>4</v>
      </c>
      <c r="D69" s="2">
        <v>8.7999999999999995E-2</v>
      </c>
    </row>
    <row r="70" spans="1:4" x14ac:dyDescent="0.2">
      <c r="A70" t="s">
        <v>66</v>
      </c>
      <c r="B70" t="s">
        <v>72</v>
      </c>
      <c r="C70" t="s">
        <v>3</v>
      </c>
      <c r="D70" s="2">
        <v>0.13500000000000001</v>
      </c>
    </row>
    <row r="71" spans="1:4" x14ac:dyDescent="0.2">
      <c r="A71" t="s">
        <v>66</v>
      </c>
      <c r="B71" t="s">
        <v>72</v>
      </c>
      <c r="C71" t="s">
        <v>85</v>
      </c>
      <c r="D71" s="2">
        <v>0.77700000000000002</v>
      </c>
    </row>
    <row r="72" spans="1:4" x14ac:dyDescent="0.2">
      <c r="A72" t="s">
        <v>66</v>
      </c>
      <c r="B72" t="s">
        <v>4</v>
      </c>
      <c r="C72" t="s">
        <v>56</v>
      </c>
      <c r="D72" s="2">
        <v>1</v>
      </c>
    </row>
    <row r="73" spans="1:4" x14ac:dyDescent="0.2">
      <c r="A73" t="s">
        <v>66</v>
      </c>
      <c r="B73" t="s">
        <v>3</v>
      </c>
      <c r="C73" t="s">
        <v>56</v>
      </c>
      <c r="D73" s="2">
        <v>1</v>
      </c>
    </row>
    <row r="74" spans="1:4" x14ac:dyDescent="0.2">
      <c r="A74" t="s">
        <v>67</v>
      </c>
      <c r="B74" t="s">
        <v>69</v>
      </c>
      <c r="C74" t="s">
        <v>2</v>
      </c>
      <c r="D74" s="2">
        <v>1</v>
      </c>
    </row>
    <row r="75" spans="1:4" x14ac:dyDescent="0.2">
      <c r="A75" t="s">
        <v>67</v>
      </c>
      <c r="B75" t="s">
        <v>2</v>
      </c>
      <c r="C75" t="s">
        <v>70</v>
      </c>
      <c r="D75" s="2">
        <v>0.84</v>
      </c>
    </row>
    <row r="76" spans="1:4" x14ac:dyDescent="0.2">
      <c r="A76" t="s">
        <v>67</v>
      </c>
      <c r="B76" t="s">
        <v>2</v>
      </c>
      <c r="C76" t="s">
        <v>72</v>
      </c>
      <c r="D76" s="2">
        <v>0.08</v>
      </c>
    </row>
    <row r="77" spans="1:4" x14ac:dyDescent="0.2">
      <c r="A77" t="s">
        <v>67</v>
      </c>
      <c r="B77" t="s">
        <v>2</v>
      </c>
      <c r="C77" t="s">
        <v>83</v>
      </c>
      <c r="D77" s="2">
        <v>0.08</v>
      </c>
    </row>
    <row r="78" spans="1:4" x14ac:dyDescent="0.2">
      <c r="A78" t="s">
        <v>67</v>
      </c>
      <c r="B78" t="s">
        <v>70</v>
      </c>
      <c r="C78" t="s">
        <v>92</v>
      </c>
      <c r="D78" s="2">
        <v>0.57999999999999996</v>
      </c>
    </row>
    <row r="79" spans="1:4" x14ac:dyDescent="0.2">
      <c r="A79" t="s">
        <v>67</v>
      </c>
      <c r="B79" t="s">
        <v>70</v>
      </c>
      <c r="C79" t="s">
        <v>82</v>
      </c>
      <c r="D79" s="2">
        <v>0.42</v>
      </c>
    </row>
    <row r="80" spans="1:4" x14ac:dyDescent="0.2">
      <c r="A80" t="s">
        <v>67</v>
      </c>
      <c r="B80" t="s">
        <v>92</v>
      </c>
      <c r="C80" t="s">
        <v>71</v>
      </c>
      <c r="D80" s="2">
        <v>0.71</v>
      </c>
    </row>
    <row r="81" spans="1:4" x14ac:dyDescent="0.2">
      <c r="A81" t="s">
        <v>67</v>
      </c>
      <c r="B81" t="s">
        <v>92</v>
      </c>
      <c r="C81" t="s">
        <v>83</v>
      </c>
      <c r="D81" s="2">
        <v>0.28999999999999998</v>
      </c>
    </row>
    <row r="82" spans="1:4" x14ac:dyDescent="0.2">
      <c r="A82" t="s">
        <v>67</v>
      </c>
      <c r="B82" t="s">
        <v>82</v>
      </c>
      <c r="C82" t="s">
        <v>4</v>
      </c>
      <c r="D82" s="2">
        <v>0.4</v>
      </c>
    </row>
    <row r="83" spans="1:4" x14ac:dyDescent="0.2">
      <c r="A83" t="s">
        <v>67</v>
      </c>
      <c r="B83" t="s">
        <v>82</v>
      </c>
      <c r="C83" t="s">
        <v>3</v>
      </c>
      <c r="D83" s="2">
        <v>0.6</v>
      </c>
    </row>
    <row r="84" spans="1:4" x14ac:dyDescent="0.2">
      <c r="A84" t="s">
        <v>67</v>
      </c>
      <c r="B84" t="s">
        <v>71</v>
      </c>
      <c r="C84" t="s">
        <v>4</v>
      </c>
      <c r="D84" s="2">
        <v>7.0000000000000007E-2</v>
      </c>
    </row>
    <row r="85" spans="1:4" x14ac:dyDescent="0.2">
      <c r="A85" t="s">
        <v>67</v>
      </c>
      <c r="B85" t="s">
        <v>71</v>
      </c>
      <c r="C85" t="s">
        <v>3</v>
      </c>
      <c r="D85" s="2">
        <v>0.1</v>
      </c>
    </row>
    <row r="86" spans="1:4" x14ac:dyDescent="0.2">
      <c r="A86" t="s">
        <v>67</v>
      </c>
      <c r="B86" t="s">
        <v>71</v>
      </c>
      <c r="C86" t="s">
        <v>72</v>
      </c>
      <c r="D86" s="2">
        <v>0.83</v>
      </c>
    </row>
    <row r="87" spans="1:4" x14ac:dyDescent="0.2">
      <c r="A87" t="s">
        <v>67</v>
      </c>
      <c r="B87" t="s">
        <v>72</v>
      </c>
      <c r="C87" t="s">
        <v>4</v>
      </c>
      <c r="D87" s="2">
        <v>6.6000000000000003E-2</v>
      </c>
    </row>
    <row r="88" spans="1:4" x14ac:dyDescent="0.2">
      <c r="A88" t="s">
        <v>67</v>
      </c>
      <c r="B88" t="s">
        <v>72</v>
      </c>
      <c r="C88" t="s">
        <v>3</v>
      </c>
      <c r="D88" s="2">
        <v>0.10100000000000001</v>
      </c>
    </row>
    <row r="89" spans="1:4" x14ac:dyDescent="0.2">
      <c r="A89" t="s">
        <v>67</v>
      </c>
      <c r="B89" t="s">
        <v>72</v>
      </c>
      <c r="C89" t="s">
        <v>85</v>
      </c>
      <c r="D89" s="2">
        <v>0.83299999999999996</v>
      </c>
    </row>
    <row r="90" spans="1:4" x14ac:dyDescent="0.2">
      <c r="A90" t="s">
        <v>67</v>
      </c>
      <c r="B90" t="s">
        <v>4</v>
      </c>
      <c r="C90" t="s">
        <v>56</v>
      </c>
      <c r="D90" s="2">
        <v>1</v>
      </c>
    </row>
    <row r="91" spans="1:4" x14ac:dyDescent="0.2">
      <c r="A91" t="s">
        <v>67</v>
      </c>
      <c r="B91" t="s">
        <v>3</v>
      </c>
      <c r="C91" t="s">
        <v>56</v>
      </c>
      <c r="D91" s="2">
        <v>1</v>
      </c>
    </row>
    <row r="92" spans="1:4" x14ac:dyDescent="0.2">
      <c r="A92" t="s">
        <v>68</v>
      </c>
      <c r="B92" t="s">
        <v>69</v>
      </c>
      <c r="C92" t="s">
        <v>2</v>
      </c>
      <c r="D92" s="2">
        <v>1</v>
      </c>
    </row>
    <row r="93" spans="1:4" x14ac:dyDescent="0.2">
      <c r="A93" t="s">
        <v>68</v>
      </c>
      <c r="B93" t="s">
        <v>2</v>
      </c>
      <c r="C93" t="s">
        <v>70</v>
      </c>
      <c r="D93" s="2">
        <v>0.84</v>
      </c>
    </row>
    <row r="94" spans="1:4" x14ac:dyDescent="0.2">
      <c r="A94" t="s">
        <v>68</v>
      </c>
      <c r="B94" t="s">
        <v>2</v>
      </c>
      <c r="C94" t="s">
        <v>72</v>
      </c>
      <c r="D94" s="2">
        <v>0.08</v>
      </c>
    </row>
    <row r="95" spans="1:4" x14ac:dyDescent="0.2">
      <c r="A95" t="s">
        <v>68</v>
      </c>
      <c r="B95" t="s">
        <v>2</v>
      </c>
      <c r="C95" t="s">
        <v>83</v>
      </c>
      <c r="D95" s="2">
        <v>0.08</v>
      </c>
    </row>
    <row r="96" spans="1:4" x14ac:dyDescent="0.2">
      <c r="A96" t="s">
        <v>68</v>
      </c>
      <c r="B96" t="s">
        <v>70</v>
      </c>
      <c r="C96" t="s">
        <v>92</v>
      </c>
      <c r="D96" s="2">
        <v>0.55000000000000004</v>
      </c>
    </row>
    <row r="97" spans="1:4" x14ac:dyDescent="0.2">
      <c r="A97" t="s">
        <v>68</v>
      </c>
      <c r="B97" t="s">
        <v>70</v>
      </c>
      <c r="C97" t="s">
        <v>82</v>
      </c>
      <c r="D97" s="2">
        <v>0.45</v>
      </c>
    </row>
    <row r="98" spans="1:4" x14ac:dyDescent="0.2">
      <c r="A98" t="s">
        <v>68</v>
      </c>
      <c r="B98" t="s">
        <v>92</v>
      </c>
      <c r="C98" t="s">
        <v>71</v>
      </c>
      <c r="D98" s="2">
        <v>0.71</v>
      </c>
    </row>
    <row r="99" spans="1:4" x14ac:dyDescent="0.2">
      <c r="A99" t="s">
        <v>68</v>
      </c>
      <c r="B99" t="s">
        <v>92</v>
      </c>
      <c r="C99" t="s">
        <v>83</v>
      </c>
      <c r="D99" s="2">
        <v>0.28999999999999998</v>
      </c>
    </row>
    <row r="100" spans="1:4" x14ac:dyDescent="0.2">
      <c r="A100" t="s">
        <v>68</v>
      </c>
      <c r="B100" t="s">
        <v>82</v>
      </c>
      <c r="C100" t="s">
        <v>4</v>
      </c>
      <c r="D100" s="2">
        <v>0.4</v>
      </c>
    </row>
    <row r="101" spans="1:4" x14ac:dyDescent="0.2">
      <c r="A101" t="s">
        <v>68</v>
      </c>
      <c r="B101" t="s">
        <v>82</v>
      </c>
      <c r="C101" t="s">
        <v>3</v>
      </c>
      <c r="D101" s="2">
        <v>0.6</v>
      </c>
    </row>
    <row r="102" spans="1:4" x14ac:dyDescent="0.2">
      <c r="A102" t="s">
        <v>68</v>
      </c>
      <c r="B102" t="s">
        <v>71</v>
      </c>
      <c r="C102" t="s">
        <v>4</v>
      </c>
      <c r="D102" s="2">
        <v>0.3</v>
      </c>
    </row>
    <row r="103" spans="1:4" x14ac:dyDescent="0.2">
      <c r="A103" t="s">
        <v>68</v>
      </c>
      <c r="B103" t="s">
        <v>71</v>
      </c>
      <c r="C103" t="s">
        <v>3</v>
      </c>
      <c r="D103" s="2">
        <v>0.46</v>
      </c>
    </row>
    <row r="104" spans="1:4" x14ac:dyDescent="0.2">
      <c r="A104" t="s">
        <v>68</v>
      </c>
      <c r="B104" t="s">
        <v>71</v>
      </c>
      <c r="C104" t="s">
        <v>72</v>
      </c>
      <c r="D104" s="2">
        <v>0.24</v>
      </c>
    </row>
    <row r="105" spans="1:4" x14ac:dyDescent="0.2">
      <c r="A105" t="s">
        <v>68</v>
      </c>
      <c r="B105" t="s">
        <v>72</v>
      </c>
      <c r="C105" t="s">
        <v>4</v>
      </c>
      <c r="D105" s="2">
        <v>8.7999999999999995E-2</v>
      </c>
    </row>
    <row r="106" spans="1:4" x14ac:dyDescent="0.2">
      <c r="A106" t="s">
        <v>68</v>
      </c>
      <c r="B106" t="s">
        <v>72</v>
      </c>
      <c r="C106" t="s">
        <v>3</v>
      </c>
      <c r="D106" s="2">
        <v>0.13500000000000001</v>
      </c>
    </row>
    <row r="107" spans="1:4" x14ac:dyDescent="0.2">
      <c r="A107" t="s">
        <v>68</v>
      </c>
      <c r="B107" t="s">
        <v>72</v>
      </c>
      <c r="C107" t="s">
        <v>85</v>
      </c>
      <c r="D107" s="2">
        <v>0.77700000000000002</v>
      </c>
    </row>
    <row r="108" spans="1:4" x14ac:dyDescent="0.2">
      <c r="A108" t="s">
        <v>68</v>
      </c>
      <c r="B108" t="s">
        <v>4</v>
      </c>
      <c r="C108" t="s">
        <v>56</v>
      </c>
      <c r="D108" s="2">
        <v>1</v>
      </c>
    </row>
    <row r="109" spans="1:4" x14ac:dyDescent="0.2">
      <c r="A109" t="s">
        <v>68</v>
      </c>
      <c r="B109" t="s">
        <v>3</v>
      </c>
      <c r="C109" t="s">
        <v>56</v>
      </c>
      <c r="D109" s="2">
        <v>1</v>
      </c>
    </row>
    <row r="110" spans="1:4" x14ac:dyDescent="0.2">
      <c r="A110" t="s">
        <v>11</v>
      </c>
      <c r="B110" t="s">
        <v>69</v>
      </c>
      <c r="C110" t="s">
        <v>2</v>
      </c>
      <c r="D110" s="2">
        <v>1</v>
      </c>
    </row>
    <row r="111" spans="1:4" x14ac:dyDescent="0.2">
      <c r="A111" t="s">
        <v>11</v>
      </c>
      <c r="B111" t="s">
        <v>2</v>
      </c>
      <c r="C111" t="s">
        <v>70</v>
      </c>
      <c r="D111" s="2">
        <v>0.93</v>
      </c>
    </row>
    <row r="112" spans="1:4" x14ac:dyDescent="0.2">
      <c r="A112" t="s">
        <v>11</v>
      </c>
      <c r="B112" t="s">
        <v>2</v>
      </c>
      <c r="C112" t="s">
        <v>72</v>
      </c>
      <c r="D112" s="2">
        <v>7.0000000000000007E-2</v>
      </c>
    </row>
    <row r="113" spans="1:4" x14ac:dyDescent="0.2">
      <c r="A113" t="s">
        <v>11</v>
      </c>
      <c r="B113" t="s">
        <v>70</v>
      </c>
      <c r="C113" t="s">
        <v>92</v>
      </c>
      <c r="D113" s="2">
        <v>0.5</v>
      </c>
    </row>
    <row r="114" spans="1:4" x14ac:dyDescent="0.2">
      <c r="A114" t="s">
        <v>11</v>
      </c>
      <c r="B114" t="s">
        <v>70</v>
      </c>
      <c r="C114" t="s">
        <v>82</v>
      </c>
      <c r="D114" s="2">
        <v>0.5</v>
      </c>
    </row>
    <row r="115" spans="1:4" x14ac:dyDescent="0.2">
      <c r="A115" t="s">
        <v>11</v>
      </c>
      <c r="B115" t="s">
        <v>92</v>
      </c>
      <c r="C115" t="s">
        <v>71</v>
      </c>
      <c r="D115" s="2">
        <v>0.91</v>
      </c>
    </row>
    <row r="116" spans="1:4" x14ac:dyDescent="0.2">
      <c r="A116" t="s">
        <v>11</v>
      </c>
      <c r="B116" t="s">
        <v>92</v>
      </c>
      <c r="C116" t="s">
        <v>83</v>
      </c>
      <c r="D116" s="2">
        <v>0.09</v>
      </c>
    </row>
    <row r="117" spans="1:4" x14ac:dyDescent="0.2">
      <c r="A117" t="s">
        <v>11</v>
      </c>
      <c r="B117" t="s">
        <v>82</v>
      </c>
      <c r="C117" t="s">
        <v>4</v>
      </c>
      <c r="D117" s="2">
        <v>0.4</v>
      </c>
    </row>
    <row r="118" spans="1:4" x14ac:dyDescent="0.2">
      <c r="A118" t="s">
        <v>11</v>
      </c>
      <c r="B118" t="s">
        <v>82</v>
      </c>
      <c r="C118" t="s">
        <v>3</v>
      </c>
      <c r="D118" s="2">
        <v>0.6</v>
      </c>
    </row>
    <row r="119" spans="1:4" x14ac:dyDescent="0.2">
      <c r="A119" t="s">
        <v>11</v>
      </c>
      <c r="B119" t="s">
        <v>71</v>
      </c>
      <c r="C119" t="s">
        <v>4</v>
      </c>
      <c r="D119" s="2">
        <v>0.4</v>
      </c>
    </row>
    <row r="120" spans="1:4" x14ac:dyDescent="0.2">
      <c r="A120" t="s">
        <v>11</v>
      </c>
      <c r="B120" t="s">
        <v>71</v>
      </c>
      <c r="C120" t="s">
        <v>3</v>
      </c>
      <c r="D120" s="2">
        <v>0.6</v>
      </c>
    </row>
    <row r="121" spans="1:4" x14ac:dyDescent="0.2">
      <c r="A121" t="s">
        <v>11</v>
      </c>
      <c r="B121" t="s">
        <v>4</v>
      </c>
      <c r="C121" t="s">
        <v>56</v>
      </c>
      <c r="D121" s="2">
        <v>1</v>
      </c>
    </row>
    <row r="122" spans="1:4" x14ac:dyDescent="0.2">
      <c r="A122" t="s">
        <v>11</v>
      </c>
      <c r="B122" t="s">
        <v>3</v>
      </c>
      <c r="C122" t="s">
        <v>56</v>
      </c>
      <c r="D122" s="2">
        <v>1</v>
      </c>
    </row>
  </sheetData>
  <dataValidations count="1">
    <dataValidation type="list" allowBlank="1" showInputMessage="1" showErrorMessage="1" sqref="B128:C130" xr:uid="{9ECD6081-3F1E-5943-844B-978093DB90F6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F32638-0862-C946-9D07-D76052F211F3}">
          <x14:formula1>
            <xm:f>process_list!$A$2:$A$13</xm:f>
          </x14:formula1>
          <xm:sqref>H7:H8 H13:H22 B2:C109 B110:C122</xm:sqref>
        </x14:dataValidation>
        <x14:dataValidation type="list" allowBlank="1" showInputMessage="1" showErrorMessage="1" xr:uid="{B6578267-B27C-7946-A807-69C6F4A964CE}">
          <x14:formula1>
            <xm:f>parameters!$A$2:$A$8</xm:f>
          </x14:formula1>
          <xm:sqref>A2:A109 A110:A122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37E-8FDD-384D-BBC3-07C00311CD89}">
  <dimension ref="A1:N122"/>
  <sheetViews>
    <sheetView zoomScale="94" zoomScaleNormal="100" workbookViewId="0">
      <pane ySplit="1" topLeftCell="A2" activePane="bottomLeft" state="frozen"/>
      <selection pane="bottomLeft" activeCell="I116" sqref="I11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23.83203125" bestFit="1" customWidth="1"/>
  </cols>
  <sheetData>
    <row r="1" spans="1:14" x14ac:dyDescent="0.2">
      <c r="A1" t="s">
        <v>14</v>
      </c>
      <c r="B1" t="s">
        <v>97</v>
      </c>
      <c r="C1" t="s">
        <v>96</v>
      </c>
      <c r="D1" t="s">
        <v>100</v>
      </c>
    </row>
    <row r="2" spans="1:14" x14ac:dyDescent="0.2">
      <c r="A2" t="str">
        <f>parameters!A2</f>
        <v>Food packaging 2d</v>
      </c>
      <c r="B2" t="s">
        <v>69</v>
      </c>
      <c r="C2" t="s">
        <v>2</v>
      </c>
      <c r="D2" s="2">
        <v>1</v>
      </c>
    </row>
    <row r="3" spans="1:14" x14ac:dyDescent="0.2">
      <c r="A3" t="s">
        <v>63</v>
      </c>
      <c r="B3" t="s">
        <v>2</v>
      </c>
      <c r="C3" t="s">
        <v>70</v>
      </c>
      <c r="D3">
        <v>0.84</v>
      </c>
    </row>
    <row r="4" spans="1:14" x14ac:dyDescent="0.2">
      <c r="A4" t="s">
        <v>63</v>
      </c>
      <c r="B4" t="s">
        <v>2</v>
      </c>
      <c r="C4" t="s">
        <v>72</v>
      </c>
      <c r="D4">
        <v>0.08</v>
      </c>
    </row>
    <row r="5" spans="1:14" x14ac:dyDescent="0.2">
      <c r="A5" t="s">
        <v>63</v>
      </c>
      <c r="B5" t="s">
        <v>2</v>
      </c>
      <c r="C5" t="s">
        <v>83</v>
      </c>
      <c r="D5" s="2">
        <v>0.08</v>
      </c>
      <c r="F5" s="21"/>
      <c r="G5" s="2"/>
      <c r="H5" s="2"/>
      <c r="J5" s="21"/>
      <c r="M5" s="21"/>
    </row>
    <row r="6" spans="1:14" x14ac:dyDescent="0.2">
      <c r="A6" t="s">
        <v>63</v>
      </c>
      <c r="B6" t="s">
        <v>70</v>
      </c>
      <c r="C6" t="s">
        <v>92</v>
      </c>
      <c r="D6" s="2">
        <v>0.7</v>
      </c>
      <c r="G6" s="21"/>
      <c r="H6" s="21"/>
    </row>
    <row r="7" spans="1:14" x14ac:dyDescent="0.2">
      <c r="A7" t="s">
        <v>63</v>
      </c>
      <c r="B7" t="s">
        <v>70</v>
      </c>
      <c r="C7" t="s">
        <v>82</v>
      </c>
      <c r="D7" s="2">
        <v>0.3</v>
      </c>
      <c r="H7" s="21"/>
      <c r="M7" s="21"/>
    </row>
    <row r="8" spans="1:14" x14ac:dyDescent="0.2">
      <c r="A8" t="s">
        <v>63</v>
      </c>
      <c r="B8" t="s">
        <v>92</v>
      </c>
      <c r="C8" t="s">
        <v>71</v>
      </c>
      <c r="D8" s="2">
        <v>0.71</v>
      </c>
      <c r="H8" s="21"/>
      <c r="J8" s="21"/>
      <c r="K8" s="21"/>
    </row>
    <row r="9" spans="1:14" x14ac:dyDescent="0.2">
      <c r="A9" t="s">
        <v>63</v>
      </c>
      <c r="B9" t="s">
        <v>92</v>
      </c>
      <c r="C9" t="s">
        <v>83</v>
      </c>
      <c r="D9" s="2">
        <v>0.28999999999999998</v>
      </c>
      <c r="J9" s="21"/>
      <c r="K9" s="21"/>
      <c r="L9" s="21"/>
    </row>
    <row r="10" spans="1:14" x14ac:dyDescent="0.2">
      <c r="A10" t="s">
        <v>63</v>
      </c>
      <c r="B10" t="s">
        <v>82</v>
      </c>
      <c r="C10" t="s">
        <v>4</v>
      </c>
      <c r="D10" s="2">
        <v>0.4</v>
      </c>
    </row>
    <row r="11" spans="1:14" x14ac:dyDescent="0.2">
      <c r="A11" t="s">
        <v>63</v>
      </c>
      <c r="B11" t="s">
        <v>82</v>
      </c>
      <c r="C11" t="s">
        <v>3</v>
      </c>
      <c r="D11" s="2">
        <v>0.6</v>
      </c>
    </row>
    <row r="12" spans="1:14" x14ac:dyDescent="0.2">
      <c r="A12" t="s">
        <v>63</v>
      </c>
      <c r="B12" t="s">
        <v>71</v>
      </c>
      <c r="C12" t="s">
        <v>4</v>
      </c>
      <c r="D12" s="4">
        <v>0.17</v>
      </c>
      <c r="K12" s="21"/>
      <c r="N12" s="21"/>
    </row>
    <row r="13" spans="1:14" x14ac:dyDescent="0.2">
      <c r="A13" t="s">
        <v>63</v>
      </c>
      <c r="B13" t="s">
        <v>71</v>
      </c>
      <c r="C13" t="s">
        <v>3</v>
      </c>
      <c r="D13" s="2">
        <v>0.25</v>
      </c>
    </row>
    <row r="14" spans="1:14" x14ac:dyDescent="0.2">
      <c r="A14" t="s">
        <v>63</v>
      </c>
      <c r="B14" t="s">
        <v>71</v>
      </c>
      <c r="C14" t="s">
        <v>72</v>
      </c>
      <c r="D14" s="2">
        <v>0.57999999999999996</v>
      </c>
    </row>
    <row r="15" spans="1:14" x14ac:dyDescent="0.2">
      <c r="A15" t="s">
        <v>63</v>
      </c>
      <c r="B15" t="s">
        <v>72</v>
      </c>
      <c r="C15" t="s">
        <v>4</v>
      </c>
      <c r="D15" s="2">
        <v>8.7999999999999995E-2</v>
      </c>
    </row>
    <row r="16" spans="1:14" x14ac:dyDescent="0.2">
      <c r="A16" t="s">
        <v>63</v>
      </c>
      <c r="B16" t="s">
        <v>72</v>
      </c>
      <c r="C16" t="s">
        <v>3</v>
      </c>
      <c r="D16" s="2">
        <v>0.13500000000000001</v>
      </c>
    </row>
    <row r="17" spans="1:4" x14ac:dyDescent="0.2">
      <c r="A17" t="s">
        <v>63</v>
      </c>
      <c r="B17" t="s">
        <v>72</v>
      </c>
      <c r="C17" t="s">
        <v>85</v>
      </c>
      <c r="D17" s="2">
        <v>0.77700000000000002</v>
      </c>
    </row>
    <row r="18" spans="1:4" x14ac:dyDescent="0.2">
      <c r="A18" t="s">
        <v>63</v>
      </c>
      <c r="B18" t="s">
        <v>4</v>
      </c>
      <c r="C18" t="s">
        <v>56</v>
      </c>
      <c r="D18" s="2">
        <v>1</v>
      </c>
    </row>
    <row r="19" spans="1:4" x14ac:dyDescent="0.2">
      <c r="A19" t="s">
        <v>63</v>
      </c>
      <c r="B19" t="s">
        <v>3</v>
      </c>
      <c r="C19" t="s">
        <v>56</v>
      </c>
      <c r="D19" s="2">
        <v>1</v>
      </c>
    </row>
    <row r="20" spans="1:4" x14ac:dyDescent="0.2">
      <c r="A20" t="s">
        <v>64</v>
      </c>
      <c r="B20" t="s">
        <v>69</v>
      </c>
      <c r="C20" t="s">
        <v>2</v>
      </c>
      <c r="D20" s="2">
        <v>1</v>
      </c>
    </row>
    <row r="21" spans="1:4" x14ac:dyDescent="0.2">
      <c r="A21" t="s">
        <v>64</v>
      </c>
      <c r="B21" t="s">
        <v>2</v>
      </c>
      <c r="C21" t="s">
        <v>70</v>
      </c>
      <c r="D21">
        <v>0.84</v>
      </c>
    </row>
    <row r="22" spans="1:4" x14ac:dyDescent="0.2">
      <c r="A22" t="s">
        <v>64</v>
      </c>
      <c r="B22" t="s">
        <v>2</v>
      </c>
      <c r="C22" t="s">
        <v>72</v>
      </c>
      <c r="D22">
        <v>0.08</v>
      </c>
    </row>
    <row r="23" spans="1:4" x14ac:dyDescent="0.2">
      <c r="A23" t="s">
        <v>64</v>
      </c>
      <c r="B23" t="s">
        <v>2</v>
      </c>
      <c r="C23" t="s">
        <v>83</v>
      </c>
      <c r="D23" s="2">
        <v>0.08</v>
      </c>
    </row>
    <row r="24" spans="1:4" x14ac:dyDescent="0.2">
      <c r="A24" t="s">
        <v>64</v>
      </c>
      <c r="B24" t="s">
        <v>70</v>
      </c>
      <c r="C24" t="s">
        <v>92</v>
      </c>
      <c r="D24" s="2">
        <v>0.57999999999999996</v>
      </c>
    </row>
    <row r="25" spans="1:4" x14ac:dyDescent="0.2">
      <c r="A25" t="s">
        <v>64</v>
      </c>
      <c r="B25" t="s">
        <v>70</v>
      </c>
      <c r="C25" t="s">
        <v>82</v>
      </c>
      <c r="D25" s="2">
        <v>0.42</v>
      </c>
    </row>
    <row r="26" spans="1:4" x14ac:dyDescent="0.2">
      <c r="A26" t="s">
        <v>64</v>
      </c>
      <c r="B26" t="s">
        <v>92</v>
      </c>
      <c r="C26" t="s">
        <v>71</v>
      </c>
      <c r="D26" s="2">
        <v>0.71</v>
      </c>
    </row>
    <row r="27" spans="1:4" x14ac:dyDescent="0.2">
      <c r="A27" t="s">
        <v>64</v>
      </c>
      <c r="B27" t="s">
        <v>92</v>
      </c>
      <c r="C27" t="s">
        <v>83</v>
      </c>
      <c r="D27" s="2">
        <v>0.28999999999999998</v>
      </c>
    </row>
    <row r="28" spans="1:4" x14ac:dyDescent="0.2">
      <c r="A28" t="s">
        <v>64</v>
      </c>
      <c r="B28" t="s">
        <v>82</v>
      </c>
      <c r="C28" t="s">
        <v>4</v>
      </c>
      <c r="D28" s="2">
        <v>0.4</v>
      </c>
    </row>
    <row r="29" spans="1:4" x14ac:dyDescent="0.2">
      <c r="A29" t="s">
        <v>64</v>
      </c>
      <c r="B29" t="s">
        <v>82</v>
      </c>
      <c r="C29" t="s">
        <v>3</v>
      </c>
      <c r="D29" s="2">
        <v>0.6</v>
      </c>
    </row>
    <row r="30" spans="1:4" x14ac:dyDescent="0.2">
      <c r="A30" t="s">
        <v>64</v>
      </c>
      <c r="B30" t="s">
        <v>71</v>
      </c>
      <c r="C30" t="s">
        <v>4</v>
      </c>
      <c r="D30" s="2">
        <v>7.0000000000000007E-2</v>
      </c>
    </row>
    <row r="31" spans="1:4" x14ac:dyDescent="0.2">
      <c r="A31" t="s">
        <v>64</v>
      </c>
      <c r="B31" t="s">
        <v>71</v>
      </c>
      <c r="C31" t="s">
        <v>3</v>
      </c>
      <c r="D31" s="2">
        <v>0.1</v>
      </c>
    </row>
    <row r="32" spans="1:4" x14ac:dyDescent="0.2">
      <c r="A32" t="s">
        <v>64</v>
      </c>
      <c r="B32" t="s">
        <v>71</v>
      </c>
      <c r="C32" t="s">
        <v>72</v>
      </c>
      <c r="D32" s="2">
        <v>0.83</v>
      </c>
    </row>
    <row r="33" spans="1:4" x14ac:dyDescent="0.2">
      <c r="A33" t="s">
        <v>64</v>
      </c>
      <c r="B33" t="s">
        <v>72</v>
      </c>
      <c r="C33" t="s">
        <v>4</v>
      </c>
      <c r="D33" s="2">
        <v>6.6000000000000003E-2</v>
      </c>
    </row>
    <row r="34" spans="1:4" x14ac:dyDescent="0.2">
      <c r="A34" t="s">
        <v>64</v>
      </c>
      <c r="B34" t="s">
        <v>72</v>
      </c>
      <c r="C34" t="s">
        <v>3</v>
      </c>
      <c r="D34" s="2">
        <v>0.10100000000000001</v>
      </c>
    </row>
    <row r="35" spans="1:4" x14ac:dyDescent="0.2">
      <c r="A35" t="s">
        <v>64</v>
      </c>
      <c r="B35" t="s">
        <v>72</v>
      </c>
      <c r="C35" t="s">
        <v>85</v>
      </c>
      <c r="D35" s="2">
        <v>0.83299999999999996</v>
      </c>
    </row>
    <row r="36" spans="1:4" x14ac:dyDescent="0.2">
      <c r="A36" t="s">
        <v>64</v>
      </c>
      <c r="B36" t="s">
        <v>4</v>
      </c>
      <c r="C36" t="s">
        <v>56</v>
      </c>
      <c r="D36" s="2">
        <v>1</v>
      </c>
    </row>
    <row r="37" spans="1:4" x14ac:dyDescent="0.2">
      <c r="A37" t="s">
        <v>64</v>
      </c>
      <c r="B37" t="s">
        <v>3</v>
      </c>
      <c r="C37" t="s">
        <v>56</v>
      </c>
      <c r="D37" s="2">
        <v>1</v>
      </c>
    </row>
    <row r="38" spans="1:4" x14ac:dyDescent="0.2">
      <c r="A38" t="s">
        <v>65</v>
      </c>
      <c r="B38" t="s">
        <v>69</v>
      </c>
      <c r="C38" t="s">
        <v>2</v>
      </c>
      <c r="D38" s="2">
        <v>1</v>
      </c>
    </row>
    <row r="39" spans="1:4" x14ac:dyDescent="0.2">
      <c r="A39" t="s">
        <v>65</v>
      </c>
      <c r="B39" t="s">
        <v>2</v>
      </c>
      <c r="C39" t="s">
        <v>70</v>
      </c>
      <c r="D39" s="2">
        <v>0.84</v>
      </c>
    </row>
    <row r="40" spans="1:4" x14ac:dyDescent="0.2">
      <c r="A40" t="s">
        <v>65</v>
      </c>
      <c r="B40" t="s">
        <v>2</v>
      </c>
      <c r="C40" t="s">
        <v>72</v>
      </c>
      <c r="D40" s="2">
        <v>0.08</v>
      </c>
    </row>
    <row r="41" spans="1:4" x14ac:dyDescent="0.2">
      <c r="A41" t="s">
        <v>65</v>
      </c>
      <c r="B41" t="s">
        <v>2</v>
      </c>
      <c r="C41" t="s">
        <v>83</v>
      </c>
      <c r="D41" s="2">
        <v>0.08</v>
      </c>
    </row>
    <row r="42" spans="1:4" x14ac:dyDescent="0.2">
      <c r="A42" t="s">
        <v>65</v>
      </c>
      <c r="B42" t="s">
        <v>70</v>
      </c>
      <c r="C42" t="s">
        <v>92</v>
      </c>
      <c r="D42" s="2">
        <v>0.55000000000000004</v>
      </c>
    </row>
    <row r="43" spans="1:4" x14ac:dyDescent="0.2">
      <c r="A43" t="s">
        <v>65</v>
      </c>
      <c r="B43" t="s">
        <v>70</v>
      </c>
      <c r="C43" t="s">
        <v>82</v>
      </c>
      <c r="D43" s="2">
        <v>0.45</v>
      </c>
    </row>
    <row r="44" spans="1:4" x14ac:dyDescent="0.2">
      <c r="A44" t="s">
        <v>65</v>
      </c>
      <c r="B44" t="s">
        <v>92</v>
      </c>
      <c r="C44" t="s">
        <v>71</v>
      </c>
      <c r="D44" s="2">
        <v>0.71</v>
      </c>
    </row>
    <row r="45" spans="1:4" x14ac:dyDescent="0.2">
      <c r="A45" t="s">
        <v>65</v>
      </c>
      <c r="B45" t="s">
        <v>92</v>
      </c>
      <c r="C45" t="s">
        <v>83</v>
      </c>
      <c r="D45" s="2">
        <v>0.28999999999999998</v>
      </c>
    </row>
    <row r="46" spans="1:4" x14ac:dyDescent="0.2">
      <c r="A46" t="s">
        <v>65</v>
      </c>
      <c r="B46" t="s">
        <v>82</v>
      </c>
      <c r="C46" t="s">
        <v>4</v>
      </c>
      <c r="D46" s="2">
        <v>0.4</v>
      </c>
    </row>
    <row r="47" spans="1:4" x14ac:dyDescent="0.2">
      <c r="A47" t="s">
        <v>65</v>
      </c>
      <c r="B47" t="s">
        <v>82</v>
      </c>
      <c r="C47" t="s">
        <v>3</v>
      </c>
      <c r="D47" s="2">
        <v>0.6</v>
      </c>
    </row>
    <row r="48" spans="1:4" x14ac:dyDescent="0.2">
      <c r="A48" t="s">
        <v>65</v>
      </c>
      <c r="B48" t="s">
        <v>71</v>
      </c>
      <c r="C48" t="s">
        <v>4</v>
      </c>
      <c r="D48" s="2">
        <v>0.3</v>
      </c>
    </row>
    <row r="49" spans="1:4" x14ac:dyDescent="0.2">
      <c r="A49" t="s">
        <v>65</v>
      </c>
      <c r="B49" t="s">
        <v>71</v>
      </c>
      <c r="C49" t="s">
        <v>3</v>
      </c>
      <c r="D49" s="2">
        <v>0.46</v>
      </c>
    </row>
    <row r="50" spans="1:4" x14ac:dyDescent="0.2">
      <c r="A50" t="s">
        <v>65</v>
      </c>
      <c r="B50" t="s">
        <v>71</v>
      </c>
      <c r="C50" t="s">
        <v>72</v>
      </c>
      <c r="D50" s="2">
        <v>0.24</v>
      </c>
    </row>
    <row r="51" spans="1:4" x14ac:dyDescent="0.2">
      <c r="A51" t="s">
        <v>65</v>
      </c>
      <c r="B51" t="s">
        <v>72</v>
      </c>
      <c r="C51" t="s">
        <v>4</v>
      </c>
      <c r="D51" s="2">
        <v>8.7999999999999995E-2</v>
      </c>
    </row>
    <row r="52" spans="1:4" x14ac:dyDescent="0.2">
      <c r="A52" t="s">
        <v>65</v>
      </c>
      <c r="B52" t="s">
        <v>72</v>
      </c>
      <c r="C52" t="s">
        <v>3</v>
      </c>
      <c r="D52" s="2">
        <v>0.13500000000000001</v>
      </c>
    </row>
    <row r="53" spans="1:4" x14ac:dyDescent="0.2">
      <c r="A53" t="s">
        <v>65</v>
      </c>
      <c r="B53" t="s">
        <v>72</v>
      </c>
      <c r="C53" t="s">
        <v>85</v>
      </c>
      <c r="D53" s="2">
        <v>0.77700000000000002</v>
      </c>
    </row>
    <row r="54" spans="1:4" x14ac:dyDescent="0.2">
      <c r="A54" t="s">
        <v>65</v>
      </c>
      <c r="B54" t="s">
        <v>4</v>
      </c>
      <c r="C54" t="s">
        <v>56</v>
      </c>
      <c r="D54" s="2">
        <v>1</v>
      </c>
    </row>
    <row r="55" spans="1:4" x14ac:dyDescent="0.2">
      <c r="A55" t="s">
        <v>65</v>
      </c>
      <c r="B55" t="s">
        <v>3</v>
      </c>
      <c r="C55" t="s">
        <v>56</v>
      </c>
      <c r="D55" s="2">
        <v>1</v>
      </c>
    </row>
    <row r="56" spans="1:4" x14ac:dyDescent="0.2">
      <c r="A56" t="s">
        <v>66</v>
      </c>
      <c r="B56" t="s">
        <v>69</v>
      </c>
      <c r="C56" t="s">
        <v>2</v>
      </c>
      <c r="D56" s="2">
        <v>1</v>
      </c>
    </row>
    <row r="57" spans="1:4" x14ac:dyDescent="0.2">
      <c r="A57" t="s">
        <v>66</v>
      </c>
      <c r="B57" t="s">
        <v>2</v>
      </c>
      <c r="C57" t="s">
        <v>70</v>
      </c>
      <c r="D57" s="2">
        <v>0.84</v>
      </c>
    </row>
    <row r="58" spans="1:4" x14ac:dyDescent="0.2">
      <c r="A58" t="s">
        <v>66</v>
      </c>
      <c r="B58" t="s">
        <v>2</v>
      </c>
      <c r="C58" t="s">
        <v>72</v>
      </c>
      <c r="D58" s="2">
        <v>0.08</v>
      </c>
    </row>
    <row r="59" spans="1:4" x14ac:dyDescent="0.2">
      <c r="A59" t="s">
        <v>66</v>
      </c>
      <c r="B59" t="s">
        <v>2</v>
      </c>
      <c r="C59" t="s">
        <v>83</v>
      </c>
      <c r="D59" s="2">
        <v>0.08</v>
      </c>
    </row>
    <row r="60" spans="1:4" x14ac:dyDescent="0.2">
      <c r="A60" t="s">
        <v>66</v>
      </c>
      <c r="B60" t="s">
        <v>70</v>
      </c>
      <c r="C60" t="s">
        <v>92</v>
      </c>
      <c r="D60" s="2">
        <v>0.7</v>
      </c>
    </row>
    <row r="61" spans="1:4" x14ac:dyDescent="0.2">
      <c r="A61" t="s">
        <v>66</v>
      </c>
      <c r="B61" t="s">
        <v>70</v>
      </c>
      <c r="C61" t="s">
        <v>82</v>
      </c>
      <c r="D61" s="2">
        <v>0.3</v>
      </c>
    </row>
    <row r="62" spans="1:4" x14ac:dyDescent="0.2">
      <c r="A62" t="s">
        <v>66</v>
      </c>
      <c r="B62" t="s">
        <v>92</v>
      </c>
      <c r="C62" t="s">
        <v>71</v>
      </c>
      <c r="D62" s="2">
        <v>0.71</v>
      </c>
    </row>
    <row r="63" spans="1:4" x14ac:dyDescent="0.2">
      <c r="A63" t="s">
        <v>66</v>
      </c>
      <c r="B63" t="s">
        <v>92</v>
      </c>
      <c r="C63" t="s">
        <v>83</v>
      </c>
      <c r="D63" s="2">
        <v>0.28999999999999998</v>
      </c>
    </row>
    <row r="64" spans="1:4" x14ac:dyDescent="0.2">
      <c r="A64" t="s">
        <v>66</v>
      </c>
      <c r="B64" t="s">
        <v>82</v>
      </c>
      <c r="C64" t="s">
        <v>4</v>
      </c>
      <c r="D64" s="2">
        <v>0.4</v>
      </c>
    </row>
    <row r="65" spans="1:4" x14ac:dyDescent="0.2">
      <c r="A65" t="s">
        <v>66</v>
      </c>
      <c r="B65" t="s">
        <v>82</v>
      </c>
      <c r="C65" t="s">
        <v>3</v>
      </c>
      <c r="D65" s="2">
        <v>0.6</v>
      </c>
    </row>
    <row r="66" spans="1:4" x14ac:dyDescent="0.2">
      <c r="A66" t="s">
        <v>66</v>
      </c>
      <c r="B66" t="s">
        <v>71</v>
      </c>
      <c r="C66" t="s">
        <v>4</v>
      </c>
      <c r="D66" s="2">
        <v>0.17</v>
      </c>
    </row>
    <row r="67" spans="1:4" x14ac:dyDescent="0.2">
      <c r="A67" t="s">
        <v>66</v>
      </c>
      <c r="B67" t="s">
        <v>71</v>
      </c>
      <c r="C67" t="s">
        <v>3</v>
      </c>
      <c r="D67" s="2">
        <v>0.25</v>
      </c>
    </row>
    <row r="68" spans="1:4" x14ac:dyDescent="0.2">
      <c r="A68" t="s">
        <v>66</v>
      </c>
      <c r="B68" t="s">
        <v>71</v>
      </c>
      <c r="C68" t="s">
        <v>72</v>
      </c>
      <c r="D68" s="2">
        <v>0.57999999999999996</v>
      </c>
    </row>
    <row r="69" spans="1:4" x14ac:dyDescent="0.2">
      <c r="A69" t="s">
        <v>66</v>
      </c>
      <c r="B69" t="s">
        <v>72</v>
      </c>
      <c r="C69" t="s">
        <v>4</v>
      </c>
      <c r="D69" s="2">
        <v>8.7999999999999995E-2</v>
      </c>
    </row>
    <row r="70" spans="1:4" x14ac:dyDescent="0.2">
      <c r="A70" t="s">
        <v>66</v>
      </c>
      <c r="B70" t="s">
        <v>72</v>
      </c>
      <c r="C70" t="s">
        <v>3</v>
      </c>
      <c r="D70" s="2">
        <v>0.13500000000000001</v>
      </c>
    </row>
    <row r="71" spans="1:4" x14ac:dyDescent="0.2">
      <c r="A71" t="s">
        <v>66</v>
      </c>
      <c r="B71" t="s">
        <v>72</v>
      </c>
      <c r="C71" t="s">
        <v>85</v>
      </c>
      <c r="D71" s="2">
        <v>0.77700000000000002</v>
      </c>
    </row>
    <row r="72" spans="1:4" x14ac:dyDescent="0.2">
      <c r="A72" t="s">
        <v>66</v>
      </c>
      <c r="B72" t="s">
        <v>4</v>
      </c>
      <c r="C72" t="s">
        <v>56</v>
      </c>
      <c r="D72" s="2">
        <v>1</v>
      </c>
    </row>
    <row r="73" spans="1:4" x14ac:dyDescent="0.2">
      <c r="A73" t="s">
        <v>66</v>
      </c>
      <c r="B73" t="s">
        <v>3</v>
      </c>
      <c r="C73" t="s">
        <v>56</v>
      </c>
      <c r="D73" s="2">
        <v>1</v>
      </c>
    </row>
    <row r="74" spans="1:4" x14ac:dyDescent="0.2">
      <c r="A74" t="s">
        <v>67</v>
      </c>
      <c r="B74" t="s">
        <v>69</v>
      </c>
      <c r="C74" t="s">
        <v>2</v>
      </c>
      <c r="D74" s="2">
        <v>1</v>
      </c>
    </row>
    <row r="75" spans="1:4" x14ac:dyDescent="0.2">
      <c r="A75" t="s">
        <v>67</v>
      </c>
      <c r="B75" t="s">
        <v>2</v>
      </c>
      <c r="C75" t="s">
        <v>70</v>
      </c>
      <c r="D75" s="2">
        <v>0.84</v>
      </c>
    </row>
    <row r="76" spans="1:4" x14ac:dyDescent="0.2">
      <c r="A76" t="s">
        <v>67</v>
      </c>
      <c r="B76" t="s">
        <v>2</v>
      </c>
      <c r="C76" t="s">
        <v>72</v>
      </c>
      <c r="D76" s="2">
        <v>0.08</v>
      </c>
    </row>
    <row r="77" spans="1:4" x14ac:dyDescent="0.2">
      <c r="A77" t="s">
        <v>67</v>
      </c>
      <c r="B77" t="s">
        <v>2</v>
      </c>
      <c r="C77" t="s">
        <v>83</v>
      </c>
      <c r="D77" s="2">
        <v>0.08</v>
      </c>
    </row>
    <row r="78" spans="1:4" x14ac:dyDescent="0.2">
      <c r="A78" t="s">
        <v>67</v>
      </c>
      <c r="B78" t="s">
        <v>70</v>
      </c>
      <c r="C78" t="s">
        <v>92</v>
      </c>
      <c r="D78" s="2">
        <v>0.57999999999999996</v>
      </c>
    </row>
    <row r="79" spans="1:4" x14ac:dyDescent="0.2">
      <c r="A79" t="s">
        <v>67</v>
      </c>
      <c r="B79" t="s">
        <v>70</v>
      </c>
      <c r="C79" t="s">
        <v>82</v>
      </c>
      <c r="D79" s="2">
        <v>0.42</v>
      </c>
    </row>
    <row r="80" spans="1:4" x14ac:dyDescent="0.2">
      <c r="A80" t="s">
        <v>67</v>
      </c>
      <c r="B80" t="s">
        <v>92</v>
      </c>
      <c r="C80" t="s">
        <v>71</v>
      </c>
      <c r="D80" s="2">
        <v>0.71</v>
      </c>
    </row>
    <row r="81" spans="1:4" x14ac:dyDescent="0.2">
      <c r="A81" t="s">
        <v>67</v>
      </c>
      <c r="B81" t="s">
        <v>92</v>
      </c>
      <c r="C81" t="s">
        <v>83</v>
      </c>
      <c r="D81" s="2">
        <v>0.28999999999999998</v>
      </c>
    </row>
    <row r="82" spans="1:4" x14ac:dyDescent="0.2">
      <c r="A82" t="s">
        <v>67</v>
      </c>
      <c r="B82" t="s">
        <v>82</v>
      </c>
      <c r="C82" t="s">
        <v>4</v>
      </c>
      <c r="D82" s="2">
        <v>0.4</v>
      </c>
    </row>
    <row r="83" spans="1:4" x14ac:dyDescent="0.2">
      <c r="A83" t="s">
        <v>67</v>
      </c>
      <c r="B83" t="s">
        <v>82</v>
      </c>
      <c r="C83" t="s">
        <v>3</v>
      </c>
      <c r="D83" s="2">
        <v>0.6</v>
      </c>
    </row>
    <row r="84" spans="1:4" x14ac:dyDescent="0.2">
      <c r="A84" t="s">
        <v>67</v>
      </c>
      <c r="B84" t="s">
        <v>71</v>
      </c>
      <c r="C84" t="s">
        <v>4</v>
      </c>
      <c r="D84" s="2">
        <v>7.0000000000000007E-2</v>
      </c>
    </row>
    <row r="85" spans="1:4" x14ac:dyDescent="0.2">
      <c r="A85" t="s">
        <v>67</v>
      </c>
      <c r="B85" t="s">
        <v>71</v>
      </c>
      <c r="C85" t="s">
        <v>3</v>
      </c>
      <c r="D85" s="2">
        <v>0.1</v>
      </c>
    </row>
    <row r="86" spans="1:4" x14ac:dyDescent="0.2">
      <c r="A86" t="s">
        <v>67</v>
      </c>
      <c r="B86" t="s">
        <v>71</v>
      </c>
      <c r="C86" t="s">
        <v>72</v>
      </c>
      <c r="D86" s="2">
        <v>0.83</v>
      </c>
    </row>
    <row r="87" spans="1:4" x14ac:dyDescent="0.2">
      <c r="A87" t="s">
        <v>67</v>
      </c>
      <c r="B87" t="s">
        <v>72</v>
      </c>
      <c r="C87" t="s">
        <v>4</v>
      </c>
      <c r="D87" s="2">
        <v>6.6000000000000003E-2</v>
      </c>
    </row>
    <row r="88" spans="1:4" x14ac:dyDescent="0.2">
      <c r="A88" t="s">
        <v>67</v>
      </c>
      <c r="B88" t="s">
        <v>72</v>
      </c>
      <c r="C88" t="s">
        <v>3</v>
      </c>
      <c r="D88" s="2">
        <v>0.10100000000000001</v>
      </c>
    </row>
    <row r="89" spans="1:4" x14ac:dyDescent="0.2">
      <c r="A89" t="s">
        <v>67</v>
      </c>
      <c r="B89" t="s">
        <v>72</v>
      </c>
      <c r="C89" t="s">
        <v>85</v>
      </c>
      <c r="D89" s="2">
        <v>0.83299999999999996</v>
      </c>
    </row>
    <row r="90" spans="1:4" x14ac:dyDescent="0.2">
      <c r="A90" t="s">
        <v>67</v>
      </c>
      <c r="B90" t="s">
        <v>4</v>
      </c>
      <c r="C90" t="s">
        <v>56</v>
      </c>
      <c r="D90" s="2">
        <v>1</v>
      </c>
    </row>
    <row r="91" spans="1:4" x14ac:dyDescent="0.2">
      <c r="A91" t="s">
        <v>67</v>
      </c>
      <c r="B91" t="s">
        <v>3</v>
      </c>
      <c r="C91" t="s">
        <v>56</v>
      </c>
      <c r="D91" s="2">
        <v>1</v>
      </c>
    </row>
    <row r="92" spans="1:4" x14ac:dyDescent="0.2">
      <c r="A92" t="s">
        <v>68</v>
      </c>
      <c r="B92" t="s">
        <v>69</v>
      </c>
      <c r="C92" t="s">
        <v>2</v>
      </c>
      <c r="D92" s="2">
        <v>1</v>
      </c>
    </row>
    <row r="93" spans="1:4" x14ac:dyDescent="0.2">
      <c r="A93" t="s">
        <v>68</v>
      </c>
      <c r="B93" t="s">
        <v>2</v>
      </c>
      <c r="C93" t="s">
        <v>70</v>
      </c>
      <c r="D93" s="2">
        <v>0.84</v>
      </c>
    </row>
    <row r="94" spans="1:4" x14ac:dyDescent="0.2">
      <c r="A94" t="s">
        <v>68</v>
      </c>
      <c r="B94" t="s">
        <v>2</v>
      </c>
      <c r="C94" t="s">
        <v>72</v>
      </c>
      <c r="D94" s="2">
        <v>0.08</v>
      </c>
    </row>
    <row r="95" spans="1:4" x14ac:dyDescent="0.2">
      <c r="A95" t="s">
        <v>68</v>
      </c>
      <c r="B95" t="s">
        <v>2</v>
      </c>
      <c r="C95" t="s">
        <v>83</v>
      </c>
      <c r="D95" s="2">
        <v>0.08</v>
      </c>
    </row>
    <row r="96" spans="1:4" x14ac:dyDescent="0.2">
      <c r="A96" t="s">
        <v>68</v>
      </c>
      <c r="B96" t="s">
        <v>70</v>
      </c>
      <c r="C96" t="s">
        <v>92</v>
      </c>
      <c r="D96" s="2">
        <v>0.55000000000000004</v>
      </c>
    </row>
    <row r="97" spans="1:4" x14ac:dyDescent="0.2">
      <c r="A97" t="s">
        <v>68</v>
      </c>
      <c r="B97" t="s">
        <v>70</v>
      </c>
      <c r="C97" t="s">
        <v>82</v>
      </c>
      <c r="D97" s="2">
        <v>0.45</v>
      </c>
    </row>
    <row r="98" spans="1:4" x14ac:dyDescent="0.2">
      <c r="A98" t="s">
        <v>68</v>
      </c>
      <c r="B98" t="s">
        <v>92</v>
      </c>
      <c r="C98" t="s">
        <v>71</v>
      </c>
      <c r="D98" s="2">
        <v>0.71</v>
      </c>
    </row>
    <row r="99" spans="1:4" x14ac:dyDescent="0.2">
      <c r="A99" t="s">
        <v>68</v>
      </c>
      <c r="B99" t="s">
        <v>92</v>
      </c>
      <c r="C99" t="s">
        <v>83</v>
      </c>
      <c r="D99" s="2">
        <v>0.28999999999999998</v>
      </c>
    </row>
    <row r="100" spans="1:4" x14ac:dyDescent="0.2">
      <c r="A100" t="s">
        <v>68</v>
      </c>
      <c r="B100" t="s">
        <v>82</v>
      </c>
      <c r="C100" t="s">
        <v>4</v>
      </c>
      <c r="D100" s="2">
        <v>0.4</v>
      </c>
    </row>
    <row r="101" spans="1:4" x14ac:dyDescent="0.2">
      <c r="A101" t="s">
        <v>68</v>
      </c>
      <c r="B101" t="s">
        <v>82</v>
      </c>
      <c r="C101" t="s">
        <v>3</v>
      </c>
      <c r="D101" s="2">
        <v>0.6</v>
      </c>
    </row>
    <row r="102" spans="1:4" x14ac:dyDescent="0.2">
      <c r="A102" t="s">
        <v>68</v>
      </c>
      <c r="B102" t="s">
        <v>71</v>
      </c>
      <c r="C102" t="s">
        <v>4</v>
      </c>
      <c r="D102" s="2">
        <v>0.3</v>
      </c>
    </row>
    <row r="103" spans="1:4" x14ac:dyDescent="0.2">
      <c r="A103" t="s">
        <v>68</v>
      </c>
      <c r="B103" t="s">
        <v>71</v>
      </c>
      <c r="C103" t="s">
        <v>3</v>
      </c>
      <c r="D103" s="2">
        <v>0.46</v>
      </c>
    </row>
    <row r="104" spans="1:4" x14ac:dyDescent="0.2">
      <c r="A104" t="s">
        <v>68</v>
      </c>
      <c r="B104" t="s">
        <v>71</v>
      </c>
      <c r="C104" t="s">
        <v>72</v>
      </c>
      <c r="D104" s="2">
        <v>0.24</v>
      </c>
    </row>
    <row r="105" spans="1:4" x14ac:dyDescent="0.2">
      <c r="A105" t="s">
        <v>68</v>
      </c>
      <c r="B105" t="s">
        <v>72</v>
      </c>
      <c r="C105" t="s">
        <v>4</v>
      </c>
      <c r="D105" s="2">
        <v>8.7999999999999995E-2</v>
      </c>
    </row>
    <row r="106" spans="1:4" x14ac:dyDescent="0.2">
      <c r="A106" t="s">
        <v>68</v>
      </c>
      <c r="B106" t="s">
        <v>72</v>
      </c>
      <c r="C106" t="s">
        <v>3</v>
      </c>
      <c r="D106" s="2">
        <v>0.13500000000000001</v>
      </c>
    </row>
    <row r="107" spans="1:4" x14ac:dyDescent="0.2">
      <c r="A107" t="s">
        <v>68</v>
      </c>
      <c r="B107" t="s">
        <v>72</v>
      </c>
      <c r="C107" t="s">
        <v>85</v>
      </c>
      <c r="D107" s="2">
        <v>0.77700000000000002</v>
      </c>
    </row>
    <row r="108" spans="1:4" x14ac:dyDescent="0.2">
      <c r="A108" t="s">
        <v>68</v>
      </c>
      <c r="B108" t="s">
        <v>4</v>
      </c>
      <c r="C108" t="s">
        <v>56</v>
      </c>
      <c r="D108" s="2">
        <v>1</v>
      </c>
    </row>
    <row r="109" spans="1:4" x14ac:dyDescent="0.2">
      <c r="A109" t="s">
        <v>68</v>
      </c>
      <c r="B109" t="s">
        <v>3</v>
      </c>
      <c r="C109" t="s">
        <v>56</v>
      </c>
      <c r="D109" s="2">
        <v>1</v>
      </c>
    </row>
    <row r="110" spans="1:4" x14ac:dyDescent="0.2">
      <c r="A110" t="s">
        <v>11</v>
      </c>
      <c r="B110" t="s">
        <v>69</v>
      </c>
      <c r="C110" t="s">
        <v>2</v>
      </c>
      <c r="D110" s="2">
        <v>1</v>
      </c>
    </row>
    <row r="111" spans="1:4" x14ac:dyDescent="0.2">
      <c r="A111" t="s">
        <v>11</v>
      </c>
      <c r="B111" t="s">
        <v>2</v>
      </c>
      <c r="C111" t="s">
        <v>70</v>
      </c>
      <c r="D111" s="2">
        <v>0.93</v>
      </c>
    </row>
    <row r="112" spans="1:4" x14ac:dyDescent="0.2">
      <c r="A112" t="s">
        <v>11</v>
      </c>
      <c r="B112" t="s">
        <v>2</v>
      </c>
      <c r="C112" t="s">
        <v>72</v>
      </c>
      <c r="D112" s="2">
        <v>7.0000000000000007E-2</v>
      </c>
    </row>
    <row r="113" spans="1:4" x14ac:dyDescent="0.2">
      <c r="A113" t="s">
        <v>11</v>
      </c>
      <c r="B113" t="s">
        <v>70</v>
      </c>
      <c r="C113" t="s">
        <v>92</v>
      </c>
      <c r="D113" s="2">
        <v>0.5</v>
      </c>
    </row>
    <row r="114" spans="1:4" x14ac:dyDescent="0.2">
      <c r="A114" t="s">
        <v>11</v>
      </c>
      <c r="B114" t="s">
        <v>70</v>
      </c>
      <c r="C114" t="s">
        <v>82</v>
      </c>
      <c r="D114" s="2">
        <v>0.5</v>
      </c>
    </row>
    <row r="115" spans="1:4" x14ac:dyDescent="0.2">
      <c r="A115" t="s">
        <v>11</v>
      </c>
      <c r="B115" t="s">
        <v>92</v>
      </c>
      <c r="C115" t="s">
        <v>71</v>
      </c>
      <c r="D115" s="2">
        <v>0.91</v>
      </c>
    </row>
    <row r="116" spans="1:4" x14ac:dyDescent="0.2">
      <c r="A116" t="s">
        <v>11</v>
      </c>
      <c r="B116" t="s">
        <v>92</v>
      </c>
      <c r="C116" t="s">
        <v>83</v>
      </c>
      <c r="D116" s="2">
        <v>0.09</v>
      </c>
    </row>
    <row r="117" spans="1:4" x14ac:dyDescent="0.2">
      <c r="A117" t="s">
        <v>11</v>
      </c>
      <c r="B117" t="s">
        <v>82</v>
      </c>
      <c r="C117" t="s">
        <v>4</v>
      </c>
      <c r="D117" s="2">
        <v>0.4</v>
      </c>
    </row>
    <row r="118" spans="1:4" x14ac:dyDescent="0.2">
      <c r="A118" t="s">
        <v>11</v>
      </c>
      <c r="B118" t="s">
        <v>82</v>
      </c>
      <c r="C118" t="s">
        <v>3</v>
      </c>
      <c r="D118" s="2">
        <v>0.6</v>
      </c>
    </row>
    <row r="119" spans="1:4" x14ac:dyDescent="0.2">
      <c r="A119" t="s">
        <v>11</v>
      </c>
      <c r="B119" t="s">
        <v>71</v>
      </c>
      <c r="C119" t="s">
        <v>4</v>
      </c>
      <c r="D119" s="2">
        <v>0.4</v>
      </c>
    </row>
    <row r="120" spans="1:4" x14ac:dyDescent="0.2">
      <c r="A120" t="s">
        <v>11</v>
      </c>
      <c r="B120" t="s">
        <v>71</v>
      </c>
      <c r="C120" t="s">
        <v>3</v>
      </c>
      <c r="D120" s="2">
        <v>0.6</v>
      </c>
    </row>
    <row r="121" spans="1:4" x14ac:dyDescent="0.2">
      <c r="A121" t="s">
        <v>11</v>
      </c>
      <c r="B121" t="s">
        <v>4</v>
      </c>
      <c r="C121" t="s">
        <v>56</v>
      </c>
      <c r="D121" s="2">
        <v>1</v>
      </c>
    </row>
    <row r="122" spans="1:4" x14ac:dyDescent="0.2">
      <c r="A122" t="s">
        <v>11</v>
      </c>
      <c r="B122" t="s">
        <v>3</v>
      </c>
      <c r="C122" t="s">
        <v>56</v>
      </c>
      <c r="D122" s="2">
        <v>1</v>
      </c>
    </row>
  </sheetData>
  <dataValidations count="1">
    <dataValidation type="list" allowBlank="1" showInputMessage="1" showErrorMessage="1" sqref="B128:C130" xr:uid="{B8C2AAFD-B76B-5F48-9220-97C783A8E83C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08F7B2-3552-E54A-A89D-2AC8E0070CCE}">
          <x14:formula1>
            <xm:f>parameters!$A$2:$A$8</xm:f>
          </x14:formula1>
          <xm:sqref>A2:A122</xm:sqref>
        </x14:dataValidation>
        <x14:dataValidation type="list" allowBlank="1" showInputMessage="1" showErrorMessage="1" xr:uid="{4C42A6DA-BCC2-FF4A-8054-917D2B47610B}">
          <x14:formula1>
            <xm:f>process_list!$A$2:$A$13</xm:f>
          </x14:formula1>
          <xm:sqref>B2:C122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19E9-5BAB-E647-9F1E-EC82F48F942C}">
  <dimension ref="A1:AU115"/>
  <sheetViews>
    <sheetView topLeftCell="A13" workbookViewId="0">
      <selection activeCell="B43" sqref="B43"/>
    </sheetView>
  </sheetViews>
  <sheetFormatPr baseColWidth="10" defaultRowHeight="15" x14ac:dyDescent="0.2"/>
  <cols>
    <col min="1" max="1" width="13.5" bestFit="1" customWidth="1"/>
    <col min="2" max="2" width="13.6640625" bestFit="1" customWidth="1"/>
    <col min="3" max="3" width="8" bestFit="1" customWidth="1"/>
    <col min="4" max="4" width="8.33203125" bestFit="1" customWidth="1"/>
    <col min="5" max="5" width="12.6640625" bestFit="1" customWidth="1"/>
    <col min="7" max="7" width="13.6640625" bestFit="1" customWidth="1"/>
    <col min="8" max="9" width="11.83203125" bestFit="1" customWidth="1"/>
    <col min="17" max="17" width="11.1640625" bestFit="1" customWidth="1"/>
    <col min="19" max="19" width="11.83203125" bestFit="1" customWidth="1"/>
    <col min="22" max="22" width="11.83203125" bestFit="1" customWidth="1"/>
  </cols>
  <sheetData>
    <row r="1" spans="1:47" x14ac:dyDescent="0.2">
      <c r="A1" t="s">
        <v>59</v>
      </c>
      <c r="B1" t="s">
        <v>53</v>
      </c>
      <c r="C1" t="s">
        <v>54</v>
      </c>
      <c r="D1" t="s">
        <v>60</v>
      </c>
      <c r="E1" t="s">
        <v>77</v>
      </c>
      <c r="F1" s="42" t="s">
        <v>8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 s="42" t="s">
        <v>51</v>
      </c>
      <c r="S1">
        <f>G1</f>
        <v>0</v>
      </c>
      <c r="T1">
        <f t="shared" ref="T1:AC1" si="0">H1</f>
        <v>1</v>
      </c>
      <c r="U1">
        <f t="shared" si="0"/>
        <v>2</v>
      </c>
      <c r="V1">
        <f t="shared" si="0"/>
        <v>3</v>
      </c>
      <c r="W1">
        <f t="shared" si="0"/>
        <v>4</v>
      </c>
      <c r="X1">
        <f t="shared" si="0"/>
        <v>5</v>
      </c>
      <c r="Y1">
        <f t="shared" si="0"/>
        <v>6</v>
      </c>
      <c r="Z1">
        <f t="shared" si="0"/>
        <v>7</v>
      </c>
      <c r="AA1">
        <f t="shared" si="0"/>
        <v>8</v>
      </c>
      <c r="AB1">
        <f t="shared" si="0"/>
        <v>9</v>
      </c>
      <c r="AC1">
        <f t="shared" si="0"/>
        <v>10</v>
      </c>
    </row>
    <row r="2" spans="1:47" x14ac:dyDescent="0.2">
      <c r="A2" t="str">
        <f>parameters!A2</f>
        <v>Food packaging 2d</v>
      </c>
      <c r="B2">
        <f>parameters!C2</f>
        <v>0.5</v>
      </c>
      <c r="C2">
        <f>parameters!D2</f>
        <v>0.1</v>
      </c>
      <c r="D2">
        <v>2</v>
      </c>
      <c r="E2">
        <f>2019-D2</f>
        <v>2017</v>
      </c>
      <c r="F2" s="42"/>
      <c r="G2">
        <f t="shared" ref="G2:Q8" si="1">_xlfn.NORM.DIST(G$1,$B2,$C2,TRUE)</f>
        <v>2.8665157187919333E-7</v>
      </c>
      <c r="H2">
        <f t="shared" si="1"/>
        <v>0.99999971334842808</v>
      </c>
      <c r="I2">
        <f t="shared" si="1"/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 s="42"/>
      <c r="S2">
        <f>G2</f>
        <v>2.8665157187919333E-7</v>
      </c>
      <c r="T2">
        <f>H2-G2</f>
        <v>0.99999942669685615</v>
      </c>
      <c r="U2">
        <f t="shared" ref="U2:AC8" si="2">I2-H2</f>
        <v>2.8665157192353519E-7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</row>
    <row r="3" spans="1:47" x14ac:dyDescent="0.2">
      <c r="A3" t="str">
        <f>parameters!A3</f>
        <v>Food packaging bottles</v>
      </c>
      <c r="B3">
        <f>parameters!C3</f>
        <v>0.5</v>
      </c>
      <c r="C3">
        <f>parameters!D3</f>
        <v>0.1</v>
      </c>
      <c r="D3">
        <v>2</v>
      </c>
      <c r="E3">
        <f t="shared" ref="E3:E8" si="3">2019-D3</f>
        <v>2017</v>
      </c>
      <c r="F3" s="42"/>
      <c r="G3">
        <f t="shared" si="1"/>
        <v>2.8665157187919333E-7</v>
      </c>
      <c r="H3">
        <f t="shared" si="1"/>
        <v>0.99999971334842808</v>
      </c>
      <c r="I3">
        <f t="shared" si="1"/>
        <v>1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 s="42"/>
      <c r="S3">
        <f t="shared" ref="S3:S8" si="4">G3</f>
        <v>2.8665157187919333E-7</v>
      </c>
      <c r="T3">
        <f t="shared" ref="T3:T8" si="5">H3-G3</f>
        <v>0.99999942669685615</v>
      </c>
      <c r="U3">
        <f t="shared" si="2"/>
        <v>2.8665157192353519E-7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</row>
    <row r="4" spans="1:47" x14ac:dyDescent="0.2">
      <c r="A4" t="str">
        <f>parameters!A4</f>
        <v>Food packaging other</v>
      </c>
      <c r="B4">
        <f>parameters!C4</f>
        <v>0.5</v>
      </c>
      <c r="C4">
        <f>parameters!D4</f>
        <v>0.1</v>
      </c>
      <c r="D4">
        <v>2</v>
      </c>
      <c r="E4">
        <f t="shared" si="3"/>
        <v>2017</v>
      </c>
      <c r="F4" s="42"/>
      <c r="G4">
        <f t="shared" si="1"/>
        <v>2.8665157187919333E-7</v>
      </c>
      <c r="H4">
        <f t="shared" si="1"/>
        <v>0.99999971334842808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 s="42"/>
      <c r="S4">
        <f t="shared" si="4"/>
        <v>2.8665157187919333E-7</v>
      </c>
      <c r="T4">
        <f t="shared" si="5"/>
        <v>0.99999942669685615</v>
      </c>
      <c r="U4">
        <f t="shared" si="2"/>
        <v>2.8665157192353519E-7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</row>
    <row r="5" spans="1:47" x14ac:dyDescent="0.2">
      <c r="A5" t="str">
        <f>parameters!A5</f>
        <v>Non-food packaging 2d</v>
      </c>
      <c r="B5">
        <f>parameters!C5</f>
        <v>0.5</v>
      </c>
      <c r="C5">
        <f>parameters!D5</f>
        <v>0.1</v>
      </c>
      <c r="D5">
        <v>2</v>
      </c>
      <c r="E5">
        <f t="shared" si="3"/>
        <v>2017</v>
      </c>
      <c r="F5" s="42"/>
      <c r="G5">
        <f t="shared" si="1"/>
        <v>2.8665157187919333E-7</v>
      </c>
      <c r="H5">
        <f t="shared" si="1"/>
        <v>0.99999971334842808</v>
      </c>
      <c r="I5">
        <f t="shared" si="1"/>
        <v>1</v>
      </c>
      <c r="J5">
        <f t="shared" si="1"/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 s="42"/>
      <c r="S5">
        <f t="shared" si="4"/>
        <v>2.8665157187919333E-7</v>
      </c>
      <c r="T5">
        <f t="shared" si="5"/>
        <v>0.99999942669685615</v>
      </c>
      <c r="U5">
        <f t="shared" si="2"/>
        <v>2.8665157192353519E-7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</row>
    <row r="6" spans="1:47" x14ac:dyDescent="0.2">
      <c r="A6" t="str">
        <f>parameters!A6</f>
        <v>Non-food packaging bottles</v>
      </c>
      <c r="B6">
        <f>parameters!C6</f>
        <v>0.5</v>
      </c>
      <c r="C6">
        <f>parameters!D6</f>
        <v>0.1</v>
      </c>
      <c r="D6">
        <v>2</v>
      </c>
      <c r="E6">
        <f t="shared" si="3"/>
        <v>2017</v>
      </c>
      <c r="F6" s="42"/>
      <c r="G6">
        <f t="shared" si="1"/>
        <v>2.8665157187919333E-7</v>
      </c>
      <c r="H6">
        <f t="shared" si="1"/>
        <v>0.99999971334842808</v>
      </c>
      <c r="I6">
        <f t="shared" si="1"/>
        <v>1</v>
      </c>
      <c r="J6">
        <f t="shared" si="1"/>
        <v>1</v>
      </c>
      <c r="K6">
        <f t="shared" si="1"/>
        <v>1</v>
      </c>
      <c r="L6">
        <f t="shared" si="1"/>
        <v>1</v>
      </c>
      <c r="M6">
        <f t="shared" si="1"/>
        <v>1</v>
      </c>
      <c r="N6">
        <f t="shared" si="1"/>
        <v>1</v>
      </c>
      <c r="O6">
        <f t="shared" si="1"/>
        <v>1</v>
      </c>
      <c r="P6">
        <f t="shared" si="1"/>
        <v>1</v>
      </c>
      <c r="Q6">
        <f t="shared" si="1"/>
        <v>1</v>
      </c>
      <c r="R6" s="42"/>
      <c r="S6">
        <f t="shared" si="4"/>
        <v>2.8665157187919333E-7</v>
      </c>
      <c r="T6">
        <f t="shared" si="5"/>
        <v>0.99999942669685615</v>
      </c>
      <c r="U6">
        <f t="shared" si="2"/>
        <v>2.8665157192353519E-7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</row>
    <row r="7" spans="1:47" x14ac:dyDescent="0.2">
      <c r="A7" t="str">
        <f>parameters!A7</f>
        <v>Non-food packaging other</v>
      </c>
      <c r="B7">
        <f>parameters!C7</f>
        <v>0.5</v>
      </c>
      <c r="C7">
        <f>parameters!D7</f>
        <v>0.1</v>
      </c>
      <c r="D7">
        <v>2</v>
      </c>
      <c r="E7">
        <f t="shared" si="3"/>
        <v>2017</v>
      </c>
      <c r="F7" s="42"/>
      <c r="G7">
        <f t="shared" si="1"/>
        <v>2.8665157187919333E-7</v>
      </c>
      <c r="H7">
        <f t="shared" si="1"/>
        <v>0.99999971334842808</v>
      </c>
      <c r="I7">
        <f t="shared" si="1"/>
        <v>1</v>
      </c>
      <c r="J7">
        <f t="shared" si="1"/>
        <v>1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 s="42"/>
      <c r="S7">
        <f t="shared" si="4"/>
        <v>2.8665157187919333E-7</v>
      </c>
      <c r="T7">
        <f t="shared" si="5"/>
        <v>0.99999942669685615</v>
      </c>
      <c r="U7">
        <f t="shared" si="2"/>
        <v>2.8665157192353519E-7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</row>
    <row r="8" spans="1:47" x14ac:dyDescent="0.2">
      <c r="A8" t="str">
        <f>parameters!A8</f>
        <v>Fibers</v>
      </c>
      <c r="B8">
        <f>parameters!C8</f>
        <v>5</v>
      </c>
      <c r="C8">
        <f>parameters!D8</f>
        <v>1.5</v>
      </c>
      <c r="D8">
        <v>10</v>
      </c>
      <c r="E8">
        <f t="shared" si="3"/>
        <v>2009</v>
      </c>
      <c r="F8" s="42"/>
      <c r="G8">
        <f t="shared" si="1"/>
        <v>4.2906033319683703E-4</v>
      </c>
      <c r="H8">
        <f t="shared" si="1"/>
        <v>3.8303805675897356E-3</v>
      </c>
      <c r="I8">
        <f t="shared" si="1"/>
        <v>2.2750131948179191E-2</v>
      </c>
      <c r="J8">
        <f t="shared" si="1"/>
        <v>9.1211219725867876E-2</v>
      </c>
      <c r="K8">
        <f t="shared" si="1"/>
        <v>0.25249253754692291</v>
      </c>
      <c r="L8">
        <f t="shared" si="1"/>
        <v>0.5</v>
      </c>
      <c r="M8">
        <f t="shared" si="1"/>
        <v>0.74750746245307709</v>
      </c>
      <c r="N8">
        <f t="shared" si="1"/>
        <v>0.90878878027413212</v>
      </c>
      <c r="O8">
        <f t="shared" si="1"/>
        <v>0.97724986805182079</v>
      </c>
      <c r="P8">
        <f t="shared" si="1"/>
        <v>0.99616961943241022</v>
      </c>
      <c r="Q8">
        <f t="shared" si="1"/>
        <v>0.99957093966680322</v>
      </c>
      <c r="R8" s="42"/>
      <c r="S8">
        <f t="shared" si="4"/>
        <v>4.2906033319683703E-4</v>
      </c>
      <c r="T8">
        <f t="shared" si="5"/>
        <v>3.4013202343928985E-3</v>
      </c>
      <c r="U8">
        <f t="shared" si="2"/>
        <v>1.8919751380589454E-2</v>
      </c>
      <c r="V8">
        <f t="shared" si="2"/>
        <v>6.8461087777688681E-2</v>
      </c>
      <c r="W8">
        <f t="shared" si="2"/>
        <v>0.16128131782105504</v>
      </c>
      <c r="X8">
        <f t="shared" si="2"/>
        <v>0.24750746245307709</v>
      </c>
      <c r="Y8">
        <f t="shared" si="2"/>
        <v>0.24750746245307709</v>
      </c>
      <c r="Z8">
        <f t="shared" si="2"/>
        <v>0.16128131782105504</v>
      </c>
      <c r="AA8">
        <f t="shared" si="2"/>
        <v>6.8461087777688667E-2</v>
      </c>
      <c r="AB8">
        <f t="shared" si="2"/>
        <v>1.8919751380589434E-2</v>
      </c>
      <c r="AC8">
        <f t="shared" si="2"/>
        <v>3.4013202343929905E-3</v>
      </c>
    </row>
    <row r="12" spans="1:47" x14ac:dyDescent="0.2">
      <c r="A12" s="8" t="s">
        <v>74</v>
      </c>
      <c r="B12" s="8" t="s">
        <v>75</v>
      </c>
      <c r="I12" s="8" t="s">
        <v>74</v>
      </c>
      <c r="J12" s="8" t="str">
        <f>A3</f>
        <v>Food packaging bottles</v>
      </c>
      <c r="Q12" s="8" t="s">
        <v>74</v>
      </c>
      <c r="R12" s="8" t="str">
        <f>A4</f>
        <v>Food packaging other</v>
      </c>
      <c r="Y12" s="8" t="s">
        <v>74</v>
      </c>
      <c r="Z12" s="8" t="str">
        <f>A5</f>
        <v>Non-food packaging 2d</v>
      </c>
      <c r="AG12" s="8" t="s">
        <v>74</v>
      </c>
      <c r="AH12" s="8" t="str">
        <f>A6</f>
        <v>Non-food packaging bottles</v>
      </c>
      <c r="AO12" s="8" t="s">
        <v>74</v>
      </c>
      <c r="AP12" s="8" t="str">
        <f>A7</f>
        <v>Non-food packaging other</v>
      </c>
    </row>
    <row r="13" spans="1:47" x14ac:dyDescent="0.2">
      <c r="A13" t="s">
        <v>76</v>
      </c>
      <c r="B13" t="s">
        <v>7</v>
      </c>
      <c r="C13" s="41" t="s">
        <v>62</v>
      </c>
      <c r="D13" s="41"/>
      <c r="E13" s="41"/>
      <c r="F13" t="s">
        <v>78</v>
      </c>
      <c r="G13" t="s">
        <v>55</v>
      </c>
      <c r="H13" t="s">
        <v>113</v>
      </c>
      <c r="I13" t="s">
        <v>76</v>
      </c>
      <c r="J13" t="s">
        <v>7</v>
      </c>
      <c r="K13" s="41" t="s">
        <v>62</v>
      </c>
      <c r="L13" s="41"/>
      <c r="M13" s="41"/>
      <c r="N13" t="s">
        <v>78</v>
      </c>
      <c r="O13" t="s">
        <v>55</v>
      </c>
      <c r="Q13" t="s">
        <v>76</v>
      </c>
      <c r="R13" t="s">
        <v>7</v>
      </c>
      <c r="S13" s="41" t="s">
        <v>62</v>
      </c>
      <c r="T13" s="41"/>
      <c r="U13" s="41"/>
      <c r="V13" t="s">
        <v>78</v>
      </c>
      <c r="W13" t="s">
        <v>55</v>
      </c>
      <c r="Y13" t="s">
        <v>76</v>
      </c>
      <c r="Z13" t="s">
        <v>7</v>
      </c>
      <c r="AA13" s="41" t="s">
        <v>62</v>
      </c>
      <c r="AB13" s="41"/>
      <c r="AC13" s="41"/>
      <c r="AD13" t="s">
        <v>78</v>
      </c>
      <c r="AE13" t="s">
        <v>55</v>
      </c>
      <c r="AG13" t="s">
        <v>76</v>
      </c>
      <c r="AH13" t="s">
        <v>7</v>
      </c>
      <c r="AI13" s="41" t="s">
        <v>62</v>
      </c>
      <c r="AJ13" s="41"/>
      <c r="AK13" s="41"/>
      <c r="AL13" t="s">
        <v>78</v>
      </c>
      <c r="AM13" t="s">
        <v>55</v>
      </c>
      <c r="AO13" t="s">
        <v>76</v>
      </c>
      <c r="AP13" t="s">
        <v>7</v>
      </c>
      <c r="AQ13" s="41" t="s">
        <v>62</v>
      </c>
      <c r="AR13" s="41"/>
      <c r="AS13" s="41"/>
      <c r="AT13" t="s">
        <v>78</v>
      </c>
      <c r="AU13" t="s">
        <v>55</v>
      </c>
    </row>
    <row r="14" spans="1:47" x14ac:dyDescent="0.2">
      <c r="A14">
        <v>2016</v>
      </c>
      <c r="B14" s="16">
        <f>hist!$AA2</f>
        <v>182.83457050243112</v>
      </c>
      <c r="C14" s="15">
        <f t="shared" ref="C14:E16" si="6">$B14*S$2</f>
        <v>5.2409817028379074E-5</v>
      </c>
      <c r="D14" s="15">
        <f t="shared" si="6"/>
        <v>182.83446568279706</v>
      </c>
      <c r="E14" s="2">
        <f t="shared" si="6"/>
        <v>5.2409817036486297E-5</v>
      </c>
      <c r="F14" s="20"/>
      <c r="G14" s="18"/>
      <c r="I14">
        <v>2016</v>
      </c>
      <c r="J14" s="16">
        <f>hist!$AA3</f>
        <v>621.63753970826588</v>
      </c>
      <c r="K14" s="15">
        <f>$J14*S$3</f>
        <v>1.7819337789648886E-4</v>
      </c>
      <c r="L14" s="15">
        <f>$J14*T$3</f>
        <v>621.63718332151007</v>
      </c>
      <c r="M14" s="2">
        <f>$J14*U$3</f>
        <v>1.7819337792405343E-4</v>
      </c>
      <c r="N14" s="20"/>
      <c r="O14" s="18"/>
      <c r="Q14">
        <v>2016</v>
      </c>
      <c r="R14" s="16">
        <f>hist!$AA4</f>
        <v>1243.2750794165318</v>
      </c>
      <c r="S14" s="2">
        <f>$R14*S$4</f>
        <v>3.5638675579297772E-4</v>
      </c>
      <c r="T14" s="2">
        <f t="shared" ref="T14:U15" si="7">$R14*T$4</f>
        <v>1243.2743666430201</v>
      </c>
      <c r="U14" s="2">
        <f t="shared" si="7"/>
        <v>3.5638675584810685E-4</v>
      </c>
      <c r="V14" s="20"/>
      <c r="W14" s="18"/>
      <c r="Y14">
        <v>2016</v>
      </c>
      <c r="Z14" s="16">
        <f>hist!AA5</f>
        <v>146.26765640194492</v>
      </c>
      <c r="AA14" s="2">
        <f>$Z14*S$5</f>
        <v>4.1927853622703265E-5</v>
      </c>
      <c r="AB14" s="2">
        <f t="shared" ref="AB14:AC14" si="8">$Z14*T$5</f>
        <v>146.26757254623766</v>
      </c>
      <c r="AC14" s="2">
        <f t="shared" si="8"/>
        <v>4.1927853629189043E-5</v>
      </c>
      <c r="AD14" s="20"/>
      <c r="AE14" s="18"/>
      <c r="AG14">
        <v>2016</v>
      </c>
      <c r="AH14" s="16">
        <f>hist!AA6</f>
        <v>950.73976661264192</v>
      </c>
      <c r="AI14" s="2">
        <f>$AH14*S$6</f>
        <v>2.7253104854757119E-4</v>
      </c>
      <c r="AJ14" s="2">
        <f t="shared" ref="AJ14:AK14" si="9">$AH14*T$6</f>
        <v>950.7392215505447</v>
      </c>
      <c r="AK14" s="2">
        <f t="shared" si="9"/>
        <v>2.7253104858972877E-4</v>
      </c>
      <c r="AL14" s="20"/>
      <c r="AM14" s="18"/>
      <c r="AO14">
        <v>2016</v>
      </c>
      <c r="AP14" s="16">
        <f>hist!AA7</f>
        <v>475.36988330632096</v>
      </c>
      <c r="AQ14" s="2">
        <f>$AP14*S$7</f>
        <v>1.362655242737856E-4</v>
      </c>
      <c r="AR14" s="2">
        <f t="shared" ref="AR14:AS14" si="10">$AP14*T$7</f>
        <v>475.36961077527235</v>
      </c>
      <c r="AS14" s="2">
        <f t="shared" si="10"/>
        <v>1.3626552429486438E-4</v>
      </c>
      <c r="AT14" s="20"/>
      <c r="AU14" s="18"/>
    </row>
    <row r="15" spans="1:47" x14ac:dyDescent="0.2">
      <c r="A15">
        <v>2017</v>
      </c>
      <c r="B15" s="16">
        <f>hist!$AB2</f>
        <v>187.59779578606162</v>
      </c>
      <c r="C15" s="15">
        <f t="shared" si="6"/>
        <v>5.3775203043146477E-5</v>
      </c>
      <c r="D15" s="15">
        <f t="shared" si="6"/>
        <v>187.59768823565551</v>
      </c>
      <c r="E15" s="2">
        <f t="shared" si="6"/>
        <v>5.377520305146491E-5</v>
      </c>
      <c r="F15" s="20"/>
      <c r="G15" s="20"/>
      <c r="I15">
        <v>2017</v>
      </c>
      <c r="J15" s="16">
        <f>hist!$AB3</f>
        <v>637.8325056726095</v>
      </c>
      <c r="K15" s="15">
        <f t="shared" ref="K15:K28" si="11">$J15*S$3</f>
        <v>1.82835690346698E-4</v>
      </c>
      <c r="L15" s="15">
        <f t="shared" ref="L15:L28" si="12">$J15*T$3</f>
        <v>637.83214000122871</v>
      </c>
      <c r="M15" s="2">
        <f t="shared" ref="M15:M28" si="13">$J15*U$3</f>
        <v>1.8283569037498069E-4</v>
      </c>
      <c r="N15" s="20"/>
      <c r="O15" s="20"/>
      <c r="Q15">
        <v>2017</v>
      </c>
      <c r="R15" s="16">
        <f>hist!$AB4</f>
        <v>1275.665011345219</v>
      </c>
      <c r="S15" s="2">
        <f t="shared" ref="S15" si="14">$R15*S$4</f>
        <v>3.65671380693396E-4</v>
      </c>
      <c r="T15" s="2">
        <f t="shared" si="7"/>
        <v>1275.6642800024574</v>
      </c>
      <c r="U15" s="2">
        <f t="shared" si="7"/>
        <v>3.6567138074996137E-4</v>
      </c>
      <c r="V15" s="20"/>
      <c r="W15" s="20"/>
      <c r="Y15">
        <v>2017</v>
      </c>
      <c r="Z15" s="16">
        <f>hist!AB5</f>
        <v>150.07823662884931</v>
      </c>
      <c r="AA15" s="2">
        <f t="shared" ref="AA15" si="15">$Z15*S$5</f>
        <v>4.3020162434517183E-5</v>
      </c>
      <c r="AB15" s="2">
        <f t="shared" ref="AB15" si="16">$Z15*T$5</f>
        <v>150.07815058852444</v>
      </c>
      <c r="AC15" s="2">
        <f t="shared" ref="AC15" si="17">$Z15*U$5</f>
        <v>4.3020162441171928E-5</v>
      </c>
      <c r="AD15" s="20"/>
      <c r="AE15" s="20"/>
      <c r="AG15">
        <v>2017</v>
      </c>
      <c r="AH15" s="16">
        <f>hist!AB6</f>
        <v>975.50853808752049</v>
      </c>
      <c r="AI15" s="2">
        <f t="shared" ref="AI15" si="18">$AH15*S$6</f>
        <v>2.796310558243617E-4</v>
      </c>
      <c r="AJ15" s="2">
        <f t="shared" ref="AJ15" si="19">$AH15*T$6</f>
        <v>975.50797882540871</v>
      </c>
      <c r="AK15" s="2">
        <f t="shared" ref="AK15" si="20">$AH15*U$6</f>
        <v>2.7963105586761752E-4</v>
      </c>
      <c r="AL15" s="20"/>
      <c r="AM15" s="20"/>
      <c r="AO15">
        <v>2017</v>
      </c>
      <c r="AP15" s="16">
        <f>hist!AB7</f>
        <v>487.75426904376025</v>
      </c>
      <c r="AQ15" s="2">
        <f t="shared" ref="AQ15" si="21">$AP15*S$7</f>
        <v>1.3981552791218085E-4</v>
      </c>
      <c r="AR15" s="2">
        <f t="shared" ref="AR15" si="22">$AP15*T$7</f>
        <v>487.75398941270436</v>
      </c>
      <c r="AS15" s="2">
        <f t="shared" ref="AS15" si="23">$AP15*U$7</f>
        <v>1.3981552793380876E-4</v>
      </c>
      <c r="AT15" s="20"/>
      <c r="AU15" s="20"/>
    </row>
    <row r="16" spans="1:47" x14ac:dyDescent="0.2">
      <c r="A16">
        <v>2018</v>
      </c>
      <c r="B16" s="16">
        <f>hist!$AC2</f>
        <v>195.2031118314425</v>
      </c>
      <c r="C16" s="15">
        <f t="shared" si="6"/>
        <v>5.5955278842192956E-5</v>
      </c>
      <c r="D16" s="15">
        <f t="shared" si="6"/>
        <v>195.20299992088479</v>
      </c>
      <c r="E16" s="2">
        <f t="shared" si="6"/>
        <v>5.5955278850848623E-5</v>
      </c>
      <c r="F16" s="25">
        <f t="shared" ref="F16:F28" si="24">B16-C16-D15-E14</f>
        <v>7.6053152306911125</v>
      </c>
      <c r="G16" s="25">
        <f>SUM(B14:B16)-SUM(C14:C16,D14:D15,E14)</f>
        <v>195.20310965136667</v>
      </c>
      <c r="I16">
        <v>2018</v>
      </c>
      <c r="J16" s="16">
        <f>hist!$AC3</f>
        <v>663.69058022690456</v>
      </c>
      <c r="K16" s="15">
        <f t="shared" ref="K16:K27" si="25">$J16*S$3</f>
        <v>1.9024794806345605E-4</v>
      </c>
      <c r="L16" s="15">
        <f t="shared" si="12"/>
        <v>663.69019973100842</v>
      </c>
      <c r="M16" s="2">
        <f t="shared" si="13"/>
        <v>1.9024794809288534E-4</v>
      </c>
      <c r="N16" s="25">
        <f t="shared" ref="N16:N28" si="26">J16-K16-L15-M14</f>
        <v>25.858071784349914</v>
      </c>
      <c r="O16" s="25">
        <f>SUM(J14:J16)-SUM(K14:K16,L14:L15,M14)</f>
        <v>663.69057281464711</v>
      </c>
      <c r="Q16">
        <v>2018</v>
      </c>
      <c r="R16" s="16">
        <f>hist!$AC4</f>
        <v>1327.3811604538091</v>
      </c>
      <c r="S16" s="2">
        <f t="shared" ref="S16:U28" si="27">$R16*S$4</f>
        <v>3.804958961269121E-4</v>
      </c>
      <c r="T16" s="2">
        <f t="shared" si="27"/>
        <v>1327.3803994620168</v>
      </c>
      <c r="U16" s="2">
        <f t="shared" si="27"/>
        <v>3.8049589618577068E-4</v>
      </c>
      <c r="V16" s="2">
        <f>R16-S16-T15-U14</f>
        <v>51.716143568699827</v>
      </c>
      <c r="W16" s="2">
        <f>SUM(R14:R16)-SUM(S14:S16,T14:T15,U14)</f>
        <v>1327.3811456292942</v>
      </c>
      <c r="Y16">
        <v>2018</v>
      </c>
      <c r="Z16" s="16">
        <f>hist!AC5</f>
        <v>156.16248946515401</v>
      </c>
      <c r="AA16" s="2">
        <f t="shared" ref="AA16:AA28" si="28">$Z16*S$5</f>
        <v>4.4764223073754368E-5</v>
      </c>
      <c r="AB16" s="2">
        <f t="shared" ref="AB16:AB28" si="29">$Z16*T$5</f>
        <v>156.16239993670786</v>
      </c>
      <c r="AC16" s="2">
        <f t="shared" ref="AC16:AC28" si="30">$Z16*U$5</f>
        <v>4.4764223080678903E-5</v>
      </c>
      <c r="AD16" s="2">
        <f>Z16-AA16-AB15-AC14</f>
        <v>6.0842521845528674</v>
      </c>
      <c r="AE16" s="2">
        <f>SUM(Z14:Z16)-SUM(AA14:AA16,AB14:AB15,AC14)</f>
        <v>156.16248772109344</v>
      </c>
      <c r="AG16">
        <v>2018</v>
      </c>
      <c r="AH16" s="16">
        <f>hist!AC6</f>
        <v>1015.0561815235011</v>
      </c>
      <c r="AI16" s="2">
        <f t="shared" ref="AI16:AI28" si="31">$AH16*S$6</f>
        <v>2.909674499794034E-4</v>
      </c>
      <c r="AJ16" s="2">
        <f t="shared" ref="AJ16:AJ28" si="32">$AH16*T$6</f>
        <v>1015.055599588601</v>
      </c>
      <c r="AK16" s="2">
        <f t="shared" ref="AK16:AK28" si="33">$AH16*U$6</f>
        <v>2.9096745002441286E-4</v>
      </c>
      <c r="AL16" s="2">
        <f>AH16-AI16-AJ15-AK14</f>
        <v>39.547639199593867</v>
      </c>
      <c r="AM16" s="2">
        <f>SUM(AH14:AH16)-SUM(AI14:AI16,AJ14:AJ15,AK14)</f>
        <v>1015.0561701871072</v>
      </c>
      <c r="AO16">
        <v>2018</v>
      </c>
      <c r="AP16" s="16">
        <f>hist!AC7</f>
        <v>507.52809076175055</v>
      </c>
      <c r="AQ16" s="2">
        <f t="shared" ref="AQ16:AQ28" si="34">$AP16*S$7</f>
        <v>1.454837249897017E-4</v>
      </c>
      <c r="AR16" s="2">
        <f t="shared" ref="AR16:AR28" si="35">$AP16*T$7</f>
        <v>507.52779979430051</v>
      </c>
      <c r="AS16" s="2">
        <f t="shared" ref="AS16:AS28" si="36">$AP16*U$7</f>
        <v>1.4548372501220643E-4</v>
      </c>
      <c r="AT16" s="2">
        <f>AP16-AQ16-AR15-AS14</f>
        <v>19.773819599796933</v>
      </c>
      <c r="AU16" s="2">
        <f>SUM(AP14:AP16)-SUM(AQ14:AQ16,AR14:AR15,AS14)</f>
        <v>507.52808509355361</v>
      </c>
    </row>
    <row r="17" spans="1:47" x14ac:dyDescent="0.2">
      <c r="A17">
        <v>2019</v>
      </c>
      <c r="B17" s="16">
        <f>hist!AD2*tc!D3</f>
        <v>166.58672382495951</v>
      </c>
      <c r="C17" s="15">
        <f>B17*S$2</f>
        <v>4.7752346238629706E-5</v>
      </c>
      <c r="D17" s="15">
        <f>B17*T$2</f>
        <v>166.58662832026701</v>
      </c>
      <c r="E17" s="2">
        <f>$B17*U$2</f>
        <v>4.775234624601647E-5</v>
      </c>
      <c r="F17" s="25">
        <f t="shared" si="24"/>
        <v>-28.616377623474573</v>
      </c>
      <c r="G17" s="25">
        <f>B16+B17-SUM(C16:C17,D16)</f>
        <v>166.58673202789217</v>
      </c>
      <c r="I17">
        <v>2019</v>
      </c>
      <c r="J17" s="16">
        <f>hist!$AD3</f>
        <v>674.27959643435997</v>
      </c>
      <c r="K17" s="15">
        <f t="shared" si="25"/>
        <v>1.9328330620397742E-4</v>
      </c>
      <c r="L17" s="15">
        <f t="shared" si="12"/>
        <v>674.27920986774745</v>
      </c>
      <c r="M17" s="2">
        <f t="shared" si="13"/>
        <v>1.9328330623387621E-4</v>
      </c>
      <c r="N17" s="25">
        <f t="shared" si="26"/>
        <v>10.589020584354977</v>
      </c>
      <c r="O17" s="25">
        <f>SUM(J14:J17)-SUM(K14:K17,L14:L16,M14:M15)</f>
        <v>674.2795933990019</v>
      </c>
      <c r="Q17">
        <v>2019</v>
      </c>
      <c r="R17" s="16">
        <f>hist!$AD4</f>
        <v>1348.5591928687199</v>
      </c>
      <c r="S17" s="2">
        <f t="shared" si="27"/>
        <v>3.8656661240795483E-4</v>
      </c>
      <c r="T17" s="2">
        <f t="shared" si="27"/>
        <v>1348.5584197354949</v>
      </c>
      <c r="U17" s="2">
        <f t="shared" si="27"/>
        <v>3.8656661246775243E-4</v>
      </c>
      <c r="V17" s="2">
        <f>R17-S17-T16-U15</f>
        <v>21.178041168709953</v>
      </c>
      <c r="W17" s="2">
        <f>SUM(R14:R17)-SUM(S14:S17,T14:T16,U14:U15)</f>
        <v>1348.5591867980038</v>
      </c>
      <c r="Y17">
        <v>2019</v>
      </c>
      <c r="Z17" s="16">
        <f>hist!AD5</f>
        <v>158.65402269043764</v>
      </c>
      <c r="AA17" s="2">
        <f t="shared" si="28"/>
        <v>4.5478424989171155E-5</v>
      </c>
      <c r="AB17" s="2">
        <f t="shared" si="29"/>
        <v>158.65393173358765</v>
      </c>
      <c r="AC17" s="2">
        <f t="shared" si="30"/>
        <v>4.547842499620617E-5</v>
      </c>
      <c r="AD17" s="2">
        <f>Z17-AA17-AB16-AC15</f>
        <v>2.4915342551423505</v>
      </c>
      <c r="AE17" s="2">
        <f>SUM(Z14:Z17)-SUM(AA14:AA17,AB14:AB16,AC14:AC15)</f>
        <v>158.65402197623575</v>
      </c>
      <c r="AG17">
        <v>2019</v>
      </c>
      <c r="AH17" s="16">
        <f>hist!AD6</f>
        <v>1031.2511474878445</v>
      </c>
      <c r="AI17" s="2">
        <f t="shared" si="31"/>
        <v>2.9560976242961245E-4</v>
      </c>
      <c r="AJ17" s="2">
        <f t="shared" si="32"/>
        <v>1031.2505562683195</v>
      </c>
      <c r="AK17" s="2">
        <f t="shared" si="33"/>
        <v>2.9560976247534004E-4</v>
      </c>
      <c r="AL17" s="2">
        <f>AH17-AI17-AJ16-AK15</f>
        <v>16.19497265842525</v>
      </c>
      <c r="AM17" s="2">
        <f>SUM(AH14:AH17)-SUM(AI14:AI17,AJ14:AJ16,AK14:AK15)</f>
        <v>1031.2511428455318</v>
      </c>
      <c r="AO17">
        <v>2019</v>
      </c>
      <c r="AP17" s="16">
        <f>hist!AD7</f>
        <v>515.62557374392225</v>
      </c>
      <c r="AQ17" s="2">
        <f t="shared" si="34"/>
        <v>1.4780488121480623E-4</v>
      </c>
      <c r="AR17" s="2">
        <f t="shared" si="35"/>
        <v>515.62527813415977</v>
      </c>
      <c r="AS17" s="2">
        <f t="shared" si="36"/>
        <v>1.4780488123767002E-4</v>
      </c>
      <c r="AT17" s="2">
        <f>AP17-AQ17-AR16-AS15</f>
        <v>8.0974863292126251</v>
      </c>
      <c r="AU17" s="2">
        <f>SUM(AP14:AP17)-SUM(AQ14:AQ17,AR14:AR16,AS14:AS15)</f>
        <v>515.62557142276592</v>
      </c>
    </row>
    <row r="18" spans="1:47" x14ac:dyDescent="0.2">
      <c r="A18">
        <v>2020</v>
      </c>
      <c r="B18" s="16">
        <f>hist!$AD$2*(1+parameters!$B$2)^('stock release'!A18-'stock release'!A$17)*tc!$D$3</f>
        <v>170.7513919205835</v>
      </c>
      <c r="C18" s="15">
        <f>$B18*S$2</f>
        <v>4.894615489459545E-5</v>
      </c>
      <c r="D18" s="15">
        <f t="shared" ref="D18:D28" si="37">$B18*T$2</f>
        <v>170.75129402827369</v>
      </c>
      <c r="E18" s="2">
        <f t="shared" ref="E18:E28" si="38">$B18*U$2</f>
        <v>4.8946154902166887E-5</v>
      </c>
      <c r="F18" s="25">
        <f t="shared" si="24"/>
        <v>4.1646586988827483</v>
      </c>
      <c r="G18" s="25">
        <f>SUM(B14:B18)-SUM(C14:C18,D14:D17,E14:E16)</f>
        <v>170.75139072677496</v>
      </c>
      <c r="H18" s="2">
        <f>hist!$AC$2*(1+parameters!$B$2)^('stock release'!A18-'stock release'!A$17)</f>
        <v>200.08318962722853</v>
      </c>
      <c r="I18">
        <v>2020</v>
      </c>
      <c r="J18" s="16">
        <f>$J$17*(1+parameters!$B$3)^('stock release'!I18-'stock release'!I$17)</f>
        <v>690.46230674878461</v>
      </c>
      <c r="K18" s="15">
        <f t="shared" si="25"/>
        <v>1.9792210555287287E-4</v>
      </c>
      <c r="L18" s="15">
        <f t="shared" si="12"/>
        <v>690.46191090457341</v>
      </c>
      <c r="M18" s="2">
        <f t="shared" si="13"/>
        <v>1.9792210558348925E-4</v>
      </c>
      <c r="N18" s="25">
        <f t="shared" si="26"/>
        <v>16.182708710983466</v>
      </c>
      <c r="O18" s="25">
        <f>SUM(J14:J18)-SUM(K14:K18,L14:L17,M14:M16)</f>
        <v>690.46230210998556</v>
      </c>
      <c r="Q18">
        <v>2020</v>
      </c>
      <c r="R18" s="16">
        <f>$R$17*(1+parameters!$B$4)^('stock release'!Q18-'stock release'!Q$17)</f>
        <v>1397.1073238119939</v>
      </c>
      <c r="S18" s="2">
        <f t="shared" si="27"/>
        <v>4.004830104546412E-4</v>
      </c>
      <c r="T18" s="2">
        <f t="shared" si="27"/>
        <v>1397.1065228459729</v>
      </c>
      <c r="U18" s="2">
        <f t="shared" si="27"/>
        <v>4.0048301051659154E-4</v>
      </c>
      <c r="V18" s="2">
        <f>R18-S18-T17-U16</f>
        <v>48.548123097592288</v>
      </c>
      <c r="W18" s="2">
        <f>SUM(R14:R18)-SUM(S14:S18,T14:T17,U14:U16)</f>
        <v>1397.1073098955958</v>
      </c>
      <c r="Y18">
        <v>2020</v>
      </c>
      <c r="Z18" s="16">
        <f>$Z$17*(1+parameters!$B$5)^('stock release'!Y18-'stock release'!$A$17)</f>
        <v>162.62037325769856</v>
      </c>
      <c r="AA18" s="2">
        <f t="shared" si="28"/>
        <v>4.661538561390043E-5</v>
      </c>
      <c r="AB18" s="2">
        <f t="shared" si="29"/>
        <v>162.6202800269273</v>
      </c>
      <c r="AC18" s="2">
        <f t="shared" si="30"/>
        <v>4.6615385621111317E-5</v>
      </c>
      <c r="AD18" s="2">
        <f>Z18-AA18-AB17-AC16</f>
        <v>3.9663501445021967</v>
      </c>
      <c r="AE18" s="2">
        <f>SUM(Z14:Z18)-SUM(AA14:AA18,AB14:AB17,AC14:AC16)</f>
        <v>162.6203721207379</v>
      </c>
      <c r="AG18">
        <v>2020</v>
      </c>
      <c r="AH18" s="16">
        <f>$AH$17*(1+parameters!$B$6)^('stock release'!AG18-'stock release'!$A$17)</f>
        <v>1056.0011750275528</v>
      </c>
      <c r="AI18" s="2">
        <f t="shared" si="31"/>
        <v>3.0270439672792318E-4</v>
      </c>
      <c r="AJ18" s="2">
        <f t="shared" si="32"/>
        <v>1056.0005696187593</v>
      </c>
      <c r="AK18" s="2">
        <f t="shared" si="33"/>
        <v>3.027043967747482E-4</v>
      </c>
      <c r="AL18" s="2">
        <f>AH18-AI18-AJ17-AK16</f>
        <v>24.750025087386479</v>
      </c>
      <c r="AM18" s="2">
        <f>SUM(AH14:AH18)-SUM(AI14:AI18,AJ14:AJ17,AK14:AK16)</f>
        <v>1056.0011679329182</v>
      </c>
      <c r="AO18">
        <v>2020</v>
      </c>
      <c r="AP18" s="16">
        <f>$AP$17*(1+parameters!$B$7)^('stock release'!AO18-'stock release'!$A$17)</f>
        <v>534.18809439870347</v>
      </c>
      <c r="AQ18" s="2">
        <f t="shared" si="34"/>
        <v>1.5312585693853925E-4</v>
      </c>
      <c r="AR18" s="2">
        <f t="shared" si="35"/>
        <v>534.18778814698953</v>
      </c>
      <c r="AS18" s="2">
        <f t="shared" si="36"/>
        <v>1.5312585696222614E-4</v>
      </c>
      <c r="AT18" s="2">
        <f>AP18-AQ18-AR17-AS16</f>
        <v>18.562517654961717</v>
      </c>
      <c r="AU18" s="2">
        <f>SUM(AP14:AP18)-SUM(AQ14:AQ18,AR14:AR17,AS14:AS16)</f>
        <v>534.18808907772768</v>
      </c>
    </row>
    <row r="19" spans="1:47" x14ac:dyDescent="0.2">
      <c r="A19">
        <v>2021</v>
      </c>
      <c r="B19" s="16">
        <f>hist!$AD$2*(1+parameters!$B$2)^('stock release'!A19-'stock release'!A$17)*tc!$D$3</f>
        <v>175.02017671859807</v>
      </c>
      <c r="C19" s="15">
        <f t="shared" ref="C19:C28" si="39">$B19*S$2</f>
        <v>5.0169808766960331E-5</v>
      </c>
      <c r="D19" s="15">
        <f t="shared" si="37"/>
        <v>175.02007637898052</v>
      </c>
      <c r="E19" s="2">
        <f t="shared" si="38"/>
        <v>5.0169808774721051E-5</v>
      </c>
      <c r="F19" s="25">
        <f t="shared" si="24"/>
        <v>4.26878476816937</v>
      </c>
      <c r="G19" s="25">
        <f t="shared" ref="G19:G28" si="40">G18+F19</f>
        <v>175.02017549494434</v>
      </c>
      <c r="I19">
        <v>2021</v>
      </c>
      <c r="J19" s="16">
        <f>$J$17*(1+parameters!$B$3)^('stock release'!I19-'stock release'!I$17)</f>
        <v>707.03340211075545</v>
      </c>
      <c r="K19" s="15">
        <f t="shared" si="25"/>
        <v>2.0267223608614181E-4</v>
      </c>
      <c r="L19" s="15">
        <f t="shared" si="12"/>
        <v>707.03299676628319</v>
      </c>
      <c r="M19" s="2">
        <f t="shared" si="13"/>
        <v>2.02672236117493E-4</v>
      </c>
      <c r="N19" s="25">
        <f t="shared" si="26"/>
        <v>16.571095250639669</v>
      </c>
      <c r="O19" s="25">
        <f t="shared" ref="O19:O26" si="41">O18+N19</f>
        <v>707.03339736062526</v>
      </c>
      <c r="Q19">
        <v>2021</v>
      </c>
      <c r="R19" s="16">
        <f>$R$17*(1+parameters!$B$4)^('stock release'!Q19-'stock release'!Q$17)</f>
        <v>1447.4031874692257</v>
      </c>
      <c r="S19" s="2">
        <f t="shared" si="27"/>
        <v>4.1490039883100831E-4</v>
      </c>
      <c r="T19" s="2">
        <f t="shared" si="27"/>
        <v>1447.4023576684278</v>
      </c>
      <c r="U19" s="2">
        <f t="shared" si="27"/>
        <v>4.1490039889518885E-4</v>
      </c>
      <c r="V19" s="2">
        <f t="shared" ref="V19:V26" si="42">R19-S19-T18-U17</f>
        <v>50.295863156241403</v>
      </c>
      <c r="W19" s="2">
        <f t="shared" ref="W19:W26" si="43">W18+V19</f>
        <v>1447.4031730518373</v>
      </c>
      <c r="Y19">
        <v>2021</v>
      </c>
      <c r="Z19" s="16">
        <f>$Z$17*(1+parameters!$B$5)^('stock release'!Y19-'stock release'!$A$17)</f>
        <v>166.68588258914104</v>
      </c>
      <c r="AA19" s="2">
        <f t="shared" si="28"/>
        <v>4.7780770254247943E-5</v>
      </c>
      <c r="AB19" s="2">
        <f t="shared" si="29"/>
        <v>166.68578702760053</v>
      </c>
      <c r="AC19" s="2">
        <f t="shared" si="30"/>
        <v>4.7780770261639105E-5</v>
      </c>
      <c r="AD19" s="2">
        <f t="shared" ref="AD19:AD26" si="44">Z19-AA19-AB18-AC17</f>
        <v>4.0655093030184988</v>
      </c>
      <c r="AE19" s="2">
        <f t="shared" ref="AE19:AE26" si="45">AE18+AD19</f>
        <v>166.6858814237564</v>
      </c>
      <c r="AG19">
        <v>2021</v>
      </c>
      <c r="AH19" s="16">
        <f>$AH$17*(1+parameters!$B$6)^('stock release'!AG19-'stock release'!$A$17)</f>
        <v>1081.3452032282139</v>
      </c>
      <c r="AI19" s="2">
        <f t="shared" si="31"/>
        <v>3.0996930224939327E-4</v>
      </c>
      <c r="AJ19" s="2">
        <f t="shared" si="32"/>
        <v>1081.3445832896093</v>
      </c>
      <c r="AK19" s="2">
        <f t="shared" si="33"/>
        <v>3.0996930229734211E-4</v>
      </c>
      <c r="AL19" s="2">
        <f t="shared" ref="AL19:AL26" si="46">AH19-AI19-AJ18-AK17</f>
        <v>25.34402803038995</v>
      </c>
      <c r="AM19" s="2">
        <f t="shared" ref="AM19:AM26" si="47">AM18+AL19</f>
        <v>1081.345195963308</v>
      </c>
      <c r="AO19">
        <v>2021</v>
      </c>
      <c r="AP19" s="16">
        <f>$AP$17*(1+parameters!$B$7)^('stock release'!AO19-'stock release'!$A$17)</f>
        <v>553.41886579705681</v>
      </c>
      <c r="AQ19" s="2">
        <f t="shared" si="34"/>
        <v>1.5863838778832669E-4</v>
      </c>
      <c r="AR19" s="2">
        <f t="shared" si="35"/>
        <v>553.41854852028121</v>
      </c>
      <c r="AS19" s="2">
        <f t="shared" si="36"/>
        <v>1.586383878128663E-4</v>
      </c>
      <c r="AT19" s="2">
        <f t="shared" ref="AT19:AT26" si="48">AP19-AQ19-AR18-AS17</f>
        <v>19.230771206798238</v>
      </c>
      <c r="AU19" s="2">
        <f t="shared" ref="AU19:AU26" si="49">AU18+AT19</f>
        <v>553.41886028452586</v>
      </c>
    </row>
    <row r="20" spans="1:47" x14ac:dyDescent="0.2">
      <c r="A20">
        <v>2022</v>
      </c>
      <c r="B20" s="16">
        <f>hist!$AD$2*(1+parameters!$B$2)^('stock release'!A20-'stock release'!A$17)*tc!$D$3</f>
        <v>179.39568113656301</v>
      </c>
      <c r="C20" s="15">
        <f t="shared" si="39"/>
        <v>5.1424053986134337E-5</v>
      </c>
      <c r="D20" s="15">
        <f t="shared" si="37"/>
        <v>179.39557828845503</v>
      </c>
      <c r="E20" s="2">
        <f t="shared" si="38"/>
        <v>5.1424053994089074E-5</v>
      </c>
      <c r="F20" s="25">
        <f t="shared" si="24"/>
        <v>4.3755043873735984</v>
      </c>
      <c r="G20" s="25">
        <f t="shared" si="40"/>
        <v>179.39567988231795</v>
      </c>
      <c r="I20">
        <v>2022</v>
      </c>
      <c r="J20" s="16">
        <f>$J$17*(1+parameters!$B$3)^('stock release'!I20-'stock release'!I$17)</f>
        <v>724.00220376141363</v>
      </c>
      <c r="K20" s="15">
        <f t="shared" si="25"/>
        <v>2.0753636975220924E-4</v>
      </c>
      <c r="L20" s="15">
        <f t="shared" si="12"/>
        <v>724.00178868867408</v>
      </c>
      <c r="M20" s="2">
        <f t="shared" si="13"/>
        <v>2.0753636978431284E-4</v>
      </c>
      <c r="N20" s="25">
        <f t="shared" si="26"/>
        <v>16.968801536655079</v>
      </c>
      <c r="O20" s="25">
        <f t="shared" si="41"/>
        <v>724.00219889728032</v>
      </c>
      <c r="Q20">
        <v>2022</v>
      </c>
      <c r="R20" s="16">
        <f>$R$17*(1+parameters!$B$4)^('stock release'!Q20-'stock release'!Q$17)</f>
        <v>1499.5097022181178</v>
      </c>
      <c r="S20" s="2">
        <f t="shared" si="27"/>
        <v>4.2983681318892457E-4</v>
      </c>
      <c r="T20" s="2">
        <f t="shared" si="27"/>
        <v>1499.5088425444912</v>
      </c>
      <c r="U20" s="2">
        <f t="shared" si="27"/>
        <v>4.298368132554156E-4</v>
      </c>
      <c r="V20" s="2">
        <f t="shared" si="42"/>
        <v>52.106514229866171</v>
      </c>
      <c r="W20" s="2">
        <f t="shared" si="43"/>
        <v>1499.5096872817035</v>
      </c>
      <c r="Y20">
        <v>2022</v>
      </c>
      <c r="Z20" s="16">
        <f>$Z$17*(1+parameters!$B$5)^('stock release'!Y20-'stock release'!$A$17)</f>
        <v>170.85302965386956</v>
      </c>
      <c r="AA20" s="2">
        <f t="shared" si="28"/>
        <v>4.8975289510604141E-5</v>
      </c>
      <c r="AB20" s="2">
        <f t="shared" si="29"/>
        <v>170.85293170329052</v>
      </c>
      <c r="AC20" s="2">
        <f t="shared" si="30"/>
        <v>4.8975289518180078E-5</v>
      </c>
      <c r="AD20" s="2">
        <f t="shared" si="44"/>
        <v>4.1671470355939064</v>
      </c>
      <c r="AE20" s="2">
        <f t="shared" si="45"/>
        <v>170.8530284593503</v>
      </c>
      <c r="AG20">
        <v>2022</v>
      </c>
      <c r="AH20" s="16">
        <f>$AH$17*(1+parameters!$B$6)^('stock release'!AG20-'stock release'!$A$17)</f>
        <v>1107.2974881056912</v>
      </c>
      <c r="AI20" s="2">
        <f t="shared" si="31"/>
        <v>3.1740856550337875E-4</v>
      </c>
      <c r="AJ20" s="2">
        <f t="shared" si="32"/>
        <v>1107.29685328856</v>
      </c>
      <c r="AK20" s="2">
        <f t="shared" si="33"/>
        <v>3.1740856555247836E-4</v>
      </c>
      <c r="AL20" s="2">
        <f t="shared" si="46"/>
        <v>25.952284703119602</v>
      </c>
      <c r="AM20" s="2">
        <f t="shared" si="47"/>
        <v>1107.2974806664276</v>
      </c>
      <c r="AO20">
        <v>2022</v>
      </c>
      <c r="AP20" s="16">
        <f>$AP$17*(1+parameters!$B$7)^('stock release'!AO20-'stock release'!$A$17)</f>
        <v>573.34194496575083</v>
      </c>
      <c r="AQ20" s="2">
        <f t="shared" si="34"/>
        <v>1.6434936974870642E-4</v>
      </c>
      <c r="AR20" s="2">
        <f t="shared" si="35"/>
        <v>573.34161626701132</v>
      </c>
      <c r="AS20" s="2">
        <f t="shared" si="36"/>
        <v>1.6434936977412947E-4</v>
      </c>
      <c r="AT20" s="2">
        <f t="shared" si="48"/>
        <v>19.923078970242962</v>
      </c>
      <c r="AU20" s="2">
        <f t="shared" si="49"/>
        <v>573.34193925476882</v>
      </c>
    </row>
    <row r="21" spans="1:47" x14ac:dyDescent="0.2">
      <c r="A21">
        <v>2023</v>
      </c>
      <c r="B21" s="16">
        <f>hist!$AD$2*(1+parameters!$B$2)^('stock release'!A21-'stock release'!A$17)*tc!$D$3</f>
        <v>183.88057316497708</v>
      </c>
      <c r="C21" s="15">
        <f t="shared" si="39"/>
        <v>5.2709655335787697E-5</v>
      </c>
      <c r="D21" s="15">
        <f t="shared" si="37"/>
        <v>183.88046774566638</v>
      </c>
      <c r="E21" s="2">
        <f t="shared" si="38"/>
        <v>5.2709655343941304E-5</v>
      </c>
      <c r="F21" s="25">
        <f t="shared" si="24"/>
        <v>4.4848919970579413</v>
      </c>
      <c r="G21" s="25">
        <f t="shared" si="40"/>
        <v>183.88057187937588</v>
      </c>
      <c r="I21">
        <v>2023</v>
      </c>
      <c r="J21" s="16">
        <f>$J$17*(1+parameters!$B$3)^('stock release'!I21-'stock release'!I$17)</f>
        <v>741.37825665168748</v>
      </c>
      <c r="K21" s="15">
        <f t="shared" si="25"/>
        <v>2.1251724262626225E-4</v>
      </c>
      <c r="L21" s="15">
        <f t="shared" si="12"/>
        <v>741.37783161720211</v>
      </c>
      <c r="M21" s="2">
        <f t="shared" si="13"/>
        <v>2.1251724265913631E-4</v>
      </c>
      <c r="N21" s="25">
        <f t="shared" si="26"/>
        <v>17.376052773534649</v>
      </c>
      <c r="O21" s="25">
        <f t="shared" si="41"/>
        <v>741.37825167081496</v>
      </c>
      <c r="Q21">
        <v>2023</v>
      </c>
      <c r="R21" s="16">
        <f>$R$17*(1+parameters!$B$4)^('stock release'!Q21-'stock release'!Q$17)</f>
        <v>1553.4920514979701</v>
      </c>
      <c r="S21" s="2">
        <f t="shared" si="27"/>
        <v>4.4531093846372587E-4</v>
      </c>
      <c r="T21" s="2">
        <f t="shared" si="27"/>
        <v>1553.4911608760931</v>
      </c>
      <c r="U21" s="2">
        <f t="shared" si="27"/>
        <v>4.453109385326106E-4</v>
      </c>
      <c r="V21" s="2">
        <f t="shared" si="42"/>
        <v>53.982348742141582</v>
      </c>
      <c r="W21" s="2">
        <f t="shared" si="43"/>
        <v>1553.492036023845</v>
      </c>
      <c r="Y21">
        <v>2023</v>
      </c>
      <c r="Z21" s="16">
        <f>$Z$17*(1+parameters!$B$5)^('stock release'!Y21-'stock release'!$A$17)</f>
        <v>175.12435539521627</v>
      </c>
      <c r="AA21" s="2">
        <f t="shared" si="28"/>
        <v>5.0199671748369235E-5</v>
      </c>
      <c r="AB21" s="2">
        <f t="shared" si="29"/>
        <v>175.12425499587275</v>
      </c>
      <c r="AC21" s="2">
        <f t="shared" si="30"/>
        <v>5.0199671756134576E-5</v>
      </c>
      <c r="AD21" s="2">
        <f t="shared" si="44"/>
        <v>4.2713257114837244</v>
      </c>
      <c r="AE21" s="2">
        <f t="shared" si="45"/>
        <v>175.12435417083401</v>
      </c>
      <c r="AG21">
        <v>2023</v>
      </c>
      <c r="AH21" s="16">
        <f>$AH$17*(1+parameters!$B$6)^('stock release'!AG21-'stock release'!$A$17)</f>
        <v>1133.8726278202278</v>
      </c>
      <c r="AI21" s="2">
        <f t="shared" si="31"/>
        <v>3.2502637107545987E-4</v>
      </c>
      <c r="AJ21" s="2">
        <f t="shared" si="32"/>
        <v>1133.8719777674855</v>
      </c>
      <c r="AK21" s="2">
        <f t="shared" si="33"/>
        <v>3.2502637112573785E-4</v>
      </c>
      <c r="AL21" s="2">
        <f t="shared" si="46"/>
        <v>26.575139535994477</v>
      </c>
      <c r="AM21" s="2">
        <f t="shared" si="47"/>
        <v>1133.872620202422</v>
      </c>
      <c r="AO21">
        <v>2023</v>
      </c>
      <c r="AP21" s="16">
        <f>$AP$17*(1+parameters!$B$7)^('stock release'!AO21-'stock release'!$A$17)</f>
        <v>593.98225498451791</v>
      </c>
      <c r="AQ21" s="2">
        <f t="shared" si="34"/>
        <v>1.7026594705965987E-4</v>
      </c>
      <c r="AR21" s="2">
        <f t="shared" si="35"/>
        <v>593.98191445262376</v>
      </c>
      <c r="AS21" s="2">
        <f t="shared" si="36"/>
        <v>1.7026594708599815E-4</v>
      </c>
      <c r="AT21" s="2">
        <f t="shared" si="48"/>
        <v>20.640309813171701</v>
      </c>
      <c r="AU21" s="2">
        <f t="shared" si="49"/>
        <v>593.98224906794053</v>
      </c>
    </row>
    <row r="22" spans="1:47" x14ac:dyDescent="0.2">
      <c r="A22">
        <v>2024</v>
      </c>
      <c r="B22" s="16">
        <f>hist!$AD$2*(1+parameters!$B$2)^('stock release'!A22-'stock release'!A$17)*tc!$D$3</f>
        <v>188.4775874941015</v>
      </c>
      <c r="C22" s="15">
        <f t="shared" si="39"/>
        <v>5.4027396719182383E-5</v>
      </c>
      <c r="D22" s="15">
        <f t="shared" si="37"/>
        <v>188.47747943930804</v>
      </c>
      <c r="E22" s="2">
        <f t="shared" si="38"/>
        <v>5.4027396727539834E-5</v>
      </c>
      <c r="F22" s="25">
        <f t="shared" si="24"/>
        <v>4.597014296984411</v>
      </c>
      <c r="G22" s="25">
        <f t="shared" si="40"/>
        <v>188.47758617636029</v>
      </c>
      <c r="I22">
        <v>2024</v>
      </c>
      <c r="J22" s="16">
        <f>$J$17*(1+parameters!$B$3)^('stock release'!I22-'stock release'!I$17)</f>
        <v>759.17133481132805</v>
      </c>
      <c r="K22" s="15">
        <f t="shared" si="25"/>
        <v>2.1761765644929255E-4</v>
      </c>
      <c r="L22" s="15">
        <f t="shared" si="12"/>
        <v>759.17089957601513</v>
      </c>
      <c r="M22" s="2">
        <f t="shared" si="13"/>
        <v>2.1761765648295562E-4</v>
      </c>
      <c r="N22" s="25">
        <f t="shared" si="26"/>
        <v>17.793078040099758</v>
      </c>
      <c r="O22" s="25">
        <f t="shared" si="41"/>
        <v>759.17132971091473</v>
      </c>
      <c r="Q22">
        <v>2024</v>
      </c>
      <c r="R22" s="16">
        <f>$R$17*(1+parameters!$B$4)^('stock release'!Q22-'stock release'!Q$17)</f>
        <v>1609.4177653518971</v>
      </c>
      <c r="S22" s="2">
        <f t="shared" si="27"/>
        <v>4.6134213224842001E-4</v>
      </c>
      <c r="T22" s="2">
        <f t="shared" si="27"/>
        <v>1609.4168426676324</v>
      </c>
      <c r="U22" s="2">
        <f t="shared" si="27"/>
        <v>4.6134213231978458E-4</v>
      </c>
      <c r="V22" s="2">
        <f t="shared" si="42"/>
        <v>55.925713296858504</v>
      </c>
      <c r="W22" s="2">
        <f t="shared" si="43"/>
        <v>1609.4177493207035</v>
      </c>
      <c r="Y22">
        <v>2024</v>
      </c>
      <c r="Z22" s="16">
        <f>$Z$17*(1+parameters!$B$5)^('stock release'!Y22-'stock release'!$A$17)</f>
        <v>179.50246428009666</v>
      </c>
      <c r="AA22" s="2">
        <f t="shared" si="28"/>
        <v>5.145466354207846E-5</v>
      </c>
      <c r="AB22" s="2">
        <f t="shared" si="29"/>
        <v>179.50236137076956</v>
      </c>
      <c r="AC22" s="2">
        <f t="shared" si="30"/>
        <v>5.1454663550037933E-5</v>
      </c>
      <c r="AD22" s="2">
        <f t="shared" si="44"/>
        <v>4.3781088542708471</v>
      </c>
      <c r="AE22" s="2">
        <f t="shared" si="45"/>
        <v>179.50246302510484</v>
      </c>
      <c r="AG22">
        <v>2024</v>
      </c>
      <c r="AH22" s="16">
        <f>$AH$17*(1+parameters!$B$6)^('stock release'!AG22-'stock release'!$A$17)</f>
        <v>1161.0855708879133</v>
      </c>
      <c r="AI22" s="2">
        <f t="shared" si="31"/>
        <v>3.3282700398127088E-4</v>
      </c>
      <c r="AJ22" s="2">
        <f t="shared" si="32"/>
        <v>1161.0849052339051</v>
      </c>
      <c r="AK22" s="2">
        <f t="shared" si="33"/>
        <v>3.3282700403275558E-4</v>
      </c>
      <c r="AL22" s="2">
        <f t="shared" si="46"/>
        <v>27.212942884858119</v>
      </c>
      <c r="AM22" s="2">
        <f t="shared" si="47"/>
        <v>1161.0855630872802</v>
      </c>
      <c r="AO22">
        <v>2024</v>
      </c>
      <c r="AP22" s="16">
        <f>$AP$17*(1+parameters!$B$7)^('stock release'!AO22-'stock release'!$A$17)</f>
        <v>615.36561616396057</v>
      </c>
      <c r="AQ22" s="2">
        <f t="shared" si="34"/>
        <v>1.7639552115380764E-4</v>
      </c>
      <c r="AR22" s="2">
        <f t="shared" si="35"/>
        <v>615.36526337291821</v>
      </c>
      <c r="AS22" s="2">
        <f t="shared" si="36"/>
        <v>1.7639552118109409E-4</v>
      </c>
      <c r="AT22" s="2">
        <f t="shared" si="48"/>
        <v>21.383360966445856</v>
      </c>
      <c r="AU22" s="2">
        <f t="shared" si="49"/>
        <v>615.36561003438635</v>
      </c>
    </row>
    <row r="23" spans="1:47" x14ac:dyDescent="0.2">
      <c r="A23">
        <v>2025</v>
      </c>
      <c r="B23" s="16">
        <f>hist!$AD$2*(1+parameters!$B$2)^('stock release'!A23-'stock release'!A$17)*tc!$D$3</f>
        <v>193.18952718145403</v>
      </c>
      <c r="C23" s="15">
        <f t="shared" si="39"/>
        <v>5.5378081637161939E-5</v>
      </c>
      <c r="D23" s="15">
        <f t="shared" si="37"/>
        <v>193.18941642529074</v>
      </c>
      <c r="E23" s="2">
        <f t="shared" si="38"/>
        <v>5.5378081645728322E-5</v>
      </c>
      <c r="F23" s="25">
        <f t="shared" si="24"/>
        <v>4.711939654409</v>
      </c>
      <c r="G23" s="25">
        <f t="shared" si="40"/>
        <v>193.1895258307693</v>
      </c>
      <c r="I23">
        <v>2025</v>
      </c>
      <c r="J23" s="16">
        <f>$J$17*(1+parameters!$B$3)^('stock release'!I23-'stock release'!I$17)</f>
        <v>777.39144684679979</v>
      </c>
      <c r="K23" s="15">
        <f t="shared" si="25"/>
        <v>2.2284048020407553E-4</v>
      </c>
      <c r="L23" s="15">
        <f t="shared" si="12"/>
        <v>777.39100116583927</v>
      </c>
      <c r="M23" s="2">
        <f t="shared" si="13"/>
        <v>2.2284048023854652E-4</v>
      </c>
      <c r="N23" s="25">
        <f t="shared" si="26"/>
        <v>18.2201119130618</v>
      </c>
      <c r="O23" s="25">
        <f t="shared" si="41"/>
        <v>777.39144162397656</v>
      </c>
      <c r="Q23">
        <v>2025</v>
      </c>
      <c r="R23" s="16">
        <f>$R$17*(1+parameters!$B$4)^('stock release'!Q23-'stock release'!Q$17)</f>
        <v>1667.3568049045653</v>
      </c>
      <c r="S23" s="2">
        <f t="shared" si="27"/>
        <v>4.779504490093631E-4</v>
      </c>
      <c r="T23" s="2">
        <f t="shared" si="27"/>
        <v>1667.3558490036671</v>
      </c>
      <c r="U23" s="2">
        <f t="shared" si="27"/>
        <v>4.779504490832968E-4</v>
      </c>
      <c r="V23" s="2">
        <f t="shared" si="42"/>
        <v>57.939038975545245</v>
      </c>
      <c r="W23" s="2">
        <f t="shared" si="43"/>
        <v>1667.3567882962486</v>
      </c>
      <c r="Y23">
        <v>2025</v>
      </c>
      <c r="Z23" s="16">
        <f>$Z$17*(1+parameters!$B$5)^('stock release'!Y23-'stock release'!$A$17)</f>
        <v>183.99002588709908</v>
      </c>
      <c r="AA23" s="2">
        <f t="shared" si="28"/>
        <v>5.2741030130630421E-5</v>
      </c>
      <c r="AB23" s="2">
        <f t="shared" si="29"/>
        <v>183.98992040503879</v>
      </c>
      <c r="AC23" s="2">
        <f t="shared" si="30"/>
        <v>5.274103013878888E-5</v>
      </c>
      <c r="AD23" s="2">
        <f t="shared" si="44"/>
        <v>4.4875615756276428</v>
      </c>
      <c r="AE23" s="2">
        <f t="shared" si="45"/>
        <v>183.99002460073248</v>
      </c>
      <c r="AG23">
        <v>2025</v>
      </c>
      <c r="AH23" s="16">
        <f>$AH$17*(1+parameters!$B$6)^('stock release'!AG23-'stock release'!$A$17)</f>
        <v>1188.951624589223</v>
      </c>
      <c r="AI23" s="2">
        <f t="shared" si="31"/>
        <v>3.4081485207682137E-4</v>
      </c>
      <c r="AJ23" s="2">
        <f t="shared" si="32"/>
        <v>1188.9509429595187</v>
      </c>
      <c r="AK23" s="2">
        <f t="shared" si="33"/>
        <v>3.4081485212954167E-4</v>
      </c>
      <c r="AL23" s="2">
        <f t="shared" si="46"/>
        <v>27.866053514094677</v>
      </c>
      <c r="AM23" s="2">
        <f t="shared" si="47"/>
        <v>1188.9516166013748</v>
      </c>
      <c r="AO23">
        <v>2025</v>
      </c>
      <c r="AP23" s="16">
        <f>$AP$17*(1+parameters!$B$7)^('stock release'!AO23-'stock release'!$A$17)</f>
        <v>637.5187783458631</v>
      </c>
      <c r="AQ23" s="2">
        <f t="shared" si="34"/>
        <v>1.8274575991534471E-4</v>
      </c>
      <c r="AR23" s="2">
        <f t="shared" si="35"/>
        <v>637.51841285434318</v>
      </c>
      <c r="AS23" s="2">
        <f t="shared" si="36"/>
        <v>1.8274575994361346E-4</v>
      </c>
      <c r="AT23" s="2">
        <f t="shared" si="48"/>
        <v>22.153161961237846</v>
      </c>
      <c r="AU23" s="2">
        <f t="shared" si="49"/>
        <v>637.51877199562421</v>
      </c>
    </row>
    <row r="24" spans="1:47" x14ac:dyDescent="0.2">
      <c r="A24">
        <v>2026</v>
      </c>
      <c r="B24" s="16">
        <f>hist!$AD$2*(1+parameters!$B$2)^('stock release'!A24-'stock release'!A$17)*tc!$D$3</f>
        <v>198.01926536099037</v>
      </c>
      <c r="C24" s="15">
        <f t="shared" si="39"/>
        <v>5.6762533678090987E-5</v>
      </c>
      <c r="D24" s="15">
        <f t="shared" si="37"/>
        <v>198.019151835923</v>
      </c>
      <c r="E24" s="2">
        <f t="shared" si="38"/>
        <v>5.6762533686871534E-5</v>
      </c>
      <c r="F24" s="25">
        <f t="shared" si="24"/>
        <v>4.8297381457692143</v>
      </c>
      <c r="G24" s="25">
        <f t="shared" si="40"/>
        <v>198.01926397653853</v>
      </c>
      <c r="I24">
        <v>2026</v>
      </c>
      <c r="J24" s="16">
        <f>$J$17*(1+parameters!$B$3)^('stock release'!I24-'stock release'!I$17)</f>
        <v>796.04884157112315</v>
      </c>
      <c r="K24" s="15">
        <f t="shared" si="25"/>
        <v>2.2818865172897338E-4</v>
      </c>
      <c r="L24" s="15">
        <f t="shared" si="12"/>
        <v>796.04838519381963</v>
      </c>
      <c r="M24" s="2">
        <f t="shared" si="13"/>
        <v>2.2818865176427167E-4</v>
      </c>
      <c r="N24" s="25">
        <f t="shared" si="26"/>
        <v>18.657394598975692</v>
      </c>
      <c r="O24" s="25">
        <f t="shared" si="41"/>
        <v>796.04883622295222</v>
      </c>
      <c r="Q24">
        <v>2026</v>
      </c>
      <c r="R24" s="16">
        <f>$R$17*(1+parameters!$B$4)^('stock release'!Q24-'stock release'!Q$17)</f>
        <v>1727.3816498811298</v>
      </c>
      <c r="S24" s="2">
        <f t="shared" si="27"/>
        <v>4.9515666517370026E-4</v>
      </c>
      <c r="T24" s="2">
        <f t="shared" si="27"/>
        <v>1727.3806595677993</v>
      </c>
      <c r="U24" s="2">
        <f t="shared" si="27"/>
        <v>4.9515666525029557E-4</v>
      </c>
      <c r="V24" s="2">
        <f t="shared" si="42"/>
        <v>60.024844378665087</v>
      </c>
      <c r="W24" s="2">
        <f t="shared" si="43"/>
        <v>1727.3816326749138</v>
      </c>
      <c r="Y24">
        <v>2026</v>
      </c>
      <c r="Z24" s="16">
        <f>$Z$17*(1+parameters!$B$5)^('stock release'!Y24-'stock release'!$A$17)</f>
        <v>188.58977653427655</v>
      </c>
      <c r="AA24" s="2">
        <f t="shared" si="28"/>
        <v>5.4059555883896184E-5</v>
      </c>
      <c r="AB24" s="2">
        <f t="shared" si="29"/>
        <v>188.58966841516477</v>
      </c>
      <c r="AC24" s="2">
        <f t="shared" si="30"/>
        <v>5.4059555892258601E-5</v>
      </c>
      <c r="AD24" s="2">
        <f t="shared" si="44"/>
        <v>4.5997506150183352</v>
      </c>
      <c r="AE24" s="2">
        <f t="shared" si="45"/>
        <v>188.58977521575082</v>
      </c>
      <c r="AG24">
        <v>2026</v>
      </c>
      <c r="AH24" s="16">
        <f>$AH$17*(1+parameters!$B$6)^('stock release'!AG24-'stock release'!$A$17)</f>
        <v>1217.4864635793647</v>
      </c>
      <c r="AI24" s="2">
        <f t="shared" si="31"/>
        <v>3.4899440852666517E-4</v>
      </c>
      <c r="AJ24" s="2">
        <f t="shared" si="32"/>
        <v>1217.4857655905475</v>
      </c>
      <c r="AK24" s="2">
        <f t="shared" si="33"/>
        <v>3.4899440858065074E-4</v>
      </c>
      <c r="AL24" s="2">
        <f t="shared" si="46"/>
        <v>28.534838798433409</v>
      </c>
      <c r="AM24" s="2">
        <f t="shared" si="47"/>
        <v>1217.4864553998082</v>
      </c>
      <c r="AO24">
        <v>2026</v>
      </c>
      <c r="AP24" s="16">
        <f>$AP$17*(1+parameters!$B$7)^('stock release'!AO24-'stock release'!$A$17)</f>
        <v>660.46945436631427</v>
      </c>
      <c r="AQ24" s="2">
        <f t="shared" si="34"/>
        <v>1.8932460727229714E-4</v>
      </c>
      <c r="AR24" s="2">
        <f t="shared" si="35"/>
        <v>660.46907571709971</v>
      </c>
      <c r="AS24" s="2">
        <f t="shared" si="36"/>
        <v>1.8932460730158358E-4</v>
      </c>
      <c r="AT24" s="2">
        <f t="shared" si="48"/>
        <v>22.950675791842627</v>
      </c>
      <c r="AU24" s="2">
        <f t="shared" si="49"/>
        <v>660.46944778746683</v>
      </c>
    </row>
    <row r="25" spans="1:47" x14ac:dyDescent="0.2">
      <c r="A25">
        <v>2027</v>
      </c>
      <c r="B25" s="16">
        <f>hist!$AD$2*(1+parameters!$B$2)^('stock release'!A25-'stock release'!A$17)*tc!$D$3</f>
        <v>202.96974699501513</v>
      </c>
      <c r="C25" s="15">
        <f t="shared" si="39"/>
        <v>5.8181597020043263E-5</v>
      </c>
      <c r="D25" s="15">
        <f t="shared" si="37"/>
        <v>202.96963063182108</v>
      </c>
      <c r="E25" s="2">
        <f t="shared" si="38"/>
        <v>5.818159702904332E-5</v>
      </c>
      <c r="F25" s="25">
        <f t="shared" si="24"/>
        <v>4.9504815994134734</v>
      </c>
      <c r="G25" s="25">
        <f t="shared" si="40"/>
        <v>202.969745575952</v>
      </c>
      <c r="I25">
        <v>2027</v>
      </c>
      <c r="J25" s="16">
        <f>$J$17*(1+parameters!$B$3)^('stock release'!I25-'stock release'!I$17)</f>
        <v>815.15401376882994</v>
      </c>
      <c r="K25" s="15">
        <f t="shared" si="25"/>
        <v>2.3366517937046871E-4</v>
      </c>
      <c r="L25" s="15">
        <f t="shared" si="12"/>
        <v>815.15354643847115</v>
      </c>
      <c r="M25" s="2">
        <f t="shared" si="13"/>
        <v>2.3366517940661414E-4</v>
      </c>
      <c r="N25" s="25">
        <f t="shared" si="26"/>
        <v>19.105172069350683</v>
      </c>
      <c r="O25" s="25">
        <f t="shared" si="41"/>
        <v>815.15400829230293</v>
      </c>
      <c r="Q25">
        <v>2027</v>
      </c>
      <c r="R25" s="16">
        <f>$R$17*(1+parameters!$B$4)^('stock release'!Q25-'stock release'!Q$17)</f>
        <v>1789.5673892768505</v>
      </c>
      <c r="S25" s="2">
        <f t="shared" si="27"/>
        <v>5.1298230511995343E-4</v>
      </c>
      <c r="T25" s="2">
        <f t="shared" si="27"/>
        <v>1789.5663633122401</v>
      </c>
      <c r="U25" s="2">
        <f t="shared" si="27"/>
        <v>5.1298230519930619E-4</v>
      </c>
      <c r="V25" s="2">
        <f t="shared" si="42"/>
        <v>62.185738776297043</v>
      </c>
      <c r="W25" s="2">
        <f t="shared" si="43"/>
        <v>1789.5673714512109</v>
      </c>
      <c r="Y25">
        <v>2027</v>
      </c>
      <c r="Z25" s="16">
        <f>$Z$17*(1+parameters!$B$5)^('stock release'!Y25-'stock release'!$A$17)</f>
        <v>193.30452094763345</v>
      </c>
      <c r="AA25" s="2">
        <f t="shared" si="28"/>
        <v>5.5411044780993585E-5</v>
      </c>
      <c r="AB25" s="2">
        <f t="shared" si="29"/>
        <v>193.30441012554388</v>
      </c>
      <c r="AC25" s="2">
        <f t="shared" si="30"/>
        <v>5.5411044789565064E-5</v>
      </c>
      <c r="AD25" s="2">
        <f t="shared" si="44"/>
        <v>4.7147443803937747</v>
      </c>
      <c r="AE25" s="2">
        <f t="shared" si="45"/>
        <v>193.30451959614459</v>
      </c>
      <c r="AG25">
        <v>2027</v>
      </c>
      <c r="AH25" s="16">
        <f>$AH$17*(1+parameters!$B$6)^('stock release'!AG25-'stock release'!$A$17)</f>
        <v>1246.706138705269</v>
      </c>
      <c r="AI25" s="2">
        <f t="shared" si="31"/>
        <v>3.5737027433130499E-4</v>
      </c>
      <c r="AJ25" s="2">
        <f t="shared" si="32"/>
        <v>1246.7054239647202</v>
      </c>
      <c r="AK25" s="2">
        <f t="shared" si="33"/>
        <v>3.5737027438658629E-4</v>
      </c>
      <c r="AL25" s="2">
        <f t="shared" si="46"/>
        <v>29.21967492959508</v>
      </c>
      <c r="AM25" s="2">
        <f t="shared" si="47"/>
        <v>1246.7061303294033</v>
      </c>
      <c r="AO25">
        <v>2027</v>
      </c>
      <c r="AP25" s="16">
        <f>$AP$17*(1+parameters!$B$7)^('stock release'!AO25-'stock release'!$A$17)</f>
        <v>684.24635472350155</v>
      </c>
      <c r="AQ25" s="2">
        <f t="shared" si="34"/>
        <v>1.9614029313409981E-4</v>
      </c>
      <c r="AR25" s="2">
        <f t="shared" si="35"/>
        <v>684.24596244291524</v>
      </c>
      <c r="AS25" s="2">
        <f t="shared" si="36"/>
        <v>1.9614029316444059E-4</v>
      </c>
      <c r="AT25" s="2">
        <f t="shared" si="48"/>
        <v>23.776900120348742</v>
      </c>
      <c r="AU25" s="2">
        <f t="shared" si="49"/>
        <v>684.24634790781556</v>
      </c>
    </row>
    <row r="26" spans="1:47" x14ac:dyDescent="0.2">
      <c r="A26">
        <v>2028</v>
      </c>
      <c r="B26" s="16">
        <f>hist!$AD$2*(1+parameters!$B$2)^('stock release'!A26-'stock release'!A$17)*tc!$D$3</f>
        <v>208.04399066989043</v>
      </c>
      <c r="C26" s="15">
        <f t="shared" si="39"/>
        <v>5.9636136945544324E-5</v>
      </c>
      <c r="D26" s="15">
        <f t="shared" si="37"/>
        <v>208.04387139761653</v>
      </c>
      <c r="E26" s="2">
        <f t="shared" si="38"/>
        <v>5.963613695476938E-5</v>
      </c>
      <c r="F26" s="25">
        <f t="shared" si="24"/>
        <v>5.0742436393987322</v>
      </c>
      <c r="G26" s="25">
        <f t="shared" si="40"/>
        <v>208.04398921535073</v>
      </c>
      <c r="I26">
        <v>2028</v>
      </c>
      <c r="J26" s="16">
        <f>$J$17*(1+parameters!$B$3)^('stock release'!I26-'stock release'!I$17)</f>
        <v>834.71771009928182</v>
      </c>
      <c r="K26" s="15">
        <f t="shared" si="25"/>
        <v>2.3927314367535994E-4</v>
      </c>
      <c r="L26" s="15">
        <f t="shared" si="12"/>
        <v>834.71723155299435</v>
      </c>
      <c r="M26" s="2">
        <f t="shared" si="13"/>
        <v>2.3927314371237286E-4</v>
      </c>
      <c r="N26" s="25">
        <f t="shared" si="26"/>
        <v>19.563696199015279</v>
      </c>
      <c r="O26" s="25">
        <f t="shared" si="41"/>
        <v>834.71770449131816</v>
      </c>
      <c r="Q26">
        <v>2028</v>
      </c>
      <c r="R26" s="16">
        <f>$R$17*(1+parameters!$B$4)^('stock release'!Q26-'stock release'!Q$17)</f>
        <v>1853.9918152908172</v>
      </c>
      <c r="S26" s="2">
        <f t="shared" si="27"/>
        <v>5.314496681042718E-4</v>
      </c>
      <c r="T26" s="2">
        <f t="shared" si="27"/>
        <v>1853.9907523914808</v>
      </c>
      <c r="U26" s="2">
        <f t="shared" si="27"/>
        <v>5.3144966818648122E-4</v>
      </c>
      <c r="V26" s="2">
        <f t="shared" si="42"/>
        <v>64.42442537224359</v>
      </c>
      <c r="W26" s="2">
        <f t="shared" si="43"/>
        <v>1853.9917968234545</v>
      </c>
      <c r="Y26">
        <v>2028</v>
      </c>
      <c r="Z26" s="16">
        <f>$Z$17*(1+parameters!$B$5)^('stock release'!Y26-'stock release'!$A$17)</f>
        <v>198.13713397132426</v>
      </c>
      <c r="AA26" s="2">
        <f t="shared" si="28"/>
        <v>5.6796320900518414E-5</v>
      </c>
      <c r="AB26" s="2">
        <f t="shared" si="29"/>
        <v>198.13702037868245</v>
      </c>
      <c r="AC26" s="2">
        <f t="shared" si="30"/>
        <v>5.6796320909304185E-5</v>
      </c>
      <c r="AD26" s="2">
        <f t="shared" si="44"/>
        <v>4.8326129899035815</v>
      </c>
      <c r="AE26" s="2">
        <f t="shared" si="45"/>
        <v>198.13713258604818</v>
      </c>
      <c r="AG26">
        <v>2028</v>
      </c>
      <c r="AH26" s="16">
        <f>$AH$17*(1+parameters!$B$6)^('stock release'!AG26-'stock release'!$A$17)</f>
        <v>1276.6270860341956</v>
      </c>
      <c r="AI26" s="2">
        <f t="shared" si="31"/>
        <v>3.6594716091525636E-4</v>
      </c>
      <c r="AJ26" s="2">
        <f t="shared" si="32"/>
        <v>1276.6263541398737</v>
      </c>
      <c r="AK26" s="2">
        <f t="shared" si="33"/>
        <v>3.6594716097186435E-4</v>
      </c>
      <c r="AL26" s="2">
        <f t="shared" si="46"/>
        <v>29.920947127905936</v>
      </c>
      <c r="AM26" s="2">
        <f t="shared" si="47"/>
        <v>1276.6270774573093</v>
      </c>
      <c r="AO26">
        <v>2028</v>
      </c>
      <c r="AP26" s="16">
        <f>$AP$17*(1+parameters!$B$7)^('stock release'!AO26-'stock release'!$A$17)</f>
        <v>708.87922349354767</v>
      </c>
      <c r="AQ26" s="2">
        <f t="shared" si="34"/>
        <v>2.0320134368692744E-4</v>
      </c>
      <c r="AR26" s="2">
        <f t="shared" si="35"/>
        <v>708.87881709086025</v>
      </c>
      <c r="AS26" s="2">
        <f t="shared" si="36"/>
        <v>2.0320134371836046E-4</v>
      </c>
      <c r="AT26" s="2">
        <f t="shared" si="48"/>
        <v>24.632868524681474</v>
      </c>
      <c r="AU26" s="2">
        <f t="shared" si="49"/>
        <v>708.87921643249706</v>
      </c>
    </row>
    <row r="27" spans="1:47" x14ac:dyDescent="0.2">
      <c r="A27">
        <v>2029</v>
      </c>
      <c r="B27" s="16">
        <f>hist!$AD$2*(1+parameters!$B$2)^('stock release'!A27-'stock release'!A$17)*tc!$D$3</f>
        <v>213.24509043663772</v>
      </c>
      <c r="C27" s="15">
        <f t="shared" si="39"/>
        <v>6.1127040369182944E-5</v>
      </c>
      <c r="D27" s="15">
        <f t="shared" si="37"/>
        <v>213.24496818255696</v>
      </c>
      <c r="E27" s="2">
        <f t="shared" si="38"/>
        <v>6.1127040378638624E-5</v>
      </c>
      <c r="F27" s="25">
        <f t="shared" si="24"/>
        <v>5.2010997303837998</v>
      </c>
      <c r="G27" s="25">
        <f t="shared" si="40"/>
        <v>213.24508894573452</v>
      </c>
      <c r="I27">
        <v>2029</v>
      </c>
      <c r="J27" s="16">
        <f>$J$17*(1+parameters!$B$3)^('stock release'!I27-'stock release'!I$17)</f>
        <v>854.75093514166463</v>
      </c>
      <c r="K27" s="15">
        <f t="shared" si="25"/>
        <v>2.4501569912356862E-4</v>
      </c>
      <c r="L27" s="15">
        <f t="shared" si="12"/>
        <v>854.75044511026636</v>
      </c>
      <c r="M27" s="2">
        <f t="shared" si="13"/>
        <v>2.4501569916146983E-4</v>
      </c>
      <c r="N27" s="25">
        <f t="shared" si="26"/>
        <v>20.033224907791791</v>
      </c>
      <c r="O27" s="25">
        <f>O26+N27</f>
        <v>854.75092939910996</v>
      </c>
      <c r="Q27">
        <v>2029</v>
      </c>
      <c r="R27" s="16">
        <f>$R$17*(1+parameters!$B$4)^('stock release'!Q27-'stock release'!Q$17)</f>
        <v>1920.7355206412865</v>
      </c>
      <c r="S27" s="2">
        <f t="shared" si="27"/>
        <v>5.505818561560256E-4</v>
      </c>
      <c r="T27" s="2">
        <f t="shared" si="27"/>
        <v>1920.734419477574</v>
      </c>
      <c r="U27" s="2">
        <f t="shared" si="27"/>
        <v>5.5058185624119456E-4</v>
      </c>
      <c r="V27" s="2">
        <f>R27-S27-T26-U25</f>
        <v>66.743704685644246</v>
      </c>
      <c r="W27" s="2">
        <f>W26+V27</f>
        <v>1920.7355015090986</v>
      </c>
      <c r="Y27">
        <v>2029</v>
      </c>
      <c r="Z27" s="16">
        <f>$Z$17*(1+parameters!$B$5)^('stock release'!Y27-'stock release'!$A$17)</f>
        <v>203.09056232060738</v>
      </c>
      <c r="AA27" s="2">
        <f t="shared" si="28"/>
        <v>5.8216228923031376E-5</v>
      </c>
      <c r="AB27" s="2">
        <f t="shared" si="29"/>
        <v>203.0904458881495</v>
      </c>
      <c r="AC27" s="2">
        <f t="shared" si="30"/>
        <v>5.8216228932036793E-5</v>
      </c>
      <c r="AD27" s="2">
        <f>Z27-AA27-AB26-AC25</f>
        <v>4.9534283146512132</v>
      </c>
      <c r="AE27" s="2">
        <f>AE26+AD27</f>
        <v>203.09056090069939</v>
      </c>
      <c r="AG27">
        <v>2029</v>
      </c>
      <c r="AH27" s="16">
        <f>$AH$17*(1+parameters!$B$6)^('stock release'!AG27-'stock release'!$A$17)</f>
        <v>1307.2661360990162</v>
      </c>
      <c r="AI27" s="2">
        <f t="shared" si="31"/>
        <v>3.7472989277722245E-4</v>
      </c>
      <c r="AJ27" s="2">
        <f t="shared" si="32"/>
        <v>1307.2653866392304</v>
      </c>
      <c r="AK27" s="2">
        <f t="shared" si="33"/>
        <v>3.7472989283518911E-4</v>
      </c>
      <c r="AL27" s="2">
        <f>AH27-AI27-AJ26-AK25</f>
        <v>30.639049858975241</v>
      </c>
      <c r="AM27" s="2">
        <f>AM26+AL27</f>
        <v>1307.2661273162846</v>
      </c>
      <c r="AO27">
        <v>2029</v>
      </c>
      <c r="AP27" s="16">
        <f>$AP$17*(1+parameters!$B$7)^('stock release'!AO27-'stock release'!$A$17)</f>
        <v>734.39887553931533</v>
      </c>
      <c r="AQ27" s="2">
        <f t="shared" si="34"/>
        <v>2.1051659205965681E-4</v>
      </c>
      <c r="AR27" s="2">
        <f t="shared" si="35"/>
        <v>734.39845450613109</v>
      </c>
      <c r="AS27" s="2">
        <f t="shared" si="36"/>
        <v>2.1051659209222142E-4</v>
      </c>
      <c r="AT27" s="2">
        <f>AP27-AQ27-AR26-AS25</f>
        <v>25.519651791569906</v>
      </c>
      <c r="AU27" s="2">
        <f>AU26+AT27</f>
        <v>734.39886822406697</v>
      </c>
    </row>
    <row r="28" spans="1:47" x14ac:dyDescent="0.2">
      <c r="A28">
        <v>2030</v>
      </c>
      <c r="B28" s="16">
        <f>hist!$AD$2*(1+parameters!$B$2)^('stock release'!A28-'stock release'!A$17)*tc!$D$3</f>
        <v>218.57621769755363</v>
      </c>
      <c r="C28" s="15">
        <f t="shared" si="39"/>
        <v>6.2655216378412504E-5</v>
      </c>
      <c r="D28" s="15">
        <f t="shared" si="37"/>
        <v>218.57609238712087</v>
      </c>
      <c r="E28" s="2">
        <f t="shared" si="38"/>
        <v>6.2655216388104581E-5</v>
      </c>
      <c r="F28" s="25">
        <f t="shared" si="24"/>
        <v>5.3311272236433478</v>
      </c>
      <c r="G28" s="25">
        <f t="shared" si="40"/>
        <v>218.57621616937786</v>
      </c>
      <c r="I28">
        <v>2030</v>
      </c>
      <c r="J28" s="16">
        <f>$J$17*(1+parameters!$B$3)^('stock release'!I28-'stock release'!I$17)</f>
        <v>875.26495758506474</v>
      </c>
      <c r="K28" s="15">
        <f t="shared" si="11"/>
        <v>2.5089607590253428E-4</v>
      </c>
      <c r="L28" s="15">
        <f t="shared" si="12"/>
        <v>875.26445579291283</v>
      </c>
      <c r="M28" s="2">
        <f t="shared" si="13"/>
        <v>2.5089607594134514E-4</v>
      </c>
      <c r="N28" s="25">
        <f t="shared" si="26"/>
        <v>20.514022305578713</v>
      </c>
      <c r="O28" s="25">
        <f>O27+N28</f>
        <v>875.26495170468866</v>
      </c>
      <c r="Q28">
        <v>2030</v>
      </c>
      <c r="R28" s="16">
        <f>$R$17*(1+parameters!$B$4)^('stock release'!Q28-'stock release'!Q$17)</f>
        <v>1989.8819993843731</v>
      </c>
      <c r="S28" s="2">
        <f t="shared" si="27"/>
        <v>5.7040280297764251E-4</v>
      </c>
      <c r="T28" s="2">
        <f t="shared" si="27"/>
        <v>1989.8808585787669</v>
      </c>
      <c r="U28" s="2">
        <f t="shared" si="27"/>
        <v>5.704028030658776E-4</v>
      </c>
      <c r="V28" s="2">
        <f>R28-S28-T27-U26</f>
        <v>69.146478054327872</v>
      </c>
      <c r="W28" s="2">
        <f>W27+V28</f>
        <v>1989.8819795634265</v>
      </c>
      <c r="Y28">
        <v>2030</v>
      </c>
      <c r="Z28" s="16">
        <f>$Z$17*(1+parameters!$B$5)^('stock release'!Y28-'stock release'!$A$17)</f>
        <v>208.16782637862255</v>
      </c>
      <c r="AA28" s="2">
        <f t="shared" si="28"/>
        <v>5.9671634646107157E-5</v>
      </c>
      <c r="AB28" s="2">
        <f t="shared" si="29"/>
        <v>208.16770703535323</v>
      </c>
      <c r="AC28" s="2">
        <f t="shared" si="30"/>
        <v>5.9671634655337708E-5</v>
      </c>
      <c r="AD28" s="2">
        <f>Z28-AA28-AB27-AC26</f>
        <v>5.0772640225174781</v>
      </c>
      <c r="AE28" s="2">
        <f>AE27+AD28</f>
        <v>208.16782492321687</v>
      </c>
      <c r="AG28">
        <v>2030</v>
      </c>
      <c r="AH28" s="16">
        <f>$AH$17*(1+parameters!$B$6)^('stock release'!AG28-'stock release'!$A$17)</f>
        <v>1338.6405233653929</v>
      </c>
      <c r="AI28" s="2">
        <f t="shared" si="31"/>
        <v>3.837234102038759E-4</v>
      </c>
      <c r="AJ28" s="2">
        <f t="shared" si="32"/>
        <v>1338.6397559185725</v>
      </c>
      <c r="AK28" s="2">
        <f t="shared" si="33"/>
        <v>3.8372341026323374E-4</v>
      </c>
      <c r="AL28" s="2">
        <f>AH28-AI28-AJ27-AK26</f>
        <v>31.374387055591441</v>
      </c>
      <c r="AM28" s="2">
        <f>AM27+AL28</f>
        <v>1338.640514371876</v>
      </c>
      <c r="AO28">
        <v>2030</v>
      </c>
      <c r="AP28" s="16">
        <f>$AP$17*(1+parameters!$B$7)^('stock release'!AO28-'stock release'!$A$17)</f>
        <v>760.8372350587307</v>
      </c>
      <c r="AQ28" s="2">
        <f t="shared" si="34"/>
        <v>2.1809518937380444E-4</v>
      </c>
      <c r="AR28" s="2">
        <f t="shared" si="35"/>
        <v>760.83679886835193</v>
      </c>
      <c r="AS28" s="2">
        <f t="shared" si="36"/>
        <v>2.180951894075414E-4</v>
      </c>
      <c r="AT28" s="2">
        <f>AP28-AQ28-AR27-AS26</f>
        <v>26.438359256066565</v>
      </c>
      <c r="AU28" s="2">
        <f>AU27+AT28</f>
        <v>760.83722748013349</v>
      </c>
    </row>
    <row r="29" spans="1:47" x14ac:dyDescent="0.2">
      <c r="B29" s="16"/>
      <c r="C29" s="2"/>
      <c r="D29" s="2"/>
      <c r="E29" s="2"/>
      <c r="F29" s="2"/>
      <c r="G29" s="2"/>
      <c r="H29" s="2"/>
    </row>
    <row r="30" spans="1:47" x14ac:dyDescent="0.2">
      <c r="A30" t="s">
        <v>61</v>
      </c>
      <c r="B30" s="16" t="s">
        <v>13</v>
      </c>
      <c r="C30" s="2"/>
      <c r="D30" s="2"/>
      <c r="E30" s="2"/>
      <c r="F30" s="2"/>
      <c r="G30" s="2"/>
      <c r="H30" s="2"/>
    </row>
    <row r="31" spans="1:47" x14ac:dyDescent="0.2">
      <c r="A31" t="s">
        <v>76</v>
      </c>
      <c r="B31" t="s">
        <v>7</v>
      </c>
      <c r="C31" s="41" t="s">
        <v>62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t="s">
        <v>78</v>
      </c>
      <c r="O31" t="s">
        <v>0</v>
      </c>
    </row>
    <row r="32" spans="1:47" x14ac:dyDescent="0.2">
      <c r="A32">
        <v>2009</v>
      </c>
      <c r="B32" s="16">
        <f>hist!T$8</f>
        <v>1951.1742583794746</v>
      </c>
      <c r="C32">
        <f t="shared" ref="C32:M32" si="50">$B32*S$8</f>
        <v>0.83717147742538878</v>
      </c>
      <c r="D32">
        <f t="shared" si="50"/>
        <v>6.6365684858526643</v>
      </c>
      <c r="E32">
        <f t="shared" si="50"/>
        <v>36.915731868745667</v>
      </c>
      <c r="F32">
        <f t="shared" si="50"/>
        <v>133.57951217248382</v>
      </c>
      <c r="G32">
        <f t="shared" si="50"/>
        <v>314.68795568996143</v>
      </c>
      <c r="H32">
        <f t="shared" si="50"/>
        <v>482.93018949526834</v>
      </c>
      <c r="I32">
        <f t="shared" si="50"/>
        <v>482.93018949526834</v>
      </c>
      <c r="J32">
        <f t="shared" si="50"/>
        <v>314.68795568996143</v>
      </c>
      <c r="K32">
        <f t="shared" si="50"/>
        <v>133.57951217248379</v>
      </c>
      <c r="L32">
        <f t="shared" si="50"/>
        <v>36.915731868745631</v>
      </c>
      <c r="M32">
        <f t="shared" si="50"/>
        <v>6.6365684858528438</v>
      </c>
      <c r="N32" s="19"/>
      <c r="O32" s="19"/>
      <c r="AK32" t="s">
        <v>79</v>
      </c>
    </row>
    <row r="33" spans="1:16" x14ac:dyDescent="0.2">
      <c r="A33">
        <v>2010</v>
      </c>
      <c r="B33" s="16">
        <f>hist!U$8</f>
        <v>2044.8306227816895</v>
      </c>
      <c r="C33">
        <f t="shared" ref="C33:C53" si="51">$B33*S$8</f>
        <v>0.87735570834180743</v>
      </c>
      <c r="D33">
        <f t="shared" ref="D33:D53" si="52">$B33*T$8</f>
        <v>6.9551237731735931</v>
      </c>
      <c r="E33">
        <f t="shared" ref="E33:E53" si="53">$B33*U$8</f>
        <v>38.687686998445464</v>
      </c>
      <c r="F33">
        <f t="shared" ref="F33:F53" si="54">$B33*V$8</f>
        <v>139.99132875676307</v>
      </c>
      <c r="G33">
        <f t="shared" ref="G33:G53" si="55">$B33*W$8</f>
        <v>329.79297756307955</v>
      </c>
      <c r="H33">
        <f t="shared" ref="H33:H53" si="56">$B33*X$8</f>
        <v>506.11083859104127</v>
      </c>
      <c r="I33">
        <f t="shared" ref="I33:I53" si="57">$B33*Y$8</f>
        <v>506.11083859104127</v>
      </c>
      <c r="J33">
        <f t="shared" ref="J33:J53" si="58">$B33*Z$8</f>
        <v>329.79297756307955</v>
      </c>
      <c r="K33">
        <f t="shared" ref="K33:K53" si="59">$B33*AA$8</f>
        <v>139.99132875676304</v>
      </c>
      <c r="L33">
        <f t="shared" ref="L33:L53" si="60">$B33*AB$8</f>
        <v>38.687686998445422</v>
      </c>
      <c r="M33">
        <f t="shared" ref="M33:M53" si="61">$B33*AC$8</f>
        <v>6.9551237731737805</v>
      </c>
      <c r="N33" s="19"/>
      <c r="O33" s="18"/>
    </row>
    <row r="34" spans="1:16" x14ac:dyDescent="0.2">
      <c r="A34">
        <v>2011</v>
      </c>
      <c r="B34" s="16">
        <f>hist!V$8</f>
        <v>2142.9824926752108</v>
      </c>
      <c r="C34">
        <f t="shared" si="51"/>
        <v>0.9194687823422143</v>
      </c>
      <c r="D34">
        <f t="shared" si="52"/>
        <v>7.2889697142859262</v>
      </c>
      <c r="E34">
        <f t="shared" si="53"/>
        <v>40.544695974370846</v>
      </c>
      <c r="F34">
        <f t="shared" si="54"/>
        <v>146.71091253708769</v>
      </c>
      <c r="G34">
        <f t="shared" si="55"/>
        <v>345.62304048610741</v>
      </c>
      <c r="H34">
        <f t="shared" si="56"/>
        <v>530.40415884341132</v>
      </c>
      <c r="I34">
        <f t="shared" si="57"/>
        <v>530.40415884341132</v>
      </c>
      <c r="J34">
        <f t="shared" si="58"/>
        <v>345.62304048610741</v>
      </c>
      <c r="K34">
        <f t="shared" si="59"/>
        <v>146.71091253708767</v>
      </c>
      <c r="L34">
        <f t="shared" si="60"/>
        <v>40.544695974370804</v>
      </c>
      <c r="M34">
        <f t="shared" si="61"/>
        <v>7.2889697142861225</v>
      </c>
      <c r="N34" s="19"/>
      <c r="O34" s="19"/>
    </row>
    <row r="35" spans="1:16" x14ac:dyDescent="0.2">
      <c r="A35">
        <v>2012</v>
      </c>
      <c r="B35" s="16">
        <f>hist!W$8</f>
        <v>2245.8456523236209</v>
      </c>
      <c r="C35">
        <f t="shared" si="51"/>
        <v>0.96360328389464056</v>
      </c>
      <c r="D35">
        <f t="shared" si="52"/>
        <v>7.6388402605716506</v>
      </c>
      <c r="E35">
        <f t="shared" si="53"/>
        <v>42.490841381140648</v>
      </c>
      <c r="F35">
        <f t="shared" si="54"/>
        <v>153.7530363388679</v>
      </c>
      <c r="G35">
        <f t="shared" si="55"/>
        <v>362.21294642944059</v>
      </c>
      <c r="H35">
        <f t="shared" si="56"/>
        <v>555.86355846789502</v>
      </c>
      <c r="I35">
        <f t="shared" si="57"/>
        <v>555.86355846789502</v>
      </c>
      <c r="J35">
        <f t="shared" si="58"/>
        <v>362.21294642944059</v>
      </c>
      <c r="K35">
        <f t="shared" si="59"/>
        <v>153.75303633886787</v>
      </c>
      <c r="L35">
        <f t="shared" si="60"/>
        <v>42.490841381140605</v>
      </c>
      <c r="M35">
        <f t="shared" si="61"/>
        <v>7.6388402605718566</v>
      </c>
      <c r="N35" s="19"/>
      <c r="O35" s="19"/>
    </row>
    <row r="36" spans="1:16" x14ac:dyDescent="0.2">
      <c r="A36">
        <v>2013</v>
      </c>
      <c r="B36" s="16">
        <f>hist!X$8</f>
        <v>2353.6462436351549</v>
      </c>
      <c r="C36">
        <f t="shared" si="51"/>
        <v>1.0098562415215835</v>
      </c>
      <c r="D36">
        <f t="shared" si="52"/>
        <v>8.00550459307909</v>
      </c>
      <c r="E36">
        <f t="shared" si="53"/>
        <v>44.530401767435407</v>
      </c>
      <c r="F36">
        <f t="shared" si="54"/>
        <v>161.13318208313359</v>
      </c>
      <c r="G36">
        <f t="shared" si="55"/>
        <v>379.59916785805376</v>
      </c>
      <c r="H36">
        <f t="shared" si="56"/>
        <v>582.54500927435402</v>
      </c>
      <c r="I36">
        <f t="shared" si="57"/>
        <v>582.54500927435402</v>
      </c>
      <c r="J36">
        <f t="shared" si="58"/>
        <v>379.59916785805376</v>
      </c>
      <c r="K36">
        <f t="shared" si="59"/>
        <v>161.13318208313353</v>
      </c>
      <c r="L36">
        <f t="shared" si="60"/>
        <v>44.530401767435357</v>
      </c>
      <c r="M36">
        <f t="shared" si="61"/>
        <v>8.0055045930793067</v>
      </c>
      <c r="N36" s="19"/>
      <c r="O36" s="19"/>
    </row>
    <row r="37" spans="1:16" x14ac:dyDescent="0.2">
      <c r="A37">
        <v>2014</v>
      </c>
      <c r="B37" s="16">
        <f>hist!Y$8</f>
        <v>2466.6212633296427</v>
      </c>
      <c r="C37">
        <f t="shared" si="51"/>
        <v>1.0583293411146195</v>
      </c>
      <c r="D37">
        <f t="shared" si="52"/>
        <v>8.3897688135468886</v>
      </c>
      <c r="E37">
        <f t="shared" si="53"/>
        <v>46.667861052272315</v>
      </c>
      <c r="F37">
        <f t="shared" si="54"/>
        <v>168.86757482312402</v>
      </c>
      <c r="G37">
        <f t="shared" si="55"/>
        <v>397.81992791524038</v>
      </c>
      <c r="H37">
        <f t="shared" si="56"/>
        <v>610.50716971952306</v>
      </c>
      <c r="I37">
        <f t="shared" si="57"/>
        <v>610.50716971952306</v>
      </c>
      <c r="J37">
        <f t="shared" si="58"/>
        <v>397.81992791524038</v>
      </c>
      <c r="K37">
        <f t="shared" si="59"/>
        <v>168.86757482312399</v>
      </c>
      <c r="L37">
        <f t="shared" si="60"/>
        <v>46.667861052272258</v>
      </c>
      <c r="M37">
        <f t="shared" si="61"/>
        <v>8.3897688135471142</v>
      </c>
      <c r="N37" s="19"/>
      <c r="O37" s="19"/>
    </row>
    <row r="38" spans="1:16" x14ac:dyDescent="0.2">
      <c r="A38">
        <v>2015</v>
      </c>
      <c r="B38" s="16">
        <f>hist!Z$8</f>
        <v>2585.0190839694656</v>
      </c>
      <c r="C38">
        <f t="shared" si="51"/>
        <v>1.1091291494881212</v>
      </c>
      <c r="D38">
        <f t="shared" si="52"/>
        <v>8.7924777165971388</v>
      </c>
      <c r="E38">
        <f t="shared" si="53"/>
        <v>48.907918382781382</v>
      </c>
      <c r="F38">
        <f t="shared" si="54"/>
        <v>176.97321841463398</v>
      </c>
      <c r="G38">
        <f t="shared" si="55"/>
        <v>416.91528445517196</v>
      </c>
      <c r="H38">
        <f t="shared" si="56"/>
        <v>639.81151386606018</v>
      </c>
      <c r="I38">
        <f t="shared" si="57"/>
        <v>639.81151386606018</v>
      </c>
      <c r="J38">
        <f t="shared" si="58"/>
        <v>416.91528445517196</v>
      </c>
      <c r="K38">
        <f t="shared" si="59"/>
        <v>176.97321841463392</v>
      </c>
      <c r="L38">
        <f t="shared" si="60"/>
        <v>48.907918382781325</v>
      </c>
      <c r="M38">
        <f t="shared" si="61"/>
        <v>8.7924777165973769</v>
      </c>
      <c r="N38" s="19"/>
      <c r="O38" s="19"/>
    </row>
    <row r="39" spans="1:16" x14ac:dyDescent="0.2">
      <c r="A39">
        <v>2016</v>
      </c>
      <c r="B39" s="16">
        <f>hist!AA$8</f>
        <v>2585.0190839694656</v>
      </c>
      <c r="C39">
        <f t="shared" si="51"/>
        <v>1.1091291494881212</v>
      </c>
      <c r="D39">
        <f t="shared" si="52"/>
        <v>8.7924777165971388</v>
      </c>
      <c r="E39">
        <f t="shared" si="53"/>
        <v>48.907918382781382</v>
      </c>
      <c r="F39">
        <f t="shared" si="54"/>
        <v>176.97321841463398</v>
      </c>
      <c r="G39">
        <f t="shared" si="55"/>
        <v>416.91528445517196</v>
      </c>
      <c r="H39">
        <f t="shared" si="56"/>
        <v>639.81151386606018</v>
      </c>
      <c r="I39">
        <f t="shared" si="57"/>
        <v>639.81151386606018</v>
      </c>
      <c r="J39">
        <f t="shared" si="58"/>
        <v>416.91528445517196</v>
      </c>
      <c r="K39">
        <f t="shared" si="59"/>
        <v>176.97321841463392</v>
      </c>
      <c r="L39">
        <f t="shared" si="60"/>
        <v>48.907918382781325</v>
      </c>
      <c r="M39">
        <f t="shared" si="61"/>
        <v>8.7924777165973769</v>
      </c>
      <c r="N39" s="19"/>
      <c r="O39" s="19"/>
    </row>
    <row r="40" spans="1:16" x14ac:dyDescent="0.2">
      <c r="A40">
        <v>2017</v>
      </c>
      <c r="B40" s="16">
        <f>hist!AA$8</f>
        <v>2585.0190839694656</v>
      </c>
      <c r="C40">
        <f t="shared" si="51"/>
        <v>1.1091291494881212</v>
      </c>
      <c r="D40">
        <f t="shared" si="52"/>
        <v>8.7924777165971388</v>
      </c>
      <c r="E40">
        <f t="shared" si="53"/>
        <v>48.907918382781382</v>
      </c>
      <c r="F40">
        <f t="shared" si="54"/>
        <v>176.97321841463398</v>
      </c>
      <c r="G40">
        <f t="shared" si="55"/>
        <v>416.91528445517196</v>
      </c>
      <c r="H40">
        <f t="shared" si="56"/>
        <v>639.81151386606018</v>
      </c>
      <c r="I40">
        <f t="shared" si="57"/>
        <v>639.81151386606018</v>
      </c>
      <c r="J40">
        <f t="shared" si="58"/>
        <v>416.91528445517196</v>
      </c>
      <c r="K40">
        <f t="shared" si="59"/>
        <v>176.97321841463392</v>
      </c>
      <c r="L40">
        <f t="shared" si="60"/>
        <v>48.907918382781325</v>
      </c>
      <c r="M40">
        <f t="shared" si="61"/>
        <v>8.7924777165973769</v>
      </c>
      <c r="N40" s="19"/>
      <c r="O40" s="19"/>
      <c r="P40" s="2"/>
    </row>
    <row r="41" spans="1:16" x14ac:dyDescent="0.2">
      <c r="A41">
        <v>2018</v>
      </c>
      <c r="B41" s="16">
        <f>hist!AA$8</f>
        <v>2585.0190839694656</v>
      </c>
      <c r="C41">
        <f t="shared" si="51"/>
        <v>1.1091291494881212</v>
      </c>
      <c r="D41">
        <f t="shared" si="52"/>
        <v>8.7924777165971388</v>
      </c>
      <c r="E41">
        <f t="shared" si="53"/>
        <v>48.907918382781382</v>
      </c>
      <c r="F41">
        <f t="shared" si="54"/>
        <v>176.97321841463398</v>
      </c>
      <c r="G41">
        <f t="shared" si="55"/>
        <v>416.91528445517196</v>
      </c>
      <c r="H41">
        <f t="shared" si="56"/>
        <v>639.81151386606018</v>
      </c>
      <c r="I41">
        <f t="shared" si="57"/>
        <v>639.81151386606018</v>
      </c>
      <c r="J41">
        <f t="shared" si="58"/>
        <v>416.91528445517196</v>
      </c>
      <c r="K41">
        <f t="shared" si="59"/>
        <v>176.97321841463392</v>
      </c>
      <c r="L41">
        <f t="shared" si="60"/>
        <v>48.907918382781325</v>
      </c>
      <c r="M41">
        <f t="shared" si="61"/>
        <v>8.7924777165973769</v>
      </c>
      <c r="N41" s="19"/>
      <c r="O41" s="19"/>
      <c r="P41" s="2"/>
    </row>
    <row r="42" spans="1:16" x14ac:dyDescent="0.2">
      <c r="A42">
        <v>2019</v>
      </c>
      <c r="B42" s="16">
        <f>hist!AD8</f>
        <v>2585.0190839694656</v>
      </c>
      <c r="C42">
        <f t="shared" si="51"/>
        <v>1.1091291494881212</v>
      </c>
      <c r="D42">
        <f t="shared" si="52"/>
        <v>8.7924777165971388</v>
      </c>
      <c r="E42">
        <f t="shared" si="53"/>
        <v>48.907918382781382</v>
      </c>
      <c r="F42">
        <f t="shared" si="54"/>
        <v>176.97321841463398</v>
      </c>
      <c r="G42">
        <f t="shared" si="55"/>
        <v>416.91528445517196</v>
      </c>
      <c r="H42">
        <f t="shared" si="56"/>
        <v>639.81151386606018</v>
      </c>
      <c r="I42">
        <f t="shared" si="57"/>
        <v>639.81151386606018</v>
      </c>
      <c r="J42">
        <f t="shared" si="58"/>
        <v>416.91528445517196</v>
      </c>
      <c r="K42">
        <f t="shared" si="59"/>
        <v>176.97321841463392</v>
      </c>
      <c r="L42">
        <f t="shared" si="60"/>
        <v>48.907918382781325</v>
      </c>
      <c r="M42">
        <f t="shared" si="61"/>
        <v>8.7924777165973769</v>
      </c>
      <c r="N42" s="16">
        <f t="shared" ref="N42:N52" si="62">B42-C42-D41-E40-F39-G38-H37-I36-J35-K34-L33-M32</f>
        <v>185.02076240608923</v>
      </c>
      <c r="O42" s="16">
        <f>SUM($B$32:B42)-SUM(C$32:C42,D$32:D41,E$32:E40,F$32:F39,G$32:G38,H$32:H37,I$32:I36,J$32:J35,K$32:K34,L$32:L33,M32)</f>
        <v>14056.652237703169</v>
      </c>
      <c r="P42" s="2"/>
    </row>
    <row r="43" spans="1:16" x14ac:dyDescent="0.2">
      <c r="A43">
        <v>2020</v>
      </c>
      <c r="B43" s="16">
        <f>$B$42*(1+parameters!$B$8)^('stock release'!A43-'stock release'!$A$42)</f>
        <v>2709.1</v>
      </c>
      <c r="C43">
        <f t="shared" si="51"/>
        <v>1.1623673486635511</v>
      </c>
      <c r="D43">
        <f t="shared" si="52"/>
        <v>9.2145166469938005</v>
      </c>
      <c r="E43">
        <f t="shared" si="53"/>
        <v>51.255498465154886</v>
      </c>
      <c r="F43">
        <f t="shared" si="54"/>
        <v>185.46793289853639</v>
      </c>
      <c r="G43">
        <f t="shared" si="55"/>
        <v>436.9272181090202</v>
      </c>
      <c r="H43">
        <f t="shared" si="56"/>
        <v>670.52246653163115</v>
      </c>
      <c r="I43">
        <f t="shared" si="57"/>
        <v>670.52246653163115</v>
      </c>
      <c r="J43">
        <f t="shared" si="58"/>
        <v>436.9272181090202</v>
      </c>
      <c r="K43">
        <f t="shared" si="59"/>
        <v>185.46793289853636</v>
      </c>
      <c r="L43">
        <f t="shared" si="60"/>
        <v>51.25549846515483</v>
      </c>
      <c r="M43">
        <f t="shared" si="61"/>
        <v>9.2145166469940509</v>
      </c>
      <c r="N43" s="16">
        <f t="shared" si="62"/>
        <v>225.17802615210286</v>
      </c>
      <c r="O43" s="16">
        <f>SUM($B$32:B43)-SUM(C$32:C43,D$32:D42,E$32:E41,F$32:F40,G$32:G39,H$32:H38,I$32:I37,J$32:J36,K$32:K35,L$32:L34,M$32:M33)</f>
        <v>14281.830263855272</v>
      </c>
      <c r="P43" s="2"/>
    </row>
    <row r="44" spans="1:16" x14ac:dyDescent="0.2">
      <c r="A44">
        <v>2021</v>
      </c>
      <c r="B44" s="16">
        <f>$B$42*(1+parameters!$B$8)^('stock release'!A44-'stock release'!$A$42)</f>
        <v>2839.1368000000002</v>
      </c>
      <c r="C44">
        <f t="shared" si="51"/>
        <v>1.2181609813994017</v>
      </c>
      <c r="D44">
        <f t="shared" si="52"/>
        <v>9.6568134460495045</v>
      </c>
      <c r="E44">
        <f t="shared" si="53"/>
        <v>53.715762391482329</v>
      </c>
      <c r="F44">
        <f t="shared" si="54"/>
        <v>194.37039367766616</v>
      </c>
      <c r="G44">
        <f t="shared" si="55"/>
        <v>457.8997245782532</v>
      </c>
      <c r="H44">
        <f t="shared" si="56"/>
        <v>702.70754492514948</v>
      </c>
      <c r="I44">
        <f t="shared" si="57"/>
        <v>702.70754492514948</v>
      </c>
      <c r="J44">
        <f t="shared" si="58"/>
        <v>457.8997245782532</v>
      </c>
      <c r="K44">
        <f t="shared" si="59"/>
        <v>194.37039367766613</v>
      </c>
      <c r="L44">
        <f t="shared" si="60"/>
        <v>53.715762391482272</v>
      </c>
      <c r="M44">
        <f t="shared" si="61"/>
        <v>9.6568134460497657</v>
      </c>
      <c r="N44" s="16">
        <f t="shared" si="62"/>
        <v>297.5517522930993</v>
      </c>
      <c r="O44" s="16">
        <f>SUM($B$32:B44)-SUM(C$32:C44,D$32:D43,E$32:E42,F$32:F41,G$32:G40,H$32:H39,I$32:I38,J$32:J37,K$32:K36,L$32:L35,M$32:M34)</f>
        <v>14579.382016148375</v>
      </c>
      <c r="P44" s="2"/>
    </row>
    <row r="45" spans="1:16" x14ac:dyDescent="0.2">
      <c r="A45">
        <v>2022</v>
      </c>
      <c r="B45" s="16">
        <f>$B$42*(1+parameters!$B$8)^('stock release'!A45-'stock release'!$A$42)</f>
        <v>2975.4153664</v>
      </c>
      <c r="C45">
        <f t="shared" si="51"/>
        <v>1.276632708506573</v>
      </c>
      <c r="D45">
        <f t="shared" si="52"/>
        <v>10.12034049145988</v>
      </c>
      <c r="E45">
        <f t="shared" si="53"/>
        <v>56.294118986273475</v>
      </c>
      <c r="F45">
        <f t="shared" si="54"/>
        <v>203.70017257419414</v>
      </c>
      <c r="G45">
        <f t="shared" si="55"/>
        <v>479.8789113580093</v>
      </c>
      <c r="H45">
        <f t="shared" si="56"/>
        <v>736.43750708155665</v>
      </c>
      <c r="I45">
        <f t="shared" si="57"/>
        <v>736.43750708155665</v>
      </c>
      <c r="J45">
        <f t="shared" si="58"/>
        <v>479.8789113580093</v>
      </c>
      <c r="K45">
        <f t="shared" si="59"/>
        <v>203.70017257419408</v>
      </c>
      <c r="L45">
        <f t="shared" si="60"/>
        <v>56.294118986273418</v>
      </c>
      <c r="M45">
        <f t="shared" si="61"/>
        <v>10.120340491460153</v>
      </c>
      <c r="N45" s="16">
        <f t="shared" si="62"/>
        <v>401.76278987206018</v>
      </c>
      <c r="O45" s="16">
        <f>SUM($B$32:B45)-SUM(C$32:C45,D$32:D44,E$32:E43,F$32:F42,G$32:G41,H$32:H40,I$32:I39,J$32:J38,K$32:K37,L$32:L36,M$32:M35)</f>
        <v>14981.144806020431</v>
      </c>
      <c r="P45" s="2"/>
    </row>
    <row r="46" spans="1:16" x14ac:dyDescent="0.2">
      <c r="A46">
        <v>2023</v>
      </c>
      <c r="B46" s="16">
        <f>$B$42*(1+parameters!$B$8)^('stock release'!A46-'stock release'!$A$42)</f>
        <v>3118.235303987201</v>
      </c>
      <c r="C46">
        <f t="shared" si="51"/>
        <v>1.3379110785148889</v>
      </c>
      <c r="D46">
        <f t="shared" si="52"/>
        <v>10.606116835049958</v>
      </c>
      <c r="E46">
        <f t="shared" si="53"/>
        <v>58.99623669761462</v>
      </c>
      <c r="F46">
        <f t="shared" si="54"/>
        <v>213.4777808577555</v>
      </c>
      <c r="G46">
        <f t="shared" si="55"/>
        <v>502.91309910319393</v>
      </c>
      <c r="H46">
        <f t="shared" si="56"/>
        <v>771.78650742147158</v>
      </c>
      <c r="I46">
        <f t="shared" si="57"/>
        <v>771.78650742147158</v>
      </c>
      <c r="J46">
        <f t="shared" si="58"/>
        <v>502.91309910319393</v>
      </c>
      <c r="K46">
        <f t="shared" si="59"/>
        <v>213.47778085775548</v>
      </c>
      <c r="L46">
        <f t="shared" si="60"/>
        <v>58.996236697614556</v>
      </c>
      <c r="M46">
        <f t="shared" si="61"/>
        <v>10.606116835050244</v>
      </c>
      <c r="N46" s="16">
        <f t="shared" si="62"/>
        <v>522.49317642475819</v>
      </c>
      <c r="O46" s="16">
        <f>SUM($B$32:B46)-SUM(C$32:C46,D$32:D45,E$32:E44,F$32:F43,G$32:G42,H$32:H41,I$32:I40,J$32:J39,K$32:K38,L$32:L37,M$32:M36)</f>
        <v>15503.637982445187</v>
      </c>
      <c r="P46" s="2"/>
    </row>
    <row r="47" spans="1:16" x14ac:dyDescent="0.2">
      <c r="A47">
        <v>2024</v>
      </c>
      <c r="B47" s="16">
        <f>$B$42*(1+parameters!$B$8)^('stock release'!A47-'stock release'!$A$42)</f>
        <v>3267.9105985785868</v>
      </c>
      <c r="C47">
        <f t="shared" si="51"/>
        <v>1.4021308102836036</v>
      </c>
      <c r="D47">
        <f t="shared" si="52"/>
        <v>11.115210443132357</v>
      </c>
      <c r="E47">
        <f t="shared" si="53"/>
        <v>61.828056059100128</v>
      </c>
      <c r="F47">
        <f t="shared" si="54"/>
        <v>223.72471433892778</v>
      </c>
      <c r="G47">
        <f t="shared" si="55"/>
        <v>527.05292786014729</v>
      </c>
      <c r="H47">
        <f t="shared" si="56"/>
        <v>808.83225977770223</v>
      </c>
      <c r="I47">
        <f t="shared" si="57"/>
        <v>808.83225977770223</v>
      </c>
      <c r="J47">
        <f t="shared" si="58"/>
        <v>527.05292786014729</v>
      </c>
      <c r="K47">
        <f t="shared" si="59"/>
        <v>223.72471433892775</v>
      </c>
      <c r="L47">
        <f t="shared" si="60"/>
        <v>61.828056059100057</v>
      </c>
      <c r="M47">
        <f t="shared" si="61"/>
        <v>11.115210443132657</v>
      </c>
      <c r="N47" s="16">
        <f t="shared" si="62"/>
        <v>637.50140236203913</v>
      </c>
      <c r="O47" s="16">
        <f>SUM($B$32:B47)-SUM(C$32:C47,D$32:D46,E$32:E45,F$32:F44,G$32:G43,H$32:H42,I$32:I41,J$32:J40,K$32:K39,L$32:L38,M$32:M37)</f>
        <v>16141.139384807222</v>
      </c>
      <c r="P47" s="2"/>
    </row>
    <row r="48" spans="1:16" x14ac:dyDescent="0.2">
      <c r="A48">
        <v>2025</v>
      </c>
      <c r="B48" s="16">
        <f>$B$42*(1+parameters!$B$8)^('stock release'!A48-'stock release'!$A$42)</f>
        <v>3424.7703073103594</v>
      </c>
      <c r="C48">
        <f t="shared" si="51"/>
        <v>1.4694330891772167</v>
      </c>
      <c r="D48">
        <f t="shared" si="52"/>
        <v>11.648740544402711</v>
      </c>
      <c r="E48">
        <f t="shared" si="53"/>
        <v>64.795802749936939</v>
      </c>
      <c r="F48">
        <f t="shared" si="54"/>
        <v>234.46350062719637</v>
      </c>
      <c r="G48">
        <f t="shared" si="55"/>
        <v>552.35146839743436</v>
      </c>
      <c r="H48">
        <f t="shared" si="56"/>
        <v>847.65620824703205</v>
      </c>
      <c r="I48">
        <f t="shared" si="57"/>
        <v>847.65620824703205</v>
      </c>
      <c r="J48">
        <f t="shared" si="58"/>
        <v>552.35146839743436</v>
      </c>
      <c r="K48">
        <f t="shared" si="59"/>
        <v>234.46350062719631</v>
      </c>
      <c r="L48">
        <f t="shared" si="60"/>
        <v>64.795802749936868</v>
      </c>
      <c r="M48">
        <f t="shared" si="61"/>
        <v>11.648740544403026</v>
      </c>
      <c r="N48" s="16">
        <f t="shared" si="62"/>
        <v>729.66665056111117</v>
      </c>
      <c r="O48" s="16">
        <f>SUM($B$32:B48)-SUM(C$32:C48,D$32:D47,E$32:E46,F$32:F45,G$32:G44,H$32:H43,I$32:I42,J$32:J41,K$32:K40,L$32:L39,M$32:M38)</f>
        <v>16870.806035368336</v>
      </c>
      <c r="P48" s="2"/>
    </row>
    <row r="49" spans="1:16" x14ac:dyDescent="0.2">
      <c r="A49">
        <v>2026</v>
      </c>
      <c r="B49" s="16">
        <f>$B$42*(1+parameters!$B$8)^('stock release'!A49-'stock release'!$A$42)</f>
        <v>3589.1592820612564</v>
      </c>
      <c r="C49">
        <f t="shared" si="51"/>
        <v>1.539965877457723</v>
      </c>
      <c r="D49">
        <f t="shared" si="52"/>
        <v>12.20788009053404</v>
      </c>
      <c r="E49">
        <f t="shared" si="53"/>
        <v>67.906001281933911</v>
      </c>
      <c r="F49">
        <f t="shared" si="54"/>
        <v>245.71774865730177</v>
      </c>
      <c r="G49">
        <f t="shared" si="55"/>
        <v>578.86433888051124</v>
      </c>
      <c r="H49">
        <f t="shared" si="56"/>
        <v>888.34370624288954</v>
      </c>
      <c r="I49">
        <f t="shared" si="57"/>
        <v>888.34370624288954</v>
      </c>
      <c r="J49">
        <f t="shared" si="58"/>
        <v>578.86433888051124</v>
      </c>
      <c r="K49">
        <f t="shared" si="59"/>
        <v>245.71774865730171</v>
      </c>
      <c r="L49">
        <f t="shared" si="60"/>
        <v>67.90600128193384</v>
      </c>
      <c r="M49">
        <f t="shared" si="61"/>
        <v>12.207880090534371</v>
      </c>
      <c r="N49" s="16">
        <f t="shared" si="62"/>
        <v>795.96691693856599</v>
      </c>
      <c r="O49" s="16">
        <f>SUM($B$32:B49)-SUM(C$32:C49,D$32:D48,E$32:E47,F$32:F46,G$32:G45,H$32:H44,I$32:I43,J$32:J42,K$32:K41,L$32:L40,M$32:M39)</f>
        <v>17666.772952306903</v>
      </c>
      <c r="P49" s="2"/>
    </row>
    <row r="50" spans="1:16" x14ac:dyDescent="0.2">
      <c r="A50">
        <v>2027</v>
      </c>
      <c r="B50" s="16">
        <f>$B$42*(1+parameters!$B$8)^('stock release'!A50-'stock release'!$A$42)</f>
        <v>3761.4389276001975</v>
      </c>
      <c r="C50">
        <f t="shared" si="51"/>
        <v>1.613884239575694</v>
      </c>
      <c r="D50">
        <f t="shared" si="52"/>
        <v>12.793858334879676</v>
      </c>
      <c r="E50">
        <f t="shared" si="53"/>
        <v>71.16548934346676</v>
      </c>
      <c r="F50">
        <f t="shared" si="54"/>
        <v>257.51220059285231</v>
      </c>
      <c r="G50">
        <f t="shared" si="55"/>
        <v>606.64982714677592</v>
      </c>
      <c r="H50">
        <f t="shared" si="56"/>
        <v>930.98420414254838</v>
      </c>
      <c r="I50">
        <f t="shared" si="57"/>
        <v>930.98420414254838</v>
      </c>
      <c r="J50">
        <f t="shared" si="58"/>
        <v>606.64982714677592</v>
      </c>
      <c r="K50">
        <f t="shared" si="59"/>
        <v>257.51220059285225</v>
      </c>
      <c r="L50">
        <f t="shared" si="60"/>
        <v>71.165489343466675</v>
      </c>
      <c r="M50">
        <f t="shared" si="61"/>
        <v>12.793858334880023</v>
      </c>
      <c r="N50" s="16">
        <f t="shared" si="62"/>
        <v>845.43766244828964</v>
      </c>
      <c r="O50" s="16">
        <f>SUM($B$32:B50)-SUM(C$32:C50,D$32:D49,E$32:E48,F$32:F47,G$32:G46,H$32:H45,I$32:I44,J$32:J43,K$32:K42,L$32:L41,M$32:M40)</f>
        <v>18512.210614755197</v>
      </c>
      <c r="P50" s="2"/>
    </row>
    <row r="51" spans="1:16" x14ac:dyDescent="0.2">
      <c r="A51">
        <v>2028</v>
      </c>
      <c r="B51" s="16">
        <f>$B$42*(1+parameters!$B$8)^('stock release'!A51-'stock release'!$A$42)</f>
        <v>3941.9879961250072</v>
      </c>
      <c r="C51">
        <f t="shared" si="51"/>
        <v>1.6913506830753275</v>
      </c>
      <c r="D51">
        <f t="shared" si="52"/>
        <v>13.407963534953902</v>
      </c>
      <c r="E51">
        <f t="shared" si="53"/>
        <v>74.581432831953165</v>
      </c>
      <c r="F51">
        <f t="shared" si="54"/>
        <v>269.87278622130924</v>
      </c>
      <c r="G51">
        <f t="shared" si="55"/>
        <v>635.76901884982112</v>
      </c>
      <c r="H51">
        <f t="shared" si="56"/>
        <v>975.67144594139074</v>
      </c>
      <c r="I51">
        <f t="shared" si="57"/>
        <v>975.67144594139074</v>
      </c>
      <c r="J51">
        <f t="shared" si="58"/>
        <v>635.76901884982112</v>
      </c>
      <c r="K51">
        <f t="shared" si="59"/>
        <v>269.87278622130918</v>
      </c>
      <c r="L51">
        <f t="shared" si="60"/>
        <v>74.58143283195308</v>
      </c>
      <c r="M51">
        <f t="shared" si="61"/>
        <v>13.407963534954265</v>
      </c>
      <c r="N51" s="16">
        <f t="shared" si="62"/>
        <v>888.78828925857783</v>
      </c>
      <c r="O51" s="16">
        <f>SUM($B$32:B51)-SUM(C$32:C51,D$32:D50,E$32:E49,F$32:F48,G$32:G47,H$32:H46,I$32:I45,J$32:J44,K$32:K43,L$32:L42,M$32:M41)</f>
        <v>19400.998904013788</v>
      </c>
      <c r="P51" s="2"/>
    </row>
    <row r="52" spans="1:16" x14ac:dyDescent="0.2">
      <c r="A52">
        <v>2029</v>
      </c>
      <c r="B52" s="16">
        <f>$B$42*(1+parameters!$B$8)^('stock release'!A52-'stock release'!$A$42)</f>
        <v>4131.2034199390082</v>
      </c>
      <c r="C52">
        <f t="shared" si="51"/>
        <v>1.7725355158629434</v>
      </c>
      <c r="D52">
        <f t="shared" si="52"/>
        <v>14.051545784631692</v>
      </c>
      <c r="E52">
        <f t="shared" si="53"/>
        <v>78.161341607886925</v>
      </c>
      <c r="F52">
        <f t="shared" si="54"/>
        <v>282.82667995993211</v>
      </c>
      <c r="G52">
        <f t="shared" si="55"/>
        <v>666.28593175461265</v>
      </c>
      <c r="H52">
        <f t="shared" si="56"/>
        <v>1022.5036753465778</v>
      </c>
      <c r="I52">
        <f t="shared" si="57"/>
        <v>1022.5036753465778</v>
      </c>
      <c r="J52">
        <f t="shared" si="58"/>
        <v>666.28593175461265</v>
      </c>
      <c r="K52">
        <f t="shared" si="59"/>
        <v>282.82667995993205</v>
      </c>
      <c r="L52">
        <f t="shared" si="60"/>
        <v>78.16134160788684</v>
      </c>
      <c r="M52">
        <f t="shared" si="61"/>
        <v>14.05154578463207</v>
      </c>
      <c r="N52" s="16">
        <f t="shared" si="62"/>
        <v>931.87216607338769</v>
      </c>
      <c r="O52" s="16">
        <f>SUM($B$32:B52)-SUM(C$32:C52,D$32:D51,E$32:E50,F$32:F49,G$32:G48,H$32:H47,I$32:I46,J$32:J45,K$32:K44,L$32:L43,M$32:M42)</f>
        <v>20332.871070087174</v>
      </c>
      <c r="P52" s="2"/>
    </row>
    <row r="53" spans="1:16" x14ac:dyDescent="0.2">
      <c r="A53">
        <v>2030</v>
      </c>
      <c r="B53" s="16">
        <f>$B$42*(1+parameters!$B$8)^('stock release'!A53-'stock release'!$A$42)</f>
        <v>4329.5011840960806</v>
      </c>
      <c r="C53">
        <f t="shared" si="51"/>
        <v>1.8576172206243649</v>
      </c>
      <c r="D53">
        <f t="shared" si="52"/>
        <v>14.726019982294012</v>
      </c>
      <c r="E53">
        <f t="shared" si="53"/>
        <v>81.913086005065495</v>
      </c>
      <c r="F53">
        <f t="shared" si="54"/>
        <v>296.40236059800884</v>
      </c>
      <c r="G53">
        <f t="shared" si="55"/>
        <v>698.26765647883406</v>
      </c>
      <c r="H53">
        <f t="shared" si="56"/>
        <v>1071.5838517632135</v>
      </c>
      <c r="I53">
        <f t="shared" si="57"/>
        <v>1071.5838517632135</v>
      </c>
      <c r="J53">
        <f t="shared" si="58"/>
        <v>698.26765647883406</v>
      </c>
      <c r="K53">
        <f t="shared" si="59"/>
        <v>296.40236059800878</v>
      </c>
      <c r="L53">
        <f t="shared" si="60"/>
        <v>81.913086005065409</v>
      </c>
      <c r="M53">
        <f t="shared" si="61"/>
        <v>14.72601998229441</v>
      </c>
      <c r="N53" s="16">
        <f>$B53-$C53-$D52-$E51-$F50-$G49-$H48-$I47-$J46-$K45-$L44-$M43</f>
        <v>976.60203004491018</v>
      </c>
      <c r="O53" s="16">
        <f>SUM($B$32:B53)-SUM(C$32:C53,D$32:D52,E$32:E51,F$32:F50,G$32:G49,H$32:H48,I$32:I47,J$32:J46,K$32:K45,L$32:L44,M$32:M43)</f>
        <v>21309.473100132091</v>
      </c>
      <c r="P53" s="2"/>
    </row>
    <row r="54" spans="1:16" x14ac:dyDescent="0.2">
      <c r="B54" s="16"/>
      <c r="C54" s="2"/>
      <c r="D54" s="2"/>
      <c r="E54" s="2"/>
      <c r="F54" s="2"/>
      <c r="G54" s="2"/>
      <c r="H54" s="2"/>
    </row>
    <row r="55" spans="1:16" x14ac:dyDescent="0.2">
      <c r="B55" s="16"/>
      <c r="C55" s="2"/>
      <c r="D55" s="2"/>
      <c r="E55" s="2"/>
      <c r="F55" s="2"/>
      <c r="G55" s="2"/>
      <c r="H55" s="2"/>
    </row>
    <row r="56" spans="1:16" x14ac:dyDescent="0.2">
      <c r="B56" s="16"/>
      <c r="C56" s="2"/>
      <c r="D56" s="2"/>
      <c r="E56" s="2"/>
      <c r="F56" s="2"/>
      <c r="G56" s="2"/>
      <c r="H56" s="2"/>
    </row>
    <row r="57" spans="1:16" x14ac:dyDescent="0.2">
      <c r="B57" s="16"/>
      <c r="C57" s="2"/>
      <c r="D57" s="2"/>
      <c r="E57" s="2"/>
      <c r="F57" s="2"/>
      <c r="G57" s="2"/>
      <c r="H57" s="2"/>
    </row>
    <row r="58" spans="1:16" x14ac:dyDescent="0.2">
      <c r="B58" s="16"/>
      <c r="C58" s="2"/>
      <c r="D58" s="2"/>
      <c r="E58" s="2"/>
      <c r="F58" s="2"/>
      <c r="G58" s="2"/>
      <c r="H58" s="2"/>
    </row>
    <row r="62" spans="1:16" x14ac:dyDescent="0.2">
      <c r="B62" s="1"/>
      <c r="C62" s="16"/>
      <c r="D62" s="16"/>
      <c r="E62" s="16"/>
      <c r="H62" s="16"/>
      <c r="I62" s="16"/>
      <c r="K62" s="16"/>
      <c r="L62" s="16"/>
    </row>
    <row r="63" spans="1:16" x14ac:dyDescent="0.2">
      <c r="B63" s="1"/>
      <c r="C63" s="16"/>
      <c r="D63" s="16"/>
      <c r="E63" s="16"/>
      <c r="F63" s="1"/>
      <c r="H63" s="16"/>
      <c r="I63" s="16"/>
      <c r="K63" s="16"/>
    </row>
    <row r="64" spans="1:16" x14ac:dyDescent="0.2">
      <c r="B64" s="1"/>
      <c r="C64" s="16"/>
      <c r="D64" s="16"/>
      <c r="E64" s="16"/>
      <c r="F64" s="1"/>
      <c r="H64" s="16"/>
      <c r="I64" s="16"/>
      <c r="K64" s="16"/>
    </row>
    <row r="65" spans="2:11" x14ac:dyDescent="0.2">
      <c r="B65" s="1"/>
      <c r="C65" s="16"/>
      <c r="D65" s="16"/>
      <c r="E65" s="16"/>
      <c r="F65" s="1"/>
      <c r="H65" s="16"/>
      <c r="I65" s="16"/>
      <c r="K65" s="16"/>
    </row>
    <row r="66" spans="2:11" x14ac:dyDescent="0.2">
      <c r="B66" s="1"/>
      <c r="C66" s="16"/>
      <c r="D66" s="16"/>
      <c r="E66" s="16"/>
      <c r="F66" s="1"/>
      <c r="H66" s="16"/>
      <c r="I66" s="16"/>
      <c r="K66" s="16"/>
    </row>
    <row r="67" spans="2:11" x14ac:dyDescent="0.2">
      <c r="B67" s="1"/>
      <c r="C67" s="16"/>
      <c r="D67" s="16"/>
      <c r="E67" s="16"/>
      <c r="F67" s="1"/>
      <c r="H67" s="16"/>
      <c r="I67" s="16"/>
      <c r="K67" s="16"/>
    </row>
    <row r="68" spans="2:11" x14ac:dyDescent="0.2">
      <c r="B68" s="1"/>
      <c r="C68" s="16"/>
      <c r="D68" s="16"/>
      <c r="E68" s="16"/>
      <c r="F68" s="1"/>
      <c r="H68" s="16"/>
      <c r="I68" s="16"/>
      <c r="K68" s="16"/>
    </row>
    <row r="69" spans="2:11" x14ac:dyDescent="0.2">
      <c r="B69" s="1"/>
      <c r="C69" s="16"/>
      <c r="D69" s="16"/>
      <c r="E69" s="16"/>
      <c r="F69" s="1"/>
      <c r="H69" s="16"/>
      <c r="I69" s="16"/>
      <c r="K69" s="16"/>
    </row>
    <row r="70" spans="2:11" x14ac:dyDescent="0.2">
      <c r="B70" s="1"/>
      <c r="C70" s="16"/>
      <c r="D70" s="16"/>
      <c r="E70" s="16"/>
      <c r="F70" s="1"/>
      <c r="H70" s="16"/>
      <c r="I70" s="16"/>
      <c r="K70" s="16"/>
    </row>
    <row r="71" spans="2:11" x14ac:dyDescent="0.2">
      <c r="B71" s="1"/>
      <c r="C71" s="16"/>
      <c r="D71" s="16"/>
      <c r="E71" s="16"/>
      <c r="F71" s="1"/>
      <c r="H71" s="16"/>
      <c r="I71" s="16"/>
      <c r="K71" s="16"/>
    </row>
    <row r="72" spans="2:11" x14ac:dyDescent="0.2">
      <c r="B72" s="1"/>
      <c r="C72" s="16"/>
      <c r="D72" s="16"/>
      <c r="E72" s="16"/>
      <c r="F72" s="1"/>
      <c r="H72" s="16"/>
      <c r="I72" s="16"/>
      <c r="K72" s="16"/>
    </row>
    <row r="73" spans="2:11" x14ac:dyDescent="0.2">
      <c r="B73" s="1"/>
      <c r="C73" s="16"/>
      <c r="D73" s="16"/>
      <c r="E73" s="16"/>
      <c r="F73" s="1"/>
      <c r="H73" s="16"/>
      <c r="I73" s="16"/>
      <c r="K73" s="16"/>
    </row>
    <row r="74" spans="2:11" x14ac:dyDescent="0.2">
      <c r="B74" s="1"/>
      <c r="C74" s="16"/>
      <c r="D74" s="16"/>
      <c r="E74" s="16"/>
      <c r="F74" s="1"/>
      <c r="H74" s="16"/>
      <c r="I74" s="16"/>
      <c r="K74" s="16"/>
    </row>
    <row r="75" spans="2:11" x14ac:dyDescent="0.2">
      <c r="C75" s="16"/>
      <c r="D75" s="16"/>
      <c r="E75" s="16"/>
      <c r="F75" s="1"/>
      <c r="H75" s="16"/>
      <c r="I75" s="16"/>
      <c r="K75" s="16"/>
    </row>
    <row r="76" spans="2:11" x14ac:dyDescent="0.2">
      <c r="C76" s="16"/>
      <c r="D76" s="16"/>
      <c r="E76" s="16"/>
      <c r="F76" s="1"/>
      <c r="H76" s="16"/>
      <c r="I76" s="16"/>
      <c r="K76" s="16"/>
    </row>
    <row r="77" spans="2:11" x14ac:dyDescent="0.2">
      <c r="B77" s="1"/>
      <c r="C77" s="16"/>
      <c r="D77" s="16"/>
      <c r="E77" s="16"/>
      <c r="F77" s="1"/>
      <c r="H77" s="16"/>
      <c r="I77" s="16"/>
      <c r="K77" s="16"/>
    </row>
    <row r="78" spans="2:11" x14ac:dyDescent="0.2">
      <c r="B78" s="1"/>
      <c r="C78" s="16"/>
      <c r="D78" s="16"/>
      <c r="E78" s="16"/>
      <c r="F78" s="1"/>
      <c r="H78" s="16"/>
      <c r="I78" s="16"/>
      <c r="K78" s="16"/>
    </row>
    <row r="79" spans="2:11" x14ac:dyDescent="0.2">
      <c r="B79" s="1"/>
      <c r="C79" s="16"/>
      <c r="D79" s="16"/>
      <c r="E79" s="16"/>
      <c r="F79" s="1"/>
      <c r="H79" s="16"/>
      <c r="I79" s="16"/>
      <c r="K79" s="16"/>
    </row>
    <row r="80" spans="2:11" x14ac:dyDescent="0.2">
      <c r="B80" s="1"/>
      <c r="C80" s="16"/>
      <c r="D80" s="16"/>
      <c r="E80" s="16"/>
      <c r="F80" s="1"/>
      <c r="H80" s="16"/>
      <c r="I80" s="16"/>
      <c r="K80" s="16"/>
    </row>
    <row r="81" spans="2:12" x14ac:dyDescent="0.2">
      <c r="B81" s="1"/>
      <c r="C81" s="16"/>
      <c r="D81" s="16"/>
      <c r="E81" s="16"/>
      <c r="F81" s="1"/>
      <c r="H81" s="16"/>
      <c r="I81" s="16"/>
      <c r="K81" s="16"/>
    </row>
    <row r="82" spans="2:12" x14ac:dyDescent="0.2">
      <c r="B82" s="1"/>
      <c r="C82" s="16"/>
      <c r="D82" s="16"/>
      <c r="E82" s="16"/>
      <c r="F82" s="1"/>
      <c r="H82" s="16"/>
      <c r="I82" s="16"/>
      <c r="K82" s="16"/>
    </row>
    <row r="83" spans="2:12" x14ac:dyDescent="0.2">
      <c r="B83" s="1"/>
      <c r="C83" s="16"/>
      <c r="D83" s="16"/>
      <c r="E83" s="16"/>
      <c r="F83" s="1"/>
      <c r="H83" s="16"/>
      <c r="I83" s="16"/>
      <c r="K83" s="16"/>
    </row>
    <row r="84" spans="2:12" x14ac:dyDescent="0.2">
      <c r="B84" s="1"/>
      <c r="C84" s="16"/>
      <c r="D84" s="16"/>
      <c r="E84" s="16"/>
      <c r="F84" s="1"/>
      <c r="H84" s="16"/>
      <c r="I84" s="16"/>
      <c r="K84" s="16"/>
    </row>
    <row r="85" spans="2:12" x14ac:dyDescent="0.2">
      <c r="B85" s="1"/>
      <c r="C85" s="16"/>
      <c r="D85" s="16"/>
      <c r="E85" s="16"/>
      <c r="F85" s="1"/>
      <c r="H85" s="16"/>
      <c r="I85" s="16"/>
      <c r="K85" s="16"/>
    </row>
    <row r="86" spans="2:12" x14ac:dyDescent="0.2">
      <c r="B86" s="1"/>
      <c r="C86" s="16"/>
      <c r="D86" s="16"/>
      <c r="E86" s="16"/>
      <c r="F86" s="1"/>
      <c r="H86" s="16"/>
      <c r="I86" s="16"/>
      <c r="K86" s="16"/>
    </row>
    <row r="87" spans="2:12" x14ac:dyDescent="0.2">
      <c r="G87" s="1"/>
    </row>
    <row r="91" spans="2:12" x14ac:dyDescent="0.2">
      <c r="B91" s="1"/>
      <c r="C91" s="15"/>
      <c r="D91" s="15"/>
      <c r="E91" s="15"/>
      <c r="F91" s="15"/>
      <c r="G91" s="15"/>
      <c r="H91" s="15"/>
      <c r="I91" s="1"/>
      <c r="K91" s="16"/>
      <c r="L91" s="16"/>
    </row>
    <row r="92" spans="2:12" x14ac:dyDescent="0.2">
      <c r="B92" s="1"/>
      <c r="C92" s="15"/>
      <c r="D92" s="15"/>
      <c r="E92" s="15"/>
      <c r="F92" s="15"/>
      <c r="G92" s="15"/>
      <c r="H92" s="15"/>
      <c r="I92" s="1"/>
      <c r="K92" s="16"/>
      <c r="L92" s="16"/>
    </row>
    <row r="93" spans="2:12" x14ac:dyDescent="0.2">
      <c r="B93" s="1"/>
      <c r="C93" s="15"/>
      <c r="D93" s="15"/>
      <c r="E93" s="15"/>
      <c r="F93" s="15"/>
      <c r="G93" s="15"/>
      <c r="H93" s="15"/>
      <c r="I93" s="1"/>
      <c r="K93" s="16"/>
      <c r="L93" s="16"/>
    </row>
    <row r="94" spans="2:12" x14ac:dyDescent="0.2">
      <c r="B94" s="1"/>
      <c r="C94" s="15"/>
      <c r="D94" s="15"/>
      <c r="E94" s="15"/>
      <c r="F94" s="15"/>
      <c r="G94" s="15"/>
      <c r="H94" s="15"/>
      <c r="I94" s="1"/>
      <c r="K94" s="16"/>
      <c r="L94" s="16"/>
    </row>
    <row r="95" spans="2:12" x14ac:dyDescent="0.2">
      <c r="B95" s="1"/>
      <c r="C95" s="15"/>
      <c r="D95" s="15"/>
      <c r="E95" s="15"/>
      <c r="F95" s="15"/>
      <c r="G95" s="15"/>
      <c r="H95" s="15"/>
      <c r="I95" s="1"/>
      <c r="K95" s="16"/>
      <c r="L95" s="16"/>
    </row>
    <row r="96" spans="2:12" x14ac:dyDescent="0.2">
      <c r="B96" s="1"/>
      <c r="C96" s="15"/>
      <c r="D96" s="15"/>
      <c r="E96" s="15"/>
      <c r="F96" s="15"/>
      <c r="G96" s="15"/>
      <c r="H96" s="15"/>
      <c r="I96" s="1"/>
      <c r="K96" s="16"/>
      <c r="L96" s="16"/>
    </row>
    <row r="97" spans="2:26" x14ac:dyDescent="0.2">
      <c r="B97" s="1"/>
      <c r="C97" s="15"/>
      <c r="D97" s="15"/>
      <c r="E97" s="15"/>
      <c r="F97" s="15"/>
      <c r="G97" s="15"/>
      <c r="H97" s="15"/>
      <c r="I97" s="1"/>
      <c r="K97" s="16"/>
      <c r="L97" s="16"/>
    </row>
    <row r="98" spans="2:26" x14ac:dyDescent="0.2">
      <c r="B98" s="1"/>
      <c r="C98" s="15"/>
      <c r="D98" s="15"/>
      <c r="E98" s="15"/>
      <c r="F98" s="15"/>
      <c r="G98" s="15"/>
      <c r="H98" s="15"/>
      <c r="I98" s="1"/>
      <c r="K98" s="16"/>
      <c r="L98" s="16"/>
    </row>
    <row r="99" spans="2:26" x14ac:dyDescent="0.2">
      <c r="B99" s="1"/>
      <c r="C99" s="15"/>
      <c r="D99" s="15"/>
      <c r="E99" s="15"/>
      <c r="F99" s="15"/>
      <c r="G99" s="15"/>
      <c r="H99" s="15"/>
      <c r="I99" s="1"/>
      <c r="K99" s="16"/>
      <c r="L99" s="16"/>
      <c r="Y99" s="16"/>
    </row>
    <row r="100" spans="2:26" x14ac:dyDescent="0.2">
      <c r="B100" s="1"/>
      <c r="C100" s="15"/>
      <c r="D100" s="15"/>
      <c r="E100" s="15"/>
      <c r="F100" s="15"/>
      <c r="G100" s="15"/>
      <c r="H100" s="15"/>
      <c r="I100" s="1"/>
      <c r="K100" s="16"/>
      <c r="L100" s="16"/>
      <c r="Y100" s="16"/>
      <c r="Z100" s="16"/>
    </row>
    <row r="101" spans="2:26" x14ac:dyDescent="0.2">
      <c r="B101" s="1"/>
      <c r="C101" s="15"/>
      <c r="D101" s="15"/>
      <c r="E101" s="15"/>
      <c r="F101" s="15"/>
      <c r="G101" s="15"/>
      <c r="H101" s="15"/>
      <c r="I101" s="1"/>
      <c r="K101" s="16"/>
      <c r="L101" s="16"/>
      <c r="Y101" s="16"/>
      <c r="Z101" s="16"/>
    </row>
    <row r="102" spans="2:26" x14ac:dyDescent="0.2">
      <c r="B102" s="1"/>
      <c r="C102" s="15"/>
      <c r="D102" s="15"/>
      <c r="E102" s="15"/>
      <c r="F102" s="15"/>
      <c r="G102" s="15"/>
      <c r="H102" s="15"/>
      <c r="I102" s="1"/>
      <c r="K102" s="16"/>
      <c r="L102" s="16"/>
      <c r="Y102" s="16"/>
      <c r="Z102" s="16"/>
    </row>
    <row r="103" spans="2:26" x14ac:dyDescent="0.2">
      <c r="B103" s="1"/>
      <c r="C103" s="15"/>
      <c r="D103" s="15"/>
      <c r="E103" s="15"/>
      <c r="F103" s="15"/>
      <c r="G103" s="15"/>
      <c r="H103" s="15"/>
      <c r="I103" s="1"/>
      <c r="K103" s="16"/>
      <c r="L103" s="16"/>
      <c r="Y103" s="16"/>
      <c r="Z103" s="16"/>
    </row>
    <row r="104" spans="2:26" x14ac:dyDescent="0.2">
      <c r="B104" s="1"/>
      <c r="C104" s="15"/>
      <c r="D104" s="15"/>
      <c r="E104" s="15"/>
      <c r="F104" s="15"/>
      <c r="G104" s="15"/>
      <c r="H104" s="15"/>
      <c r="I104" s="1"/>
      <c r="K104" s="16"/>
      <c r="L104" s="16"/>
      <c r="Y104" s="16"/>
      <c r="Z104" s="16"/>
    </row>
    <row r="105" spans="2:26" x14ac:dyDescent="0.2">
      <c r="B105" s="1"/>
      <c r="C105" s="15"/>
      <c r="D105" s="15"/>
      <c r="E105" s="15"/>
      <c r="F105" s="15"/>
      <c r="G105" s="15"/>
      <c r="H105" s="15"/>
      <c r="I105" s="1"/>
      <c r="K105" s="16"/>
      <c r="L105" s="16"/>
      <c r="M105" s="1"/>
      <c r="Y105" s="16"/>
      <c r="Z105" s="16"/>
    </row>
    <row r="106" spans="2:26" x14ac:dyDescent="0.2">
      <c r="B106" s="1"/>
      <c r="C106" s="15"/>
      <c r="D106" s="15"/>
      <c r="E106" s="15"/>
      <c r="F106" s="15"/>
      <c r="G106" s="15"/>
      <c r="H106" s="15"/>
      <c r="I106" s="16"/>
      <c r="K106" s="16"/>
      <c r="L106" s="16"/>
      <c r="M106" s="1"/>
      <c r="Y106" s="16"/>
      <c r="Z106" s="16"/>
    </row>
    <row r="107" spans="2:26" x14ac:dyDescent="0.2">
      <c r="B107" s="1"/>
      <c r="C107" s="15"/>
      <c r="D107" s="15"/>
      <c r="E107" s="15"/>
      <c r="F107" s="15"/>
      <c r="G107" s="15"/>
      <c r="H107" s="15"/>
      <c r="I107" s="1"/>
      <c r="K107" s="16"/>
      <c r="L107" s="16"/>
      <c r="M107" s="1"/>
      <c r="Y107" s="16"/>
      <c r="Z107" s="16"/>
    </row>
    <row r="108" spans="2:26" x14ac:dyDescent="0.2">
      <c r="B108" s="1"/>
      <c r="C108" s="15"/>
      <c r="D108" s="15"/>
      <c r="E108" s="15"/>
      <c r="F108" s="15"/>
      <c r="G108" s="15"/>
      <c r="H108" s="15"/>
      <c r="I108" s="1"/>
      <c r="K108" s="16"/>
      <c r="L108" s="16"/>
      <c r="Y108" s="16"/>
      <c r="Z108" s="16"/>
    </row>
    <row r="109" spans="2:26" x14ac:dyDescent="0.2">
      <c r="B109" s="1"/>
      <c r="C109" s="15"/>
      <c r="D109" s="15"/>
      <c r="E109" s="15"/>
      <c r="F109" s="15"/>
      <c r="G109" s="15"/>
      <c r="H109" s="15"/>
      <c r="I109" s="1"/>
      <c r="K109" s="16"/>
      <c r="L109" s="16"/>
      <c r="Y109" s="16"/>
      <c r="Z109" s="16"/>
    </row>
    <row r="110" spans="2:26" x14ac:dyDescent="0.2">
      <c r="B110" s="1"/>
      <c r="C110" s="15"/>
      <c r="D110" s="15"/>
      <c r="E110" s="15"/>
      <c r="F110" s="15"/>
      <c r="G110" s="15"/>
      <c r="H110" s="15"/>
      <c r="I110" s="1"/>
      <c r="K110" s="16"/>
      <c r="L110" s="16"/>
      <c r="Y110" s="16"/>
      <c r="Z110" s="16"/>
    </row>
    <row r="111" spans="2:26" x14ac:dyDescent="0.2">
      <c r="B111" s="1"/>
      <c r="C111" s="15"/>
      <c r="D111" s="15"/>
      <c r="E111" s="15"/>
      <c r="F111" s="15"/>
      <c r="G111" s="15"/>
      <c r="H111" s="15"/>
      <c r="I111" s="1"/>
      <c r="K111" s="16"/>
      <c r="L111" s="16"/>
      <c r="Y111" s="16"/>
      <c r="Z111" s="16"/>
    </row>
    <row r="112" spans="2:26" x14ac:dyDescent="0.2">
      <c r="B112" s="1"/>
      <c r="C112" s="15"/>
      <c r="D112" s="15"/>
      <c r="E112" s="15"/>
      <c r="F112" s="15"/>
      <c r="G112" s="15"/>
      <c r="H112" s="15"/>
      <c r="I112" s="1"/>
      <c r="K112" s="16"/>
      <c r="L112" s="16"/>
      <c r="R112" s="16"/>
      <c r="S112" s="16"/>
      <c r="T112" s="16"/>
      <c r="U112" s="16"/>
      <c r="V112" s="16"/>
      <c r="W112" s="16"/>
      <c r="X112" s="16"/>
    </row>
    <row r="113" spans="2:24" x14ac:dyDescent="0.2">
      <c r="B113" s="1"/>
      <c r="C113" s="15"/>
      <c r="D113" s="15"/>
      <c r="E113" s="15"/>
      <c r="F113" s="15"/>
      <c r="G113" s="15"/>
      <c r="H113" s="15"/>
      <c r="I113" s="1"/>
      <c r="K113" s="16"/>
      <c r="L113" s="16"/>
      <c r="R113" s="16"/>
      <c r="S113" s="16"/>
      <c r="T113" s="16"/>
      <c r="U113" s="16"/>
      <c r="V113" s="16"/>
      <c r="W113" s="16"/>
      <c r="X113" s="16"/>
    </row>
    <row r="114" spans="2:24" x14ac:dyDescent="0.2">
      <c r="B114" s="1"/>
      <c r="C114" s="15"/>
      <c r="D114" s="15"/>
      <c r="E114" s="15"/>
      <c r="F114" s="15"/>
      <c r="G114" s="15"/>
      <c r="H114" s="15"/>
      <c r="I114" s="1"/>
      <c r="K114" s="16"/>
      <c r="L114" s="16"/>
    </row>
    <row r="115" spans="2:24" x14ac:dyDescent="0.2">
      <c r="B115" s="1"/>
      <c r="C115" s="15"/>
      <c r="D115" s="15"/>
      <c r="E115" s="15"/>
      <c r="F115" s="15"/>
      <c r="G115" s="15"/>
      <c r="H115" s="15"/>
      <c r="I115" s="1"/>
      <c r="K115" s="16"/>
      <c r="L115" s="16"/>
    </row>
  </sheetData>
  <mergeCells count="9">
    <mergeCell ref="AQ13:AS13"/>
    <mergeCell ref="F1:F8"/>
    <mergeCell ref="R1:R8"/>
    <mergeCell ref="C13:E13"/>
    <mergeCell ref="C31:M31"/>
    <mergeCell ref="K13:M13"/>
    <mergeCell ref="S13:U13"/>
    <mergeCell ref="AA13:AC13"/>
    <mergeCell ref="AI13:AK13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208E-3AB4-6248-A411-E121695AEE73}">
  <dimension ref="A1:N9"/>
  <sheetViews>
    <sheetView workbookViewId="0">
      <selection activeCell="D15" sqref="D15"/>
    </sheetView>
  </sheetViews>
  <sheetFormatPr baseColWidth="10" defaultRowHeight="15" x14ac:dyDescent="0.2"/>
  <cols>
    <col min="2" max="2" width="18.5" bestFit="1" customWidth="1"/>
    <col min="3" max="3" width="15" bestFit="1" customWidth="1"/>
  </cols>
  <sheetData>
    <row r="1" spans="1:14" x14ac:dyDescent="0.2">
      <c r="A1" t="s">
        <v>86</v>
      </c>
      <c r="M1" t="s">
        <v>90</v>
      </c>
    </row>
    <row r="2" spans="1:14" x14ac:dyDescent="0.2">
      <c r="A2" t="s">
        <v>6</v>
      </c>
      <c r="B2" t="s">
        <v>87</v>
      </c>
      <c r="C2" t="s">
        <v>89</v>
      </c>
      <c r="D2" t="str">
        <f>tc_values_matrix!E1</f>
        <v>to_Use</v>
      </c>
      <c r="E2" t="str">
        <f>tc_values_matrix!F1</f>
        <v>to_Collection - source seperated</v>
      </c>
      <c r="F2" t="str">
        <f>tc_values_matrix!G1</f>
        <v>to_Collection - residual</v>
      </c>
      <c r="G2" t="str">
        <f>tc_values_matrix!H1</f>
        <v>to_Sorting</v>
      </c>
      <c r="H2" t="str">
        <f>tc_values_matrix!I1</f>
        <v xml:space="preserve">to_Landfill </v>
      </c>
      <c r="I2" t="str">
        <f>tc_values_matrix!J1</f>
        <v>to_Incineration</v>
      </c>
      <c r="J2" t="str">
        <f>tc_values_matrix!K1</f>
        <v>to_Reprocessing</v>
      </c>
      <c r="K2" t="str">
        <f>tc_values_matrix!L1</f>
        <v>Leaving system</v>
      </c>
      <c r="M2" t="s">
        <v>88</v>
      </c>
      <c r="N2" t="str">
        <f>E2</f>
        <v>to_Collection - source seperated</v>
      </c>
    </row>
    <row r="3" spans="1:14" x14ac:dyDescent="0.2">
      <c r="A3" t="str">
        <f>parameters!A2</f>
        <v>Food packaging 2d</v>
      </c>
      <c r="B3" s="1">
        <f>hist!AD2*(1+parameters!B2)^(2020-hist!$AD$1)</f>
        <v>203.27546657212321</v>
      </c>
      <c r="C3" s="1">
        <f>B3</f>
        <v>203.27546657212321</v>
      </c>
      <c r="D3" s="1">
        <f>C3*M3</f>
        <v>170.7513919205835</v>
      </c>
      <c r="E3" s="1">
        <f>IF(AND(tc_values_matrix!B2=$A3,E$2=tc_values_matrix!F$1),tc_values_matrix!F3*$C$3,0)</f>
        <v>0</v>
      </c>
      <c r="F3" s="1">
        <f>IF(AND(tc_values_matrix!C2=$A3,F$2=tc_values_matrix!G$1),tc_values_matrix!G3*$C$3,0)</f>
        <v>0</v>
      </c>
      <c r="G3" s="1">
        <f>IF(AND(tc_values_matrix!D2=$A3,G$2=tc_values_matrix!H$1),tc_values_matrix!H3*$C$3,0)</f>
        <v>0</v>
      </c>
      <c r="H3" s="1">
        <f>IF(AND(tc_values_matrix!E2=$A3,H$2=tc_values_matrix!I$1),tc_values_matrix!I3*$C$3,0)</f>
        <v>0</v>
      </c>
      <c r="I3" s="1">
        <f>IF(AND(tc_values_matrix!F2=$A3,I$2=tc_values_matrix!J$1),tc_values_matrix!J3*$C$3,0)</f>
        <v>0</v>
      </c>
      <c r="J3" s="1">
        <f>IF(AND(tc_values_matrix!G2=$A3,J$2=tc_values_matrix!K$1),tc_values_matrix!K3*$C$3,0)</f>
        <v>0</v>
      </c>
      <c r="K3" s="1">
        <f>IF(AND(tc_values_matrix!H2=$A3,K$2=tc_values_matrix!L$1),tc_values_matrix!L3*$C$3,0)</f>
        <v>0</v>
      </c>
      <c r="M3">
        <v>0.84</v>
      </c>
      <c r="N3">
        <f>tc_values_matrix!F4</f>
        <v>0.7</v>
      </c>
    </row>
    <row r="4" spans="1:14" x14ac:dyDescent="0.2">
      <c r="A4" t="str">
        <f>parameters!A3</f>
        <v>Food packaging bottles</v>
      </c>
      <c r="B4" s="1">
        <f>hist!AD3*(1+parameters!B3)^(2020-hist!$AD$1)</f>
        <v>690.46230674878461</v>
      </c>
      <c r="C4" s="1">
        <f t="shared" ref="C4:C9" si="0">B4</f>
        <v>690.46230674878461</v>
      </c>
      <c r="D4" s="1">
        <f t="shared" ref="D4:D9" si="1">C4*M4</f>
        <v>579.98833766897906</v>
      </c>
      <c r="E4" s="1">
        <f>IF(AND(tc_values_matrix!B3=$A4,E$2=tc_values_matrix!F$1),tc_values_matrix!F4*$C$3,0)</f>
        <v>0</v>
      </c>
      <c r="F4" s="1">
        <f>IF(AND(tc_values_matrix!C3=$A4,F$2=tc_values_matrix!G$1),tc_values_matrix!G4*$C$3,0)</f>
        <v>0</v>
      </c>
      <c r="G4" s="1">
        <f>IF(AND(tc_values_matrix!D3=$A4,G$2=tc_values_matrix!H$1),tc_values_matrix!H4*$C$3,0)</f>
        <v>0</v>
      </c>
      <c r="H4" s="1">
        <f>IF(AND(tc_values_matrix!E3=$A4,H$2=tc_values_matrix!I$1),tc_values_matrix!I4*$C$3,0)</f>
        <v>0</v>
      </c>
      <c r="I4" s="1">
        <f>IF(AND(tc_values_matrix!F3=$A4,I$2=tc_values_matrix!J$1),tc_values_matrix!J4*$C$3,0)</f>
        <v>0</v>
      </c>
      <c r="J4" s="1">
        <f>IF(AND(tc_values_matrix!G3=$A4,J$2=tc_values_matrix!K$1),tc_values_matrix!K4*$C$3,0)</f>
        <v>0</v>
      </c>
      <c r="K4" s="1">
        <f>IF(AND(tc_values_matrix!H3=$A4,K$2=tc_values_matrix!L$1),tc_values_matrix!L4*$C$3,0)</f>
        <v>0</v>
      </c>
      <c r="M4">
        <v>0.84</v>
      </c>
      <c r="N4">
        <f>tc_values_matrix!F13</f>
        <v>0.57999999999999996</v>
      </c>
    </row>
    <row r="5" spans="1:14" x14ac:dyDescent="0.2">
      <c r="A5" t="str">
        <f>parameters!A4</f>
        <v>Food packaging other</v>
      </c>
      <c r="B5" s="1">
        <f>hist!AD4*(1+parameters!B4)^(2020-hist!$AD$1)</f>
        <v>1397.1073238119939</v>
      </c>
      <c r="C5" s="1">
        <f t="shared" si="0"/>
        <v>1397.1073238119939</v>
      </c>
      <c r="D5" s="1">
        <f t="shared" si="1"/>
        <v>1173.5701520020748</v>
      </c>
      <c r="E5" s="1">
        <f>IF(AND(tc_values_matrix!B4=$A5,E$2=tc_values_matrix!F$1),tc_values_matrix!F5*$C$3,0)</f>
        <v>0</v>
      </c>
      <c r="F5" s="1">
        <f>IF(AND(tc_values_matrix!C4=$A5,F$2=tc_values_matrix!G$1),tc_values_matrix!G5*$C$3,0)</f>
        <v>0</v>
      </c>
      <c r="G5" s="1">
        <f>IF(AND(tc_values_matrix!D4=$A5,G$2=tc_values_matrix!H$1),tc_values_matrix!H5*$C$3,0)</f>
        <v>0</v>
      </c>
      <c r="H5" s="1">
        <f>IF(AND(tc_values_matrix!E4=$A5,H$2=tc_values_matrix!I$1),tc_values_matrix!I5*$C$3,0)</f>
        <v>0</v>
      </c>
      <c r="I5" s="1">
        <f>IF(AND(tc_values_matrix!F4=$A5,I$2=tc_values_matrix!J$1),tc_values_matrix!J5*$C$3,0)</f>
        <v>0</v>
      </c>
      <c r="J5" s="1">
        <f>IF(AND(tc_values_matrix!G4=$A5,J$2=tc_values_matrix!K$1),tc_values_matrix!K5*$C$3,0)</f>
        <v>0</v>
      </c>
      <c r="K5" s="1">
        <f>IF(AND(tc_values_matrix!H4=$A5,K$2=tc_values_matrix!L$1),tc_values_matrix!L5*$C$3,0)</f>
        <v>0</v>
      </c>
      <c r="M5">
        <v>0.84</v>
      </c>
      <c r="N5">
        <f>tc_values_matrix!F22</f>
        <v>0.55000000000000004</v>
      </c>
    </row>
    <row r="6" spans="1:14" x14ac:dyDescent="0.2">
      <c r="A6" t="str">
        <f>parameters!A5</f>
        <v>Non-food packaging 2d</v>
      </c>
      <c r="B6" s="1">
        <f>hist!AD5*(1+parameters!B5)^(2020-hist!$AD$1)</f>
        <v>162.62037325769856</v>
      </c>
      <c r="C6" s="1">
        <f t="shared" si="0"/>
        <v>162.62037325769856</v>
      </c>
      <c r="D6" s="1">
        <f t="shared" si="1"/>
        <v>136.60111353646678</v>
      </c>
      <c r="E6" s="1">
        <f>IF(AND(tc_values_matrix!B5=$A6,E$2=tc_values_matrix!F$1),tc_values_matrix!F6*$C$3,0)</f>
        <v>0</v>
      </c>
      <c r="F6" s="1">
        <f>IF(AND(tc_values_matrix!C5=$A6,F$2=tc_values_matrix!G$1),tc_values_matrix!G6*$C$3,0)</f>
        <v>0</v>
      </c>
      <c r="G6" s="1">
        <f>IF(AND(tc_values_matrix!D5=$A6,G$2=tc_values_matrix!H$1),tc_values_matrix!H6*$C$3,0)</f>
        <v>0</v>
      </c>
      <c r="H6" s="1">
        <f>IF(AND(tc_values_matrix!E5=$A6,H$2=tc_values_matrix!I$1),tc_values_matrix!I6*$C$3,0)</f>
        <v>0</v>
      </c>
      <c r="I6" s="1">
        <f>IF(AND(tc_values_matrix!F5=$A6,I$2=tc_values_matrix!J$1),tc_values_matrix!J6*$C$3,0)</f>
        <v>0</v>
      </c>
      <c r="J6" s="1">
        <f>IF(AND(tc_values_matrix!G5=$A6,J$2=tc_values_matrix!K$1),tc_values_matrix!K6*$C$3,0)</f>
        <v>0</v>
      </c>
      <c r="K6" s="1">
        <f>IF(AND(tc_values_matrix!H5=$A6,K$2=tc_values_matrix!L$1),tc_values_matrix!L6*$C$3,0)</f>
        <v>0</v>
      </c>
      <c r="M6">
        <v>0.84</v>
      </c>
      <c r="N6">
        <f>tc_values_matrix!F31</f>
        <v>0.7</v>
      </c>
    </row>
    <row r="7" spans="1:14" x14ac:dyDescent="0.2">
      <c r="A7" t="str">
        <f>parameters!A6</f>
        <v>Non-food packaging bottles</v>
      </c>
      <c r="B7" s="1">
        <f>hist!AD6*(1+parameters!B6)^(2020-hist!$AD$1)</f>
        <v>1056.0011750275528</v>
      </c>
      <c r="C7" s="1">
        <f t="shared" si="0"/>
        <v>1056.0011750275528</v>
      </c>
      <c r="D7" s="1">
        <f t="shared" si="1"/>
        <v>887.04098702314434</v>
      </c>
      <c r="E7" s="1">
        <f>IF(AND(tc_values_matrix!B6=$A7,E$2=tc_values_matrix!F$1),tc_values_matrix!F7*$C$3,0)</f>
        <v>0</v>
      </c>
      <c r="F7" s="1">
        <f>IF(AND(tc_values_matrix!C6=$A7,F$2=tc_values_matrix!G$1),tc_values_matrix!G7*$C$3,0)</f>
        <v>0</v>
      </c>
      <c r="G7" s="1">
        <f>IF(AND(tc_values_matrix!D6=$A7,G$2=tc_values_matrix!H$1),tc_values_matrix!H7*$C$3,0)</f>
        <v>0</v>
      </c>
      <c r="H7" s="1">
        <f>IF(AND(tc_values_matrix!E6=$A7,H$2=tc_values_matrix!I$1),tc_values_matrix!I7*$C$3,0)</f>
        <v>0</v>
      </c>
      <c r="I7" s="1">
        <f>IF(AND(tc_values_matrix!F6=$A7,I$2=tc_values_matrix!J$1),tc_values_matrix!J7*$C$3,0)</f>
        <v>0</v>
      </c>
      <c r="J7" s="1">
        <f>IF(AND(tc_values_matrix!G6=$A7,J$2=tc_values_matrix!K$1),tc_values_matrix!K7*$C$3,0)</f>
        <v>0</v>
      </c>
      <c r="K7" s="1">
        <f>IF(AND(tc_values_matrix!H6=$A7,K$2=tc_values_matrix!L$1),tc_values_matrix!L7*$C$3,0)</f>
        <v>0</v>
      </c>
      <c r="M7">
        <v>0.84</v>
      </c>
      <c r="N7">
        <f>tc_values_matrix!F40</f>
        <v>0.57999999999999996</v>
      </c>
    </row>
    <row r="8" spans="1:14" x14ac:dyDescent="0.2">
      <c r="A8" t="str">
        <f>parameters!A7</f>
        <v>Non-food packaging other</v>
      </c>
      <c r="B8" s="1">
        <f>hist!AD7*(1+parameters!B7)^(2020-hist!$AD$1)</f>
        <v>534.18809439870347</v>
      </c>
      <c r="C8" s="1">
        <f t="shared" si="0"/>
        <v>534.18809439870347</v>
      </c>
      <c r="D8" s="1">
        <f t="shared" si="1"/>
        <v>448.7179992949109</v>
      </c>
      <c r="E8" s="1">
        <f>IF(AND(tc_values_matrix!B7=$A8,E$2=tc_values_matrix!F$1),tc_values_matrix!F8*$C$3,0)</f>
        <v>0</v>
      </c>
      <c r="F8" s="1">
        <f>IF(AND(tc_values_matrix!C7=$A8,F$2=tc_values_matrix!G$1),tc_values_matrix!G8*$C$3,0)</f>
        <v>0</v>
      </c>
      <c r="G8" s="1">
        <f>IF(AND(tc_values_matrix!D7=$A8,G$2=tc_values_matrix!H$1),tc_values_matrix!H8*$C$3,0)</f>
        <v>0</v>
      </c>
      <c r="H8" s="1">
        <f>IF(AND(tc_values_matrix!E7=$A8,H$2=tc_values_matrix!I$1),tc_values_matrix!I8*$C$3,0)</f>
        <v>0</v>
      </c>
      <c r="I8" s="1">
        <f>IF(AND(tc_values_matrix!F7=$A8,I$2=tc_values_matrix!J$1),tc_values_matrix!J8*$C$3,0)</f>
        <v>0</v>
      </c>
      <c r="J8" s="1">
        <f>IF(AND(tc_values_matrix!G7=$A8,J$2=tc_values_matrix!K$1),tc_values_matrix!K8*$C$3,0)</f>
        <v>0</v>
      </c>
      <c r="K8" s="1">
        <f>IF(AND(tc_values_matrix!H7=$A8,K$2=tc_values_matrix!L$1),tc_values_matrix!L8*$C$3,0)</f>
        <v>0</v>
      </c>
      <c r="M8">
        <v>0.84</v>
      </c>
      <c r="N8">
        <f>tc_values_matrix!F49</f>
        <v>0.55000000000000004</v>
      </c>
    </row>
    <row r="9" spans="1:14" x14ac:dyDescent="0.2">
      <c r="A9" t="str">
        <f>parameters!A8</f>
        <v>Fibers</v>
      </c>
      <c r="B9" s="1">
        <f>hist!AD8*(1+parameters!B8)^(2020-hist!$AD$1)</f>
        <v>2709.1</v>
      </c>
      <c r="C9" s="1">
        <f t="shared" si="0"/>
        <v>2709.1</v>
      </c>
      <c r="D9" s="1">
        <f t="shared" si="1"/>
        <v>2519.4630000000002</v>
      </c>
      <c r="E9" s="1">
        <f>IF(AND(tc_values_matrix!B8=$A9,E$2=tc_values_matrix!F$1),tc_values_matrix!F9*$C$3,0)</f>
        <v>0</v>
      </c>
      <c r="F9" s="1">
        <f>IF(AND(tc_values_matrix!C8=$A9,F$2=tc_values_matrix!G$1),tc_values_matrix!G9*$C$3,0)</f>
        <v>0</v>
      </c>
      <c r="G9" s="1">
        <f>IF(AND(tc_values_matrix!D8=$A9,G$2=tc_values_matrix!H$1),tc_values_matrix!H9*$C$3,0)</f>
        <v>0</v>
      </c>
      <c r="H9" s="1">
        <f>IF(AND(tc_values_matrix!E8=$A9,H$2=tc_values_matrix!I$1),tc_values_matrix!I9*$C$3,0)</f>
        <v>0</v>
      </c>
      <c r="I9" s="1">
        <f>IF(AND(tc_values_matrix!F8=$A9,I$2=tc_values_matrix!J$1),tc_values_matrix!J9*$C$3,0)</f>
        <v>0</v>
      </c>
      <c r="J9" s="1">
        <f>IF(AND(tc_values_matrix!G8=$A9,J$2=tc_values_matrix!K$1),tc_values_matrix!K9*$C$3,0)</f>
        <v>0</v>
      </c>
      <c r="K9" s="1">
        <f>IF(AND(tc_values_matrix!H8=$A9,K$2=tc_values_matrix!L$1),tc_values_matrix!L9*$C$3,0)</f>
        <v>0</v>
      </c>
      <c r="M9">
        <v>0.93</v>
      </c>
      <c r="N9">
        <f>tc_values_matrix!F58</f>
        <v>0.5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CF0-EBD5-BF4C-9012-04C5AFA48317}">
  <dimension ref="A1:L9"/>
  <sheetViews>
    <sheetView workbookViewId="0">
      <selection activeCell="C2" sqref="C2"/>
    </sheetView>
  </sheetViews>
  <sheetFormatPr baseColWidth="10" defaultRowHeight="15" x14ac:dyDescent="0.2"/>
  <sheetData>
    <row r="1" spans="1:12" x14ac:dyDescent="0.2">
      <c r="A1" t="str">
        <f>parameters!A1</f>
        <v>Product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">
      <c r="A2" t="str">
        <f>parameters!A2</f>
        <v>Food packaging 2d</v>
      </c>
      <c r="B2" s="1">
        <f>hist!$AD2*(1+parameters!$B2)^(B$1-hist!$AD$1)</f>
        <v>203.27546657212321</v>
      </c>
      <c r="C2" s="1">
        <f>hist!$AD2*(1+parameters!$B2)^(C$1-hist!$AD$1)</f>
        <v>208.35735323642629</v>
      </c>
      <c r="D2" s="1">
        <f>hist!$AD2*(1+parameters!$B2)^(D$1-hist!$AD$1)</f>
        <v>213.56628706733693</v>
      </c>
      <c r="E2" s="1">
        <f>hist!$AD2*(1+parameters!$B2)^(E$1-hist!$AD$1)</f>
        <v>218.90544424402034</v>
      </c>
      <c r="F2" s="1">
        <f>hist!$AD2*(1+parameters!$B2)^(F$1-hist!$AD$1)</f>
        <v>224.37808035012083</v>
      </c>
      <c r="G2" s="1">
        <f>hist!$AD2*(1+parameters!$B2)^(G$1-hist!$AD$1)</f>
        <v>229.98753235887384</v>
      </c>
      <c r="H2" s="1">
        <f>hist!$AD2*(1+parameters!$B2)^(H$1-hist!$AD$1)</f>
        <v>235.73722066784569</v>
      </c>
      <c r="I2" s="1">
        <f>hist!$AD2*(1+parameters!$B2)^(I$1-hist!$AD$1)</f>
        <v>241.63065118454182</v>
      </c>
      <c r="J2" s="1">
        <f>hist!$AD2*(1+parameters!$B2)^(J$1-hist!$AD$1)</f>
        <v>247.6714174641553</v>
      </c>
      <c r="K2" s="1">
        <f>hist!$AD2*(1+parameters!$B2)^(K$1-hist!$AD$1)</f>
        <v>253.86320290075921</v>
      </c>
      <c r="L2" s="1">
        <f>hist!$AD2*(1+parameters!$B2)^(L$1-hist!$AD$1)</f>
        <v>260.20978297327815</v>
      </c>
    </row>
    <row r="3" spans="1:12" x14ac:dyDescent="0.2">
      <c r="A3" t="str">
        <f>parameters!A3</f>
        <v>Food packaging bottles</v>
      </c>
      <c r="B3" s="1">
        <f>hist!$AD3*(1+parameters!$B3)^(B$1-hist!$AD$1)</f>
        <v>690.46230674878461</v>
      </c>
      <c r="C3" s="1">
        <f>hist!$AD3*(1+parameters!$B3)^(C$1-hist!$AD$1)</f>
        <v>707.03340211075545</v>
      </c>
      <c r="D3" s="1">
        <f>hist!$AD3*(1+parameters!$B3)^(D$1-hist!$AD$1)</f>
        <v>724.00220376141363</v>
      </c>
      <c r="E3" s="1">
        <f>hist!$AD3*(1+parameters!$B3)^(E$1-hist!$AD$1)</f>
        <v>741.37825665168748</v>
      </c>
      <c r="F3" s="1">
        <f>hist!$AD3*(1+parameters!$B3)^(F$1-hist!$AD$1)</f>
        <v>759.17133481132805</v>
      </c>
      <c r="G3" s="1">
        <f>hist!$AD3*(1+parameters!$B3)^(G$1-hist!$AD$1)</f>
        <v>777.39144684679979</v>
      </c>
      <c r="H3" s="1">
        <f>hist!$AD3*(1+parameters!$B3)^(H$1-hist!$AD$1)</f>
        <v>796.04884157112315</v>
      </c>
      <c r="I3" s="1">
        <f>hist!$AD3*(1+parameters!$B3)^(I$1-hist!$AD$1)</f>
        <v>815.15401376882994</v>
      </c>
      <c r="J3" s="1">
        <f>hist!$AD3*(1+parameters!$B3)^(J$1-hist!$AD$1)</f>
        <v>834.71771009928182</v>
      </c>
      <c r="K3" s="1">
        <f>hist!$AD3*(1+parameters!$B3)^(K$1-hist!$AD$1)</f>
        <v>854.75093514166463</v>
      </c>
      <c r="L3" s="1">
        <f>hist!$AD3*(1+parameters!$B3)^(L$1-hist!$AD$1)</f>
        <v>875.26495758506474</v>
      </c>
    </row>
    <row r="4" spans="1:12" x14ac:dyDescent="0.2">
      <c r="A4" t="str">
        <f>parameters!A4</f>
        <v>Food packaging other</v>
      </c>
      <c r="B4" s="1">
        <f>hist!$AD4*(1+parameters!$B4)^(B$1-hist!$AD$1)</f>
        <v>1397.1073238119939</v>
      </c>
      <c r="C4" s="1">
        <f>hist!$AD4*(1+parameters!$B4)^(C$1-hist!$AD$1)</f>
        <v>1447.4031874692257</v>
      </c>
      <c r="D4" s="1">
        <f>hist!$AD4*(1+parameters!$B4)^(D$1-hist!$AD$1)</f>
        <v>1499.5097022181178</v>
      </c>
      <c r="E4" s="1">
        <f>hist!$AD4*(1+parameters!$B4)^(E$1-hist!$AD$1)</f>
        <v>1553.4920514979701</v>
      </c>
      <c r="F4" s="1">
        <f>hist!$AD4*(1+parameters!$B4)^(F$1-hist!$AD$1)</f>
        <v>1609.4177653518971</v>
      </c>
      <c r="G4" s="1">
        <f>hist!$AD4*(1+parameters!$B4)^(G$1-hist!$AD$1)</f>
        <v>1667.3568049045653</v>
      </c>
      <c r="H4" s="1">
        <f>hist!$AD4*(1+parameters!$B4)^(H$1-hist!$AD$1)</f>
        <v>1727.3816498811298</v>
      </c>
      <c r="I4" s="1">
        <f>hist!$AD4*(1+parameters!$B4)^(I$1-hist!$AD$1)</f>
        <v>1789.5673892768505</v>
      </c>
      <c r="J4" s="1">
        <f>hist!$AD4*(1+parameters!$B4)^(J$1-hist!$AD$1)</f>
        <v>1853.9918152908172</v>
      </c>
      <c r="K4" s="1">
        <f>hist!$AD4*(1+parameters!$B4)^(K$1-hist!$AD$1)</f>
        <v>1920.7355206412865</v>
      </c>
      <c r="L4" s="1">
        <f>hist!$AD4*(1+parameters!$B4)^(L$1-hist!$AD$1)</f>
        <v>1989.8819993843731</v>
      </c>
    </row>
    <row r="5" spans="1:12" x14ac:dyDescent="0.2">
      <c r="A5" t="str">
        <f>parameters!A5</f>
        <v>Non-food packaging 2d</v>
      </c>
      <c r="B5" s="1">
        <f>hist!$AD5*(1+parameters!$B5)^(B$1-hist!$AD$1)</f>
        <v>162.62037325769856</v>
      </c>
      <c r="C5" s="1">
        <f>hist!$AD5*(1+parameters!$B5)^(C$1-hist!$AD$1)</f>
        <v>166.68588258914104</v>
      </c>
      <c r="D5" s="1">
        <f>hist!$AD5*(1+parameters!$B5)^(D$1-hist!$AD$1)</f>
        <v>170.85302965386956</v>
      </c>
      <c r="E5" s="1">
        <f>hist!$AD5*(1+parameters!$B5)^(E$1-hist!$AD$1)</f>
        <v>175.12435539521627</v>
      </c>
      <c r="F5" s="1">
        <f>hist!$AD5*(1+parameters!$B5)^(F$1-hist!$AD$1)</f>
        <v>179.50246428009666</v>
      </c>
      <c r="G5" s="1">
        <f>hist!$AD5*(1+parameters!$B5)^(G$1-hist!$AD$1)</f>
        <v>183.99002588709908</v>
      </c>
      <c r="H5" s="1">
        <f>hist!$AD5*(1+parameters!$B5)^(H$1-hist!$AD$1)</f>
        <v>188.58977653427655</v>
      </c>
      <c r="I5" s="1">
        <f>hist!$AD5*(1+parameters!$B5)^(I$1-hist!$AD$1)</f>
        <v>193.30452094763345</v>
      </c>
      <c r="J5" s="1">
        <f>hist!$AD5*(1+parameters!$B5)^(J$1-hist!$AD$1)</f>
        <v>198.13713397132426</v>
      </c>
      <c r="K5" s="1">
        <f>hist!$AD5*(1+parameters!$B5)^(K$1-hist!$AD$1)</f>
        <v>203.09056232060738</v>
      </c>
      <c r="L5" s="1">
        <f>hist!$AD5*(1+parameters!$B5)^(L$1-hist!$AD$1)</f>
        <v>208.16782637862255</v>
      </c>
    </row>
    <row r="6" spans="1:12" x14ac:dyDescent="0.2">
      <c r="A6" t="str">
        <f>parameters!A6</f>
        <v>Non-food packaging bottles</v>
      </c>
      <c r="B6" s="1">
        <f>hist!$AD6*(1+parameters!$B6)^(B$1-hist!$AD$1)</f>
        <v>1056.0011750275528</v>
      </c>
      <c r="C6" s="1">
        <f>hist!$AD6*(1+parameters!$B6)^(C$1-hist!$AD$1)</f>
        <v>1081.3452032282139</v>
      </c>
      <c r="D6" s="1">
        <f>hist!$AD6*(1+parameters!$B6)^(D$1-hist!$AD$1)</f>
        <v>1107.2974881056912</v>
      </c>
      <c r="E6" s="1">
        <f>hist!$AD6*(1+parameters!$B6)^(E$1-hist!$AD$1)</f>
        <v>1133.8726278202278</v>
      </c>
      <c r="F6" s="1">
        <f>hist!$AD6*(1+parameters!$B6)^(F$1-hist!$AD$1)</f>
        <v>1161.0855708879133</v>
      </c>
      <c r="G6" s="1">
        <f>hist!$AD6*(1+parameters!$B6)^(G$1-hist!$AD$1)</f>
        <v>1188.951624589223</v>
      </c>
      <c r="H6" s="1">
        <f>hist!$AD6*(1+parameters!$B6)^(H$1-hist!$AD$1)</f>
        <v>1217.4864635793647</v>
      </c>
      <c r="I6" s="1">
        <f>hist!$AD6*(1+parameters!$B6)^(I$1-hist!$AD$1)</f>
        <v>1246.706138705269</v>
      </c>
      <c r="J6" s="1">
        <f>hist!$AD6*(1+parameters!$B6)^(J$1-hist!$AD$1)</f>
        <v>1276.6270860341956</v>
      </c>
      <c r="K6" s="1">
        <f>hist!$AD6*(1+parameters!$B6)^(K$1-hist!$AD$1)</f>
        <v>1307.2661360990162</v>
      </c>
      <c r="L6" s="1">
        <f>hist!$AD6*(1+parameters!$B6)^(L$1-hist!$AD$1)</f>
        <v>1338.6405233653929</v>
      </c>
    </row>
    <row r="7" spans="1:12" x14ac:dyDescent="0.2">
      <c r="A7" t="str">
        <f>parameters!A7</f>
        <v>Non-food packaging other</v>
      </c>
      <c r="B7" s="1">
        <f>hist!$AD7*(1+parameters!$B7)^(B$1-hist!$AD$1)</f>
        <v>534.18809439870347</v>
      </c>
      <c r="C7" s="1">
        <f>hist!$AD7*(1+parameters!$B7)^(C$1-hist!$AD$1)</f>
        <v>553.41886579705681</v>
      </c>
      <c r="D7" s="1">
        <f>hist!$AD7*(1+parameters!$B7)^(D$1-hist!$AD$1)</f>
        <v>573.34194496575083</v>
      </c>
      <c r="E7" s="1">
        <f>hist!$AD7*(1+parameters!$B7)^(E$1-hist!$AD$1)</f>
        <v>593.98225498451791</v>
      </c>
      <c r="F7" s="1">
        <f>hist!$AD7*(1+parameters!$B7)^(F$1-hist!$AD$1)</f>
        <v>615.36561616396057</v>
      </c>
      <c r="G7" s="1">
        <f>hist!$AD7*(1+parameters!$B7)^(G$1-hist!$AD$1)</f>
        <v>637.5187783458631</v>
      </c>
      <c r="H7" s="1">
        <f>hist!$AD7*(1+parameters!$B7)^(H$1-hist!$AD$1)</f>
        <v>660.46945436631427</v>
      </c>
      <c r="I7" s="1">
        <f>hist!$AD7*(1+parameters!$B7)^(I$1-hist!$AD$1)</f>
        <v>684.24635472350155</v>
      </c>
      <c r="J7" s="1">
        <f>hist!$AD7*(1+parameters!$B7)^(J$1-hist!$AD$1)</f>
        <v>708.87922349354767</v>
      </c>
      <c r="K7" s="1">
        <f>hist!$AD7*(1+parameters!$B7)^(K$1-hist!$AD$1)</f>
        <v>734.39887553931533</v>
      </c>
      <c r="L7" s="1">
        <f>hist!$AD7*(1+parameters!$B7)^(L$1-hist!$AD$1)</f>
        <v>760.8372350587307</v>
      </c>
    </row>
    <row r="8" spans="1:12" x14ac:dyDescent="0.2">
      <c r="A8" t="str">
        <f>parameters!A8</f>
        <v>Fibers</v>
      </c>
      <c r="B8" s="1">
        <f>hist!$AD8*(1+parameters!$B8)^(B$1-hist!$AD$1)</f>
        <v>2709.1</v>
      </c>
      <c r="C8" s="1">
        <f>hist!$AD8*(1+parameters!$B8)^(C$1-hist!$AD$1)</f>
        <v>2839.1368000000002</v>
      </c>
      <c r="D8" s="1">
        <f>hist!$AD8*(1+parameters!$B8)^(D$1-hist!$AD$1)</f>
        <v>2975.4153664</v>
      </c>
      <c r="E8" s="1">
        <f>hist!$AD8*(1+parameters!$B8)^(E$1-hist!$AD$1)</f>
        <v>3118.235303987201</v>
      </c>
      <c r="F8" s="1">
        <f>hist!$AD8*(1+parameters!$B8)^(F$1-hist!$AD$1)</f>
        <v>3267.9105985785868</v>
      </c>
      <c r="G8" s="1">
        <f>hist!$AD8*(1+parameters!$B8)^(G$1-hist!$AD$1)</f>
        <v>3424.7703073103594</v>
      </c>
      <c r="H8" s="1">
        <f>hist!$AD8*(1+parameters!$B8)^(H$1-hist!$AD$1)</f>
        <v>3589.1592820612564</v>
      </c>
      <c r="I8" s="1">
        <f>hist!$AD8*(1+parameters!$B8)^(I$1-hist!$AD$1)</f>
        <v>3761.4389276001975</v>
      </c>
      <c r="J8" s="1">
        <f>hist!$AD8*(1+parameters!$B8)^(J$1-hist!$AD$1)</f>
        <v>3941.9879961250072</v>
      </c>
      <c r="K8" s="1">
        <f>hist!$AD8*(1+parameters!$B8)^(K$1-hist!$AD$1)</f>
        <v>4131.2034199390082</v>
      </c>
      <c r="L8" s="1">
        <f>hist!$AD8*(1+parameters!$B8)^(L$1-hist!$AD$1)</f>
        <v>4329.5011840960806</v>
      </c>
    </row>
    <row r="9" spans="1:12" x14ac:dyDescent="0.2">
      <c r="C9">
        <f>B2*(1+parameters!B2)</f>
        <v>208.35735323642626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564E-5730-554E-B772-5334DE3B5BA9}">
  <dimension ref="A1:I8"/>
  <sheetViews>
    <sheetView workbookViewId="0">
      <selection activeCell="B2" sqref="B2"/>
    </sheetView>
  </sheetViews>
  <sheetFormatPr baseColWidth="10" defaultRowHeight="15" x14ac:dyDescent="0.2"/>
  <cols>
    <col min="2" max="8" width="8.83203125" customWidth="1"/>
  </cols>
  <sheetData>
    <row r="1" spans="1:9" x14ac:dyDescent="0.2">
      <c r="A1" t="str">
        <f>partitioning!A1</f>
        <v>Product</v>
      </c>
      <c r="B1" t="str">
        <f>partitioning!B1</f>
        <v>from_Food packaging 2d</v>
      </c>
      <c r="C1" t="str">
        <f>partitioning!C1</f>
        <v>from_Food packaging bottles</v>
      </c>
      <c r="D1" t="str">
        <f>partitioning!D1</f>
        <v>from_Food packaging other</v>
      </c>
      <c r="E1" t="str">
        <f>partitioning!E1</f>
        <v>from_Non-food packaging 2d</v>
      </c>
      <c r="F1" t="str">
        <f>partitioning!F1</f>
        <v>from_Non-food packaging bottles</v>
      </c>
      <c r="G1" t="str">
        <f>partitioning!G1</f>
        <v>from_Non-food packaging other</v>
      </c>
      <c r="H1" t="str">
        <f>partitioning!H1</f>
        <v>from_Fibers</v>
      </c>
      <c r="I1" t="s">
        <v>52</v>
      </c>
    </row>
    <row r="2" spans="1:9" x14ac:dyDescent="0.2">
      <c r="A2" t="str">
        <f>partitioning!A2</f>
        <v>Food packaging 2d</v>
      </c>
      <c r="B2" s="1">
        <f>flows!$B3*partitioning!B2</f>
        <v>0</v>
      </c>
      <c r="C2" s="1">
        <f>flows!$B3*partitioning!C2</f>
        <v>0</v>
      </c>
      <c r="D2" s="1">
        <f>flows!$B3*partitioning!D2</f>
        <v>0</v>
      </c>
      <c r="E2" s="1">
        <f>flows!$B3*partitioning!E2</f>
        <v>0</v>
      </c>
      <c r="F2" s="1">
        <f>flows!$B3*partitioning!F2</f>
        <v>0</v>
      </c>
      <c r="G2" s="1">
        <f>flows!$B3*partitioning!G2</f>
        <v>0</v>
      </c>
      <c r="H2" s="1">
        <f>flows!$B3*partitioning!H2</f>
        <v>0</v>
      </c>
      <c r="I2" s="1">
        <f>SUM(B2:H2)</f>
        <v>0</v>
      </c>
    </row>
    <row r="3" spans="1:9" x14ac:dyDescent="0.2">
      <c r="A3" t="str">
        <f>partitioning!A3</f>
        <v>Food packaging bottles</v>
      </c>
      <c r="B3" s="1">
        <f>flows!$B4*partitioning!B3</f>
        <v>0</v>
      </c>
      <c r="C3" s="1">
        <f>flows!$B4*partitioning!C3</f>
        <v>136.02107442951058</v>
      </c>
      <c r="D3" s="1">
        <f>flows!$B4*partitioning!D3</f>
        <v>0</v>
      </c>
      <c r="E3" s="1">
        <f>flows!$B4*partitioning!E3</f>
        <v>0</v>
      </c>
      <c r="F3" s="1">
        <f>flows!$B4*partitioning!F3</f>
        <v>0</v>
      </c>
      <c r="G3" s="1">
        <f>flows!$B4*partitioning!G3</f>
        <v>0</v>
      </c>
      <c r="H3" s="1">
        <f>flows!$B4*partitioning!H3</f>
        <v>0</v>
      </c>
      <c r="I3" s="1">
        <f t="shared" ref="I3:I8" si="0">SUM(B3:H3)</f>
        <v>136.02107442951058</v>
      </c>
    </row>
    <row r="4" spans="1:9" x14ac:dyDescent="0.2">
      <c r="A4" t="str">
        <f>partitioning!A4</f>
        <v>Food packaging other</v>
      </c>
      <c r="B4" s="1">
        <f>flows!$B5*partitioning!B4</f>
        <v>0</v>
      </c>
      <c r="C4" s="1">
        <f>flows!$B5*partitioning!C4</f>
        <v>558.84292952479757</v>
      </c>
      <c r="D4" s="1">
        <f>flows!$B5*partitioning!D4</f>
        <v>1257.3965914307946</v>
      </c>
      <c r="E4" s="1">
        <f>flows!$B5*partitioning!E4</f>
        <v>0</v>
      </c>
      <c r="F4" s="1">
        <f>flows!$B5*partitioning!F4</f>
        <v>0</v>
      </c>
      <c r="G4" s="1">
        <f>flows!$B5*partitioning!G4</f>
        <v>0</v>
      </c>
      <c r="H4" s="1">
        <f>flows!$B5*partitioning!H4</f>
        <v>0</v>
      </c>
      <c r="I4" s="1">
        <f t="shared" si="0"/>
        <v>1816.2395209555921</v>
      </c>
    </row>
    <row r="5" spans="1:9" x14ac:dyDescent="0.2">
      <c r="A5" t="str">
        <f>partitioning!A5</f>
        <v>Non-food packaging 2d</v>
      </c>
      <c r="B5" s="1">
        <f>flows!$B6*partitioning!B5</f>
        <v>0</v>
      </c>
      <c r="C5" s="1">
        <f>flows!$B6*partitioning!C5</f>
        <v>0</v>
      </c>
      <c r="D5" s="1">
        <f>flows!$B6*partitioning!D5</f>
        <v>0</v>
      </c>
      <c r="E5" s="1">
        <f>flows!$B6*partitioning!E5</f>
        <v>0</v>
      </c>
      <c r="F5" s="1">
        <f>flows!$B6*partitioning!F5</f>
        <v>0</v>
      </c>
      <c r="G5" s="1">
        <f>flows!$B6*partitioning!G5</f>
        <v>0</v>
      </c>
      <c r="H5" s="1">
        <f>flows!$B6*partitioning!H5</f>
        <v>0</v>
      </c>
      <c r="I5" s="1">
        <f t="shared" si="0"/>
        <v>0</v>
      </c>
    </row>
    <row r="6" spans="1:9" x14ac:dyDescent="0.2">
      <c r="A6" t="str">
        <f>partitioning!A6</f>
        <v>Non-food packaging bottles</v>
      </c>
      <c r="B6" s="1">
        <f>flows!$B7*partitioning!B6</f>
        <v>0</v>
      </c>
      <c r="C6" s="1">
        <f>flows!$B7*partitioning!C6</f>
        <v>103.48811515270017</v>
      </c>
      <c r="D6" s="1">
        <f>flows!$B7*partitioning!D6</f>
        <v>0</v>
      </c>
      <c r="E6" s="1">
        <f>flows!$B7*partitioning!E6</f>
        <v>0</v>
      </c>
      <c r="F6" s="1">
        <f>flows!$B7*partitioning!F6</f>
        <v>311.52034663312804</v>
      </c>
      <c r="G6" s="1">
        <f>flows!$B7*partitioning!G6</f>
        <v>0</v>
      </c>
      <c r="H6" s="1">
        <f>flows!$B7*partitioning!H6</f>
        <v>0</v>
      </c>
      <c r="I6" s="1">
        <f t="shared" si="0"/>
        <v>415.00846178582822</v>
      </c>
    </row>
    <row r="7" spans="1:9" x14ac:dyDescent="0.2">
      <c r="A7" t="str">
        <f>partitioning!A7</f>
        <v>Non-food packaging other</v>
      </c>
      <c r="B7" s="1">
        <f>flows!$B8*partitioning!B7</f>
        <v>534.18809439870347</v>
      </c>
      <c r="C7" s="1">
        <f>flows!$B8*partitioning!C7</f>
        <v>80.128214159805523</v>
      </c>
      <c r="D7" s="1">
        <f>flows!$B8*partitioning!D7</f>
        <v>53.418809439870351</v>
      </c>
      <c r="E7" s="1">
        <f>flows!$B8*partitioning!E7</f>
        <v>534.18809439870347</v>
      </c>
      <c r="F7" s="1">
        <f>flows!$B8*partitioning!F7</f>
        <v>293.80345191928694</v>
      </c>
      <c r="G7" s="1">
        <f>flows!$B8*partitioning!G7</f>
        <v>534.18809439870347</v>
      </c>
      <c r="H7" s="1">
        <f>flows!$B8*partitioning!H7</f>
        <v>0</v>
      </c>
      <c r="I7" s="1">
        <f t="shared" si="0"/>
        <v>2029.9147587150733</v>
      </c>
    </row>
    <row r="8" spans="1:9" x14ac:dyDescent="0.2">
      <c r="A8" t="str">
        <f>partitioning!A8</f>
        <v>Fibers</v>
      </c>
      <c r="B8" s="1">
        <f>flows!$B9*partitioning!B8</f>
        <v>0</v>
      </c>
      <c r="C8" s="1">
        <f>flows!$B9*partitioning!C8</f>
        <v>419.91049999999996</v>
      </c>
      <c r="D8" s="1">
        <f>flows!$B9*partitioning!D8</f>
        <v>0</v>
      </c>
      <c r="E8" s="1">
        <f>flows!$B9*partitioning!E8</f>
        <v>0</v>
      </c>
      <c r="F8" s="1">
        <f>flows!$B9*partitioning!F8</f>
        <v>419.91049999999996</v>
      </c>
      <c r="G8" s="1">
        <f>flows!$B9*partitioning!G8</f>
        <v>0</v>
      </c>
      <c r="H8" s="1">
        <f>flows!$B9*partitioning!H8</f>
        <v>2709.1</v>
      </c>
      <c r="I8" s="1">
        <f t="shared" si="0"/>
        <v>3548.9209999999998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0B9-66E5-6E45-8D8E-C02B333B4520}">
  <dimension ref="A1:M46"/>
  <sheetViews>
    <sheetView workbookViewId="0">
      <selection activeCell="T50" sqref="T50"/>
    </sheetView>
  </sheetViews>
  <sheetFormatPr baseColWidth="10" defaultRowHeight="15" x14ac:dyDescent="0.2"/>
  <cols>
    <col min="1" max="1" width="14.5" bestFit="1" customWidth="1"/>
    <col min="5" max="5" width="17.1640625" bestFit="1" customWidth="1"/>
    <col min="7" max="7" width="17.1640625" bestFit="1" customWidth="1"/>
  </cols>
  <sheetData>
    <row r="1" spans="1:8" x14ac:dyDescent="0.2">
      <c r="A1" t="s">
        <v>39</v>
      </c>
      <c r="B1" t="s">
        <v>38</v>
      </c>
      <c r="C1" t="s">
        <v>42</v>
      </c>
      <c r="D1" t="s">
        <v>43</v>
      </c>
      <c r="E1" t="s">
        <v>46</v>
      </c>
      <c r="F1" t="s">
        <v>10</v>
      </c>
      <c r="G1" t="s">
        <v>1</v>
      </c>
      <c r="H1" t="s">
        <v>10</v>
      </c>
    </row>
    <row r="2" spans="1:8" x14ac:dyDescent="0.2">
      <c r="A2" t="s">
        <v>37</v>
      </c>
      <c r="B2">
        <v>5549</v>
      </c>
      <c r="C2" t="s">
        <v>40</v>
      </c>
      <c r="D2">
        <v>3618</v>
      </c>
      <c r="E2" t="s">
        <v>40</v>
      </c>
      <c r="F2">
        <v>2167</v>
      </c>
      <c r="G2" t="s">
        <v>45</v>
      </c>
      <c r="H2">
        <v>1793</v>
      </c>
    </row>
    <row r="3" spans="1:8" x14ac:dyDescent="0.2">
      <c r="A3" s="4" t="s">
        <v>40</v>
      </c>
      <c r="B3">
        <v>2717</v>
      </c>
      <c r="C3" t="s">
        <v>41</v>
      </c>
      <c r="D3">
        <v>1017</v>
      </c>
      <c r="E3" t="s">
        <v>49</v>
      </c>
      <c r="F3">
        <v>87</v>
      </c>
      <c r="G3" t="s">
        <v>47</v>
      </c>
      <c r="H3">
        <v>540</v>
      </c>
    </row>
    <row r="4" spans="1:8" x14ac:dyDescent="0.2">
      <c r="A4" s="4" t="s">
        <v>41</v>
      </c>
      <c r="B4">
        <v>457</v>
      </c>
      <c r="C4" t="s">
        <v>12</v>
      </c>
      <c r="D4">
        <v>486</v>
      </c>
      <c r="E4" t="s">
        <v>50</v>
      </c>
      <c r="F4">
        <v>157</v>
      </c>
      <c r="G4" t="s">
        <v>48</v>
      </c>
      <c r="H4">
        <v>5</v>
      </c>
    </row>
    <row r="5" spans="1:8" x14ac:dyDescent="0.2">
      <c r="A5" s="4" t="s">
        <v>12</v>
      </c>
      <c r="B5">
        <v>265</v>
      </c>
      <c r="C5" t="s">
        <v>44</v>
      </c>
      <c r="D5">
        <v>2577</v>
      </c>
    </row>
    <row r="6" spans="1:8" x14ac:dyDescent="0.2">
      <c r="A6" s="4" t="s">
        <v>11</v>
      </c>
      <c r="B6">
        <v>2110</v>
      </c>
    </row>
    <row r="46" spans="13:13" x14ac:dyDescent="0.2">
      <c r="M46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DA7-C7A4-9E4F-B9D6-0F5043505F11}">
  <dimension ref="A1:AB64"/>
  <sheetViews>
    <sheetView zoomScale="94" zoomScaleNormal="100" workbookViewId="0">
      <pane ySplit="1" topLeftCell="A21" activePane="bottomLeft" state="frozen"/>
      <selection pane="bottomLeft" activeCell="L48" sqref="L48"/>
    </sheetView>
  </sheetViews>
  <sheetFormatPr baseColWidth="10" defaultRowHeight="15" x14ac:dyDescent="0.2"/>
  <cols>
    <col min="2" max="2" width="13.6640625" bestFit="1" customWidth="1"/>
    <col min="3" max="3" width="23.1640625" bestFit="1" customWidth="1"/>
    <col min="4" max="4" width="8.83203125" customWidth="1"/>
    <col min="5" max="5" width="6.33203125" bestFit="1" customWidth="1"/>
    <col min="6" max="6" width="25.6640625" bestFit="1" customWidth="1"/>
    <col min="7" max="7" width="18.83203125" bestFit="1" customWidth="1"/>
    <col min="8" max="8" width="8.1640625" customWidth="1"/>
    <col min="9" max="9" width="8.33203125" customWidth="1"/>
    <col min="10" max="10" width="9.33203125" customWidth="1"/>
    <col min="11" max="11" width="10" customWidth="1"/>
    <col min="12" max="12" width="12.33203125" bestFit="1" customWidth="1"/>
    <col min="13" max="13" width="9.33203125" customWidth="1"/>
    <col min="14" max="14" width="6.83203125" customWidth="1"/>
    <col min="15" max="15" width="4.5" bestFit="1" customWidth="1"/>
  </cols>
  <sheetData>
    <row r="1" spans="1:28" x14ac:dyDescent="0.2">
      <c r="A1" t="str">
        <f>parameters!A1</f>
        <v>Product</v>
      </c>
      <c r="B1" t="s">
        <v>27</v>
      </c>
      <c r="C1" t="s">
        <v>28</v>
      </c>
      <c r="D1" t="str">
        <f>"to_"&amp;""&amp;C21</f>
        <v>to_Manufacturing</v>
      </c>
      <c r="E1" t="str">
        <f>"to_"&amp;""&amp;C22</f>
        <v>to_Use</v>
      </c>
      <c r="F1" t="str">
        <f>"to_"&amp;""&amp;C23</f>
        <v>to_Collection - source seperated</v>
      </c>
      <c r="G1" t="str">
        <f>"to_"&amp;""&amp;C24</f>
        <v>to_Collection - residual</v>
      </c>
      <c r="H1" t="str">
        <f>"to_"&amp;""&amp;C25</f>
        <v>to_Sorting</v>
      </c>
      <c r="I1" t="str">
        <f>"to_"&amp;""&amp;C26</f>
        <v xml:space="preserve">to_Landfill </v>
      </c>
      <c r="J1" t="str">
        <f>"to_"&amp;""&amp;C27</f>
        <v>to_Incineration</v>
      </c>
      <c r="K1" t="str">
        <f>"to_"&amp;""&amp;C28</f>
        <v>to_Reprocessing</v>
      </c>
      <c r="L1" t="s">
        <v>84</v>
      </c>
      <c r="M1" t="s">
        <v>56</v>
      </c>
      <c r="N1" t="s">
        <v>85</v>
      </c>
      <c r="O1" t="s">
        <v>52</v>
      </c>
    </row>
    <row r="2" spans="1:28" x14ac:dyDescent="0.2">
      <c r="A2" t="str">
        <f>parameters!A2</f>
        <v>Food packaging 2d</v>
      </c>
      <c r="B2">
        <v>1</v>
      </c>
      <c r="C2" t="s">
        <v>69</v>
      </c>
      <c r="D2">
        <v>1</v>
      </c>
      <c r="O2">
        <f t="shared" ref="O2:O33" si="0">SUM(D2:N2)</f>
        <v>1</v>
      </c>
    </row>
    <row r="3" spans="1:28" x14ac:dyDescent="0.2">
      <c r="A3" t="str">
        <f>A2</f>
        <v>Food packaging 2d</v>
      </c>
      <c r="B3">
        <v>2</v>
      </c>
      <c r="C3" s="2" t="s">
        <v>2</v>
      </c>
      <c r="E3">
        <v>0.84</v>
      </c>
      <c r="K3">
        <v>0.08</v>
      </c>
      <c r="L3">
        <v>0.08</v>
      </c>
      <c r="O3">
        <f t="shared" si="0"/>
        <v>0.99999999999999989</v>
      </c>
      <c r="Q3" s="2"/>
      <c r="T3" s="21"/>
      <c r="U3" s="2"/>
      <c r="V3" s="2"/>
      <c r="X3" s="21"/>
      <c r="AA3" s="21"/>
    </row>
    <row r="4" spans="1:28" x14ac:dyDescent="0.2">
      <c r="A4" t="str">
        <f t="shared" ref="A4:A10" si="1">A3</f>
        <v>Food packaging 2d</v>
      </c>
      <c r="B4">
        <v>3</v>
      </c>
      <c r="C4" s="2" t="s">
        <v>70</v>
      </c>
      <c r="F4">
        <v>0.7</v>
      </c>
      <c r="G4">
        <v>0.3</v>
      </c>
      <c r="O4">
        <f t="shared" si="0"/>
        <v>1</v>
      </c>
      <c r="Q4" s="2"/>
      <c r="U4" s="21"/>
      <c r="V4" s="21"/>
    </row>
    <row r="5" spans="1:28" x14ac:dyDescent="0.2">
      <c r="A5" t="str">
        <f t="shared" si="1"/>
        <v>Food packaging 2d</v>
      </c>
      <c r="B5">
        <v>4</v>
      </c>
      <c r="C5" s="2" t="s">
        <v>81</v>
      </c>
      <c r="H5">
        <v>0.71</v>
      </c>
      <c r="L5">
        <v>0.28999999999999998</v>
      </c>
      <c r="O5">
        <f t="shared" si="0"/>
        <v>1</v>
      </c>
      <c r="Q5" s="2"/>
      <c r="V5" s="21"/>
      <c r="AA5" s="21"/>
    </row>
    <row r="6" spans="1:28" x14ac:dyDescent="0.2">
      <c r="A6" t="str">
        <f t="shared" si="1"/>
        <v>Food packaging 2d</v>
      </c>
      <c r="B6">
        <v>5</v>
      </c>
      <c r="C6" s="2" t="s">
        <v>82</v>
      </c>
      <c r="I6">
        <v>0.4</v>
      </c>
      <c r="J6">
        <v>0.6</v>
      </c>
      <c r="O6">
        <f t="shared" si="0"/>
        <v>1</v>
      </c>
      <c r="Q6" s="2"/>
      <c r="V6" s="21"/>
      <c r="X6" s="21"/>
      <c r="Y6" s="21"/>
    </row>
    <row r="7" spans="1:28" x14ac:dyDescent="0.2">
      <c r="A7" t="str">
        <f t="shared" si="1"/>
        <v>Food packaging 2d</v>
      </c>
      <c r="B7">
        <v>6</v>
      </c>
      <c r="C7" s="2" t="s">
        <v>71</v>
      </c>
      <c r="I7">
        <v>0.17</v>
      </c>
      <c r="J7">
        <v>0.25</v>
      </c>
      <c r="K7">
        <v>0.57999999999999996</v>
      </c>
      <c r="O7">
        <f t="shared" si="0"/>
        <v>1</v>
      </c>
      <c r="Q7" s="2"/>
      <c r="X7" s="21"/>
      <c r="Y7" s="21"/>
      <c r="Z7" s="21"/>
    </row>
    <row r="8" spans="1:28" x14ac:dyDescent="0.2">
      <c r="A8" t="str">
        <f t="shared" si="1"/>
        <v>Food packaging 2d</v>
      </c>
      <c r="B8">
        <v>7</v>
      </c>
      <c r="C8" s="2" t="s">
        <v>80</v>
      </c>
      <c r="M8">
        <v>1</v>
      </c>
      <c r="O8">
        <f t="shared" si="0"/>
        <v>1</v>
      </c>
      <c r="Q8" s="2"/>
    </row>
    <row r="9" spans="1:28" x14ac:dyDescent="0.2">
      <c r="A9" t="str">
        <f t="shared" si="1"/>
        <v>Food packaging 2d</v>
      </c>
      <c r="B9">
        <v>8</v>
      </c>
      <c r="C9" s="2" t="s">
        <v>3</v>
      </c>
      <c r="M9">
        <v>1</v>
      </c>
      <c r="O9">
        <f t="shared" si="0"/>
        <v>1</v>
      </c>
      <c r="Q9" s="2"/>
    </row>
    <row r="10" spans="1:28" x14ac:dyDescent="0.2">
      <c r="A10" t="str">
        <f t="shared" si="1"/>
        <v>Food packaging 2d</v>
      </c>
      <c r="B10" s="22">
        <v>9</v>
      </c>
      <c r="C10" s="22" t="s">
        <v>72</v>
      </c>
      <c r="D10" s="22"/>
      <c r="E10" s="22"/>
      <c r="F10" s="22"/>
      <c r="G10" s="22"/>
      <c r="H10" s="22"/>
      <c r="I10" s="22">
        <v>8.7999999999999995E-2</v>
      </c>
      <c r="J10" s="22">
        <v>0.13500000000000001</v>
      </c>
      <c r="K10" s="22"/>
      <c r="L10" s="22"/>
      <c r="M10" s="22"/>
      <c r="N10" s="22">
        <v>0.77700000000000002</v>
      </c>
      <c r="O10">
        <f t="shared" si="0"/>
        <v>1</v>
      </c>
      <c r="R10" s="4"/>
      <c r="Y10" s="21"/>
      <c r="AB10" s="21"/>
    </row>
    <row r="11" spans="1:28" x14ac:dyDescent="0.2">
      <c r="A11" s="23" t="str">
        <f>parameters!A3</f>
        <v>Food packaging bottles</v>
      </c>
      <c r="B11" s="23">
        <v>1</v>
      </c>
      <c r="C11" s="23" t="s">
        <v>69</v>
      </c>
      <c r="D11">
        <v>1</v>
      </c>
      <c r="O11">
        <f t="shared" si="0"/>
        <v>1</v>
      </c>
    </row>
    <row r="12" spans="1:28" x14ac:dyDescent="0.2">
      <c r="A12" t="str">
        <f>A11</f>
        <v>Food packaging bottles</v>
      </c>
      <c r="B12">
        <v>2</v>
      </c>
      <c r="C12" s="2" t="s">
        <v>2</v>
      </c>
      <c r="E12">
        <v>0.84</v>
      </c>
      <c r="K12">
        <v>0.08</v>
      </c>
      <c r="L12">
        <v>0.08</v>
      </c>
      <c r="O12">
        <f t="shared" si="0"/>
        <v>0.99999999999999989</v>
      </c>
    </row>
    <row r="13" spans="1:28" x14ac:dyDescent="0.2">
      <c r="A13" t="str">
        <f t="shared" ref="A13:A19" si="2">A12</f>
        <v>Food packaging bottles</v>
      </c>
      <c r="B13">
        <v>3</v>
      </c>
      <c r="C13" s="2" t="s">
        <v>70</v>
      </c>
      <c r="F13">
        <v>0.57999999999999996</v>
      </c>
      <c r="G13">
        <v>0.42</v>
      </c>
      <c r="O13">
        <f t="shared" si="0"/>
        <v>1</v>
      </c>
    </row>
    <row r="14" spans="1:28" x14ac:dyDescent="0.2">
      <c r="A14" t="str">
        <f t="shared" si="2"/>
        <v>Food packaging bottles</v>
      </c>
      <c r="B14">
        <v>4</v>
      </c>
      <c r="C14" s="2" t="s">
        <v>81</v>
      </c>
      <c r="H14">
        <v>0.71</v>
      </c>
      <c r="L14">
        <v>0.28999999999999998</v>
      </c>
      <c r="O14">
        <f t="shared" si="0"/>
        <v>1</v>
      </c>
    </row>
    <row r="15" spans="1:28" x14ac:dyDescent="0.2">
      <c r="A15" t="str">
        <f t="shared" si="2"/>
        <v>Food packaging bottles</v>
      </c>
      <c r="B15">
        <v>5</v>
      </c>
      <c r="C15" s="2" t="s">
        <v>82</v>
      </c>
      <c r="I15">
        <v>0.4</v>
      </c>
      <c r="J15">
        <v>0.6</v>
      </c>
      <c r="O15">
        <f t="shared" si="0"/>
        <v>1</v>
      </c>
    </row>
    <row r="16" spans="1:28" x14ac:dyDescent="0.2">
      <c r="A16" t="str">
        <f t="shared" si="2"/>
        <v>Food packaging bottles</v>
      </c>
      <c r="B16">
        <v>6</v>
      </c>
      <c r="C16" s="2" t="s">
        <v>71</v>
      </c>
      <c r="I16">
        <v>7.0000000000000007E-2</v>
      </c>
      <c r="J16">
        <v>0.1</v>
      </c>
      <c r="K16">
        <v>0.83</v>
      </c>
      <c r="O16">
        <f t="shared" si="0"/>
        <v>1</v>
      </c>
    </row>
    <row r="17" spans="1:15" x14ac:dyDescent="0.2">
      <c r="A17" t="str">
        <f t="shared" si="2"/>
        <v>Food packaging bottles</v>
      </c>
      <c r="B17">
        <v>7</v>
      </c>
      <c r="C17" s="2" t="s">
        <v>80</v>
      </c>
      <c r="M17">
        <v>1</v>
      </c>
      <c r="O17">
        <f t="shared" si="0"/>
        <v>1</v>
      </c>
    </row>
    <row r="18" spans="1:15" x14ac:dyDescent="0.2">
      <c r="A18" t="str">
        <f t="shared" si="2"/>
        <v>Food packaging bottles</v>
      </c>
      <c r="B18">
        <v>8</v>
      </c>
      <c r="C18" s="2" t="s">
        <v>3</v>
      </c>
      <c r="M18">
        <v>1</v>
      </c>
      <c r="O18">
        <f t="shared" si="0"/>
        <v>1</v>
      </c>
    </row>
    <row r="19" spans="1:15" x14ac:dyDescent="0.2">
      <c r="A19" t="str">
        <f t="shared" si="2"/>
        <v>Food packaging bottles</v>
      </c>
      <c r="B19" s="22">
        <v>9</v>
      </c>
      <c r="C19" s="22" t="s">
        <v>72</v>
      </c>
      <c r="D19" s="22"/>
      <c r="E19" s="22"/>
      <c r="F19" s="22"/>
      <c r="G19" s="22"/>
      <c r="H19" s="22"/>
      <c r="I19" s="22">
        <v>6.6000000000000003E-2</v>
      </c>
      <c r="J19" s="22">
        <v>0.10100000000000001</v>
      </c>
      <c r="K19" s="22"/>
      <c r="L19" s="22"/>
      <c r="M19" s="22"/>
      <c r="N19" s="22">
        <v>0.83299999999999996</v>
      </c>
      <c r="O19">
        <f t="shared" si="0"/>
        <v>1</v>
      </c>
    </row>
    <row r="20" spans="1:15" x14ac:dyDescent="0.2">
      <c r="A20" s="1" t="str">
        <f>parameters!A4</f>
        <v>Food packaging other</v>
      </c>
      <c r="B20">
        <v>1</v>
      </c>
      <c r="C20" t="s">
        <v>69</v>
      </c>
      <c r="D20">
        <v>1</v>
      </c>
      <c r="O20">
        <f t="shared" si="0"/>
        <v>1</v>
      </c>
    </row>
    <row r="21" spans="1:15" x14ac:dyDescent="0.2">
      <c r="A21" s="1" t="str">
        <f>A20</f>
        <v>Food packaging other</v>
      </c>
      <c r="B21">
        <v>2</v>
      </c>
      <c r="C21" s="2" t="s">
        <v>2</v>
      </c>
      <c r="E21">
        <v>0.84</v>
      </c>
      <c r="K21">
        <v>0.08</v>
      </c>
      <c r="L21">
        <v>0.08</v>
      </c>
      <c r="O21">
        <f t="shared" si="0"/>
        <v>0.99999999999999989</v>
      </c>
    </row>
    <row r="22" spans="1:15" x14ac:dyDescent="0.2">
      <c r="A22" s="1" t="str">
        <f t="shared" ref="A22:A28" si="3">A21</f>
        <v>Food packaging other</v>
      </c>
      <c r="B22">
        <v>3</v>
      </c>
      <c r="C22" s="2" t="s">
        <v>70</v>
      </c>
      <c r="F22">
        <v>0.55000000000000004</v>
      </c>
      <c r="G22">
        <v>0.45</v>
      </c>
      <c r="O22">
        <f t="shared" si="0"/>
        <v>1</v>
      </c>
    </row>
    <row r="23" spans="1:15" x14ac:dyDescent="0.2">
      <c r="A23" s="1" t="str">
        <f t="shared" si="3"/>
        <v>Food packaging other</v>
      </c>
      <c r="B23">
        <v>4</v>
      </c>
      <c r="C23" s="2" t="s">
        <v>81</v>
      </c>
      <c r="H23">
        <v>0.71</v>
      </c>
      <c r="L23">
        <v>0.28999999999999998</v>
      </c>
      <c r="O23">
        <f t="shared" si="0"/>
        <v>1</v>
      </c>
    </row>
    <row r="24" spans="1:15" x14ac:dyDescent="0.2">
      <c r="A24" s="1" t="str">
        <f t="shared" si="3"/>
        <v>Food packaging other</v>
      </c>
      <c r="B24">
        <v>5</v>
      </c>
      <c r="C24" s="2" t="s">
        <v>82</v>
      </c>
      <c r="I24">
        <v>0.4</v>
      </c>
      <c r="J24">
        <v>0.6</v>
      </c>
      <c r="O24">
        <f t="shared" si="0"/>
        <v>1</v>
      </c>
    </row>
    <row r="25" spans="1:15" x14ac:dyDescent="0.2">
      <c r="A25" s="1" t="str">
        <f t="shared" si="3"/>
        <v>Food packaging other</v>
      </c>
      <c r="B25">
        <v>6</v>
      </c>
      <c r="C25" s="2" t="s">
        <v>71</v>
      </c>
      <c r="I25">
        <v>0.3</v>
      </c>
      <c r="J25">
        <v>0.46</v>
      </c>
      <c r="K25">
        <v>0.24</v>
      </c>
      <c r="O25">
        <f t="shared" si="0"/>
        <v>1</v>
      </c>
    </row>
    <row r="26" spans="1:15" x14ac:dyDescent="0.2">
      <c r="A26" s="1" t="str">
        <f t="shared" si="3"/>
        <v>Food packaging other</v>
      </c>
      <c r="B26">
        <v>7</v>
      </c>
      <c r="C26" s="2" t="s">
        <v>80</v>
      </c>
      <c r="M26">
        <v>1</v>
      </c>
      <c r="O26">
        <f t="shared" si="0"/>
        <v>1</v>
      </c>
    </row>
    <row r="27" spans="1:15" x14ac:dyDescent="0.2">
      <c r="A27" s="1" t="str">
        <f t="shared" si="3"/>
        <v>Food packaging other</v>
      </c>
      <c r="B27">
        <v>8</v>
      </c>
      <c r="C27" s="2" t="s">
        <v>3</v>
      </c>
      <c r="M27">
        <v>1</v>
      </c>
      <c r="O27">
        <f t="shared" si="0"/>
        <v>1</v>
      </c>
    </row>
    <row r="28" spans="1:15" x14ac:dyDescent="0.2">
      <c r="A28" s="1" t="str">
        <f t="shared" si="3"/>
        <v>Food packaging other</v>
      </c>
      <c r="B28" s="22">
        <v>9</v>
      </c>
      <c r="C28" s="22" t="s">
        <v>72</v>
      </c>
      <c r="D28" s="22"/>
      <c r="E28" s="22"/>
      <c r="F28" s="22"/>
      <c r="G28" s="22"/>
      <c r="H28" s="22"/>
      <c r="I28" s="22">
        <v>8.7999999999999995E-2</v>
      </c>
      <c r="J28" s="22">
        <v>0.13500000000000001</v>
      </c>
      <c r="K28" s="22"/>
      <c r="L28" s="22"/>
      <c r="M28" s="22"/>
      <c r="N28" s="22">
        <v>0.77700000000000002</v>
      </c>
      <c r="O28">
        <f t="shared" si="0"/>
        <v>1</v>
      </c>
    </row>
    <row r="29" spans="1:15" x14ac:dyDescent="0.2">
      <c r="A29" s="24" t="str">
        <f>parameters!A5</f>
        <v>Non-food packaging 2d</v>
      </c>
      <c r="B29" s="23">
        <v>1</v>
      </c>
      <c r="C29" s="23" t="s">
        <v>69</v>
      </c>
      <c r="D29">
        <v>1</v>
      </c>
      <c r="O29">
        <f t="shared" si="0"/>
        <v>1</v>
      </c>
    </row>
    <row r="30" spans="1:15" x14ac:dyDescent="0.2">
      <c r="A30" s="1" t="str">
        <f>A29</f>
        <v>Non-food packaging 2d</v>
      </c>
      <c r="B30">
        <v>2</v>
      </c>
      <c r="C30" s="2" t="s">
        <v>2</v>
      </c>
      <c r="E30">
        <v>0.84</v>
      </c>
      <c r="K30">
        <v>0.08</v>
      </c>
      <c r="L30">
        <v>0.08</v>
      </c>
      <c r="O30">
        <f t="shared" si="0"/>
        <v>0.99999999999999989</v>
      </c>
    </row>
    <row r="31" spans="1:15" x14ac:dyDescent="0.2">
      <c r="A31" s="1" t="str">
        <f t="shared" ref="A31:A37" si="4">A30</f>
        <v>Non-food packaging 2d</v>
      </c>
      <c r="B31">
        <v>3</v>
      </c>
      <c r="C31" s="2" t="s">
        <v>70</v>
      </c>
      <c r="F31">
        <v>0.7</v>
      </c>
      <c r="G31">
        <v>0.3</v>
      </c>
      <c r="O31">
        <f t="shared" si="0"/>
        <v>1</v>
      </c>
    </row>
    <row r="32" spans="1:15" x14ac:dyDescent="0.2">
      <c r="A32" s="1" t="str">
        <f t="shared" si="4"/>
        <v>Non-food packaging 2d</v>
      </c>
      <c r="B32">
        <v>4</v>
      </c>
      <c r="C32" s="2" t="s">
        <v>81</v>
      </c>
      <c r="H32">
        <v>0.71</v>
      </c>
      <c r="L32">
        <v>0.28999999999999998</v>
      </c>
      <c r="O32">
        <f t="shared" si="0"/>
        <v>1</v>
      </c>
    </row>
    <row r="33" spans="1:15" x14ac:dyDescent="0.2">
      <c r="A33" s="1" t="str">
        <f t="shared" si="4"/>
        <v>Non-food packaging 2d</v>
      </c>
      <c r="B33">
        <v>5</v>
      </c>
      <c r="C33" s="2" t="s">
        <v>82</v>
      </c>
      <c r="I33">
        <v>0.4</v>
      </c>
      <c r="J33">
        <v>0.6</v>
      </c>
      <c r="O33">
        <f t="shared" si="0"/>
        <v>1</v>
      </c>
    </row>
    <row r="34" spans="1:15" x14ac:dyDescent="0.2">
      <c r="A34" s="1" t="str">
        <f t="shared" si="4"/>
        <v>Non-food packaging 2d</v>
      </c>
      <c r="B34">
        <v>6</v>
      </c>
      <c r="C34" s="2" t="s">
        <v>71</v>
      </c>
      <c r="I34">
        <v>0.17</v>
      </c>
      <c r="J34">
        <v>0.25</v>
      </c>
      <c r="K34">
        <v>0.57999999999999996</v>
      </c>
      <c r="O34">
        <f t="shared" ref="O34:O64" si="5">SUM(D34:N34)</f>
        <v>1</v>
      </c>
    </row>
    <row r="35" spans="1:15" x14ac:dyDescent="0.2">
      <c r="A35" s="1" t="str">
        <f t="shared" si="4"/>
        <v>Non-food packaging 2d</v>
      </c>
      <c r="B35">
        <v>7</v>
      </c>
      <c r="C35" s="2" t="s">
        <v>80</v>
      </c>
      <c r="M35">
        <v>1</v>
      </c>
      <c r="O35">
        <f t="shared" si="5"/>
        <v>1</v>
      </c>
    </row>
    <row r="36" spans="1:15" x14ac:dyDescent="0.2">
      <c r="A36" s="1" t="str">
        <f t="shared" si="4"/>
        <v>Non-food packaging 2d</v>
      </c>
      <c r="B36">
        <v>8</v>
      </c>
      <c r="C36" s="2" t="s">
        <v>3</v>
      </c>
      <c r="M36">
        <v>1</v>
      </c>
      <c r="O36">
        <f t="shared" si="5"/>
        <v>1</v>
      </c>
    </row>
    <row r="37" spans="1:15" x14ac:dyDescent="0.2">
      <c r="A37" s="1" t="str">
        <f t="shared" si="4"/>
        <v>Non-food packaging 2d</v>
      </c>
      <c r="B37" s="22">
        <v>9</v>
      </c>
      <c r="C37" s="22" t="s">
        <v>72</v>
      </c>
      <c r="D37" s="22"/>
      <c r="E37" s="22"/>
      <c r="F37" s="22"/>
      <c r="G37" s="22"/>
      <c r="H37" s="22"/>
      <c r="I37" s="22">
        <v>8.7999999999999995E-2</v>
      </c>
      <c r="J37" s="22">
        <v>0.13500000000000001</v>
      </c>
      <c r="K37" s="22"/>
      <c r="L37" s="22"/>
      <c r="M37" s="22"/>
      <c r="N37" s="22">
        <v>0.77700000000000002</v>
      </c>
      <c r="O37">
        <f t="shared" si="5"/>
        <v>1</v>
      </c>
    </row>
    <row r="38" spans="1:15" x14ac:dyDescent="0.2">
      <c r="A38" s="1" t="str">
        <f>parameters!A6</f>
        <v>Non-food packaging bottles</v>
      </c>
      <c r="B38">
        <v>1</v>
      </c>
      <c r="C38" t="s">
        <v>69</v>
      </c>
      <c r="D38">
        <v>1</v>
      </c>
      <c r="O38">
        <f t="shared" si="5"/>
        <v>1</v>
      </c>
    </row>
    <row r="39" spans="1:15" x14ac:dyDescent="0.2">
      <c r="A39" s="1" t="str">
        <f>A38</f>
        <v>Non-food packaging bottles</v>
      </c>
      <c r="B39">
        <v>2</v>
      </c>
      <c r="C39" s="2" t="s">
        <v>2</v>
      </c>
      <c r="E39">
        <v>0.84</v>
      </c>
      <c r="K39">
        <v>0.08</v>
      </c>
      <c r="L39">
        <v>0.08</v>
      </c>
      <c r="O39">
        <f t="shared" si="5"/>
        <v>0.99999999999999989</v>
      </c>
    </row>
    <row r="40" spans="1:15" x14ac:dyDescent="0.2">
      <c r="A40" s="1" t="str">
        <f t="shared" ref="A40:A46" si="6">A39</f>
        <v>Non-food packaging bottles</v>
      </c>
      <c r="B40">
        <v>3</v>
      </c>
      <c r="C40" s="2" t="s">
        <v>70</v>
      </c>
      <c r="F40">
        <v>0.57999999999999996</v>
      </c>
      <c r="G40">
        <v>0.42</v>
      </c>
      <c r="O40">
        <f t="shared" si="5"/>
        <v>1</v>
      </c>
    </row>
    <row r="41" spans="1:15" x14ac:dyDescent="0.2">
      <c r="A41" s="1" t="str">
        <f t="shared" si="6"/>
        <v>Non-food packaging bottles</v>
      </c>
      <c r="B41">
        <v>4</v>
      </c>
      <c r="C41" s="2" t="s">
        <v>81</v>
      </c>
      <c r="H41">
        <v>0.71</v>
      </c>
      <c r="L41">
        <v>0.28999999999999998</v>
      </c>
      <c r="O41">
        <f t="shared" si="5"/>
        <v>1</v>
      </c>
    </row>
    <row r="42" spans="1:15" x14ac:dyDescent="0.2">
      <c r="A42" s="1" t="str">
        <f t="shared" si="6"/>
        <v>Non-food packaging bottles</v>
      </c>
      <c r="B42">
        <v>5</v>
      </c>
      <c r="C42" s="2" t="s">
        <v>82</v>
      </c>
      <c r="I42">
        <v>0.4</v>
      </c>
      <c r="J42">
        <v>0.6</v>
      </c>
      <c r="O42">
        <f t="shared" si="5"/>
        <v>1</v>
      </c>
    </row>
    <row r="43" spans="1:15" x14ac:dyDescent="0.2">
      <c r="A43" s="1" t="str">
        <f t="shared" si="6"/>
        <v>Non-food packaging bottles</v>
      </c>
      <c r="B43">
        <v>6</v>
      </c>
      <c r="C43" s="2" t="s">
        <v>71</v>
      </c>
      <c r="I43">
        <v>7.0000000000000007E-2</v>
      </c>
      <c r="J43">
        <v>0.1</v>
      </c>
      <c r="K43">
        <v>0.83</v>
      </c>
      <c r="O43">
        <f t="shared" si="5"/>
        <v>1</v>
      </c>
    </row>
    <row r="44" spans="1:15" x14ac:dyDescent="0.2">
      <c r="A44" s="1" t="str">
        <f t="shared" si="6"/>
        <v>Non-food packaging bottles</v>
      </c>
      <c r="B44">
        <v>7</v>
      </c>
      <c r="C44" s="2" t="s">
        <v>80</v>
      </c>
      <c r="M44">
        <v>1</v>
      </c>
      <c r="O44">
        <f t="shared" si="5"/>
        <v>1</v>
      </c>
    </row>
    <row r="45" spans="1:15" x14ac:dyDescent="0.2">
      <c r="A45" s="1" t="str">
        <f t="shared" si="6"/>
        <v>Non-food packaging bottles</v>
      </c>
      <c r="B45">
        <v>8</v>
      </c>
      <c r="C45" s="2" t="s">
        <v>3</v>
      </c>
      <c r="M45">
        <v>1</v>
      </c>
      <c r="O45">
        <f t="shared" si="5"/>
        <v>1</v>
      </c>
    </row>
    <row r="46" spans="1:15" x14ac:dyDescent="0.2">
      <c r="A46" s="1" t="str">
        <f t="shared" si="6"/>
        <v>Non-food packaging bottles</v>
      </c>
      <c r="B46" s="22">
        <v>9</v>
      </c>
      <c r="C46" s="22" t="s">
        <v>72</v>
      </c>
      <c r="D46" s="22"/>
      <c r="E46" s="22"/>
      <c r="F46" s="22"/>
      <c r="G46" s="22"/>
      <c r="H46" s="22"/>
      <c r="I46" s="22">
        <v>6.6000000000000003E-2</v>
      </c>
      <c r="J46" s="22">
        <v>0.10100000000000001</v>
      </c>
      <c r="K46" s="22"/>
      <c r="L46" s="22"/>
      <c r="M46" s="22"/>
      <c r="N46" s="22">
        <v>0.83299999999999996</v>
      </c>
      <c r="O46">
        <f t="shared" si="5"/>
        <v>1</v>
      </c>
    </row>
    <row r="47" spans="1:15" x14ac:dyDescent="0.2">
      <c r="A47" s="24" t="str">
        <f>parameters!A7</f>
        <v>Non-food packaging other</v>
      </c>
      <c r="B47" s="23">
        <v>1</v>
      </c>
      <c r="C47" s="23" t="s">
        <v>69</v>
      </c>
      <c r="D47">
        <v>1</v>
      </c>
      <c r="O47">
        <f t="shared" si="5"/>
        <v>1</v>
      </c>
    </row>
    <row r="48" spans="1:15" x14ac:dyDescent="0.2">
      <c r="A48" s="1" t="str">
        <f>A47</f>
        <v>Non-food packaging other</v>
      </c>
      <c r="B48">
        <v>2</v>
      </c>
      <c r="C48" s="2" t="s">
        <v>2</v>
      </c>
      <c r="E48">
        <v>0.84</v>
      </c>
      <c r="K48">
        <v>0.08</v>
      </c>
      <c r="L48">
        <v>0.08</v>
      </c>
      <c r="O48">
        <f t="shared" si="5"/>
        <v>0.99999999999999989</v>
      </c>
    </row>
    <row r="49" spans="1:15" x14ac:dyDescent="0.2">
      <c r="A49" s="1" t="str">
        <f t="shared" ref="A49:A55" si="7">A48</f>
        <v>Non-food packaging other</v>
      </c>
      <c r="B49">
        <v>3</v>
      </c>
      <c r="C49" s="2" t="s">
        <v>70</v>
      </c>
      <c r="F49">
        <v>0.55000000000000004</v>
      </c>
      <c r="G49">
        <v>0.45</v>
      </c>
      <c r="O49">
        <f t="shared" si="5"/>
        <v>1</v>
      </c>
    </row>
    <row r="50" spans="1:15" x14ac:dyDescent="0.2">
      <c r="A50" s="1" t="str">
        <f t="shared" si="7"/>
        <v>Non-food packaging other</v>
      </c>
      <c r="B50">
        <v>4</v>
      </c>
      <c r="C50" s="2" t="s">
        <v>81</v>
      </c>
      <c r="H50">
        <v>0.71</v>
      </c>
      <c r="L50">
        <v>0.28999999999999998</v>
      </c>
      <c r="O50">
        <f t="shared" si="5"/>
        <v>1</v>
      </c>
    </row>
    <row r="51" spans="1:15" x14ac:dyDescent="0.2">
      <c r="A51" s="1" t="str">
        <f t="shared" si="7"/>
        <v>Non-food packaging other</v>
      </c>
      <c r="B51">
        <v>5</v>
      </c>
      <c r="C51" s="2" t="s">
        <v>82</v>
      </c>
      <c r="I51">
        <v>0.4</v>
      </c>
      <c r="J51">
        <v>0.6</v>
      </c>
      <c r="O51">
        <f t="shared" si="5"/>
        <v>1</v>
      </c>
    </row>
    <row r="52" spans="1:15" x14ac:dyDescent="0.2">
      <c r="A52" s="1" t="str">
        <f t="shared" si="7"/>
        <v>Non-food packaging other</v>
      </c>
      <c r="B52">
        <v>6</v>
      </c>
      <c r="C52" s="2" t="s">
        <v>71</v>
      </c>
      <c r="I52">
        <v>0.3</v>
      </c>
      <c r="J52">
        <v>0.46</v>
      </c>
      <c r="K52">
        <v>0.24</v>
      </c>
      <c r="O52">
        <f t="shared" si="5"/>
        <v>1</v>
      </c>
    </row>
    <row r="53" spans="1:15" x14ac:dyDescent="0.2">
      <c r="A53" s="1" t="str">
        <f t="shared" si="7"/>
        <v>Non-food packaging other</v>
      </c>
      <c r="B53">
        <v>7</v>
      </c>
      <c r="C53" s="2" t="s">
        <v>80</v>
      </c>
      <c r="M53">
        <v>1</v>
      </c>
      <c r="O53">
        <f t="shared" si="5"/>
        <v>1</v>
      </c>
    </row>
    <row r="54" spans="1:15" x14ac:dyDescent="0.2">
      <c r="A54" s="1" t="str">
        <f t="shared" si="7"/>
        <v>Non-food packaging other</v>
      </c>
      <c r="B54">
        <v>8</v>
      </c>
      <c r="C54" s="2" t="s">
        <v>3</v>
      </c>
      <c r="M54">
        <v>1</v>
      </c>
      <c r="O54">
        <f t="shared" si="5"/>
        <v>1</v>
      </c>
    </row>
    <row r="55" spans="1:15" x14ac:dyDescent="0.2">
      <c r="A55" s="1" t="str">
        <f t="shared" si="7"/>
        <v>Non-food packaging other</v>
      </c>
      <c r="B55" s="22">
        <v>9</v>
      </c>
      <c r="C55" s="22" t="s">
        <v>72</v>
      </c>
      <c r="D55" s="22"/>
      <c r="E55" s="22"/>
      <c r="F55" s="22"/>
      <c r="G55" s="22"/>
      <c r="H55" s="22"/>
      <c r="I55" s="22">
        <v>8.7999999999999995E-2</v>
      </c>
      <c r="J55" s="22">
        <v>0.13500000000000001</v>
      </c>
      <c r="K55" s="22"/>
      <c r="L55" s="22"/>
      <c r="M55" s="22"/>
      <c r="N55" s="22">
        <v>0.77700000000000002</v>
      </c>
      <c r="O55">
        <f t="shared" si="5"/>
        <v>1</v>
      </c>
    </row>
    <row r="56" spans="1:15" x14ac:dyDescent="0.2">
      <c r="A56" s="24" t="str">
        <f>parameters!A8</f>
        <v>Fibers</v>
      </c>
      <c r="B56" s="23">
        <v>1</v>
      </c>
      <c r="C56" s="23" t="s">
        <v>69</v>
      </c>
      <c r="D56">
        <v>1</v>
      </c>
      <c r="O56">
        <f t="shared" si="5"/>
        <v>1</v>
      </c>
    </row>
    <row r="57" spans="1:15" x14ac:dyDescent="0.2">
      <c r="A57" s="1" t="str">
        <f>A56</f>
        <v>Fibers</v>
      </c>
      <c r="B57">
        <v>2</v>
      </c>
      <c r="C57" s="2" t="s">
        <v>2</v>
      </c>
      <c r="E57">
        <v>0.93</v>
      </c>
      <c r="K57">
        <v>7.0000000000000007E-2</v>
      </c>
      <c r="O57">
        <f t="shared" si="5"/>
        <v>1</v>
      </c>
    </row>
    <row r="58" spans="1:15" x14ac:dyDescent="0.2">
      <c r="A58" s="1" t="str">
        <f t="shared" ref="A58:A64" si="8">A57</f>
        <v>Fibers</v>
      </c>
      <c r="B58">
        <v>3</v>
      </c>
      <c r="C58" s="2" t="s">
        <v>70</v>
      </c>
      <c r="F58">
        <v>0.5</v>
      </c>
      <c r="G58">
        <v>0.5</v>
      </c>
      <c r="O58">
        <f t="shared" si="5"/>
        <v>1</v>
      </c>
    </row>
    <row r="59" spans="1:15" x14ac:dyDescent="0.2">
      <c r="A59" s="1" t="str">
        <f t="shared" si="8"/>
        <v>Fibers</v>
      </c>
      <c r="B59">
        <v>4</v>
      </c>
      <c r="C59" s="2" t="s">
        <v>81</v>
      </c>
      <c r="H59">
        <v>0.91</v>
      </c>
      <c r="L59">
        <v>0.09</v>
      </c>
      <c r="O59">
        <f t="shared" si="5"/>
        <v>1</v>
      </c>
    </row>
    <row r="60" spans="1:15" x14ac:dyDescent="0.2">
      <c r="A60" s="1" t="str">
        <f t="shared" si="8"/>
        <v>Fibers</v>
      </c>
      <c r="B60">
        <v>5</v>
      </c>
      <c r="C60" s="2" t="s">
        <v>82</v>
      </c>
      <c r="I60">
        <v>0.4</v>
      </c>
      <c r="J60">
        <v>0.6</v>
      </c>
      <c r="O60">
        <f t="shared" si="5"/>
        <v>1</v>
      </c>
    </row>
    <row r="61" spans="1:15" x14ac:dyDescent="0.2">
      <c r="A61" s="1" t="str">
        <f t="shared" si="8"/>
        <v>Fibers</v>
      </c>
      <c r="B61">
        <v>6</v>
      </c>
      <c r="C61" s="2" t="s">
        <v>71</v>
      </c>
      <c r="I61">
        <v>0.4</v>
      </c>
      <c r="J61">
        <v>0.6</v>
      </c>
      <c r="O61">
        <f t="shared" si="5"/>
        <v>1</v>
      </c>
    </row>
    <row r="62" spans="1:15" x14ac:dyDescent="0.2">
      <c r="A62" s="1" t="str">
        <f t="shared" si="8"/>
        <v>Fibers</v>
      </c>
      <c r="B62">
        <v>7</v>
      </c>
      <c r="C62" s="2" t="s">
        <v>80</v>
      </c>
      <c r="M62">
        <v>1</v>
      </c>
      <c r="O62">
        <f t="shared" si="5"/>
        <v>1</v>
      </c>
    </row>
    <row r="63" spans="1:15" x14ac:dyDescent="0.2">
      <c r="A63" s="1" t="str">
        <f t="shared" si="8"/>
        <v>Fibers</v>
      </c>
      <c r="B63">
        <v>8</v>
      </c>
      <c r="C63" s="2" t="s">
        <v>3</v>
      </c>
      <c r="M63">
        <v>1</v>
      </c>
      <c r="O63">
        <f t="shared" si="5"/>
        <v>1</v>
      </c>
    </row>
    <row r="64" spans="1:15" x14ac:dyDescent="0.2">
      <c r="A64" s="1" t="str">
        <f t="shared" si="8"/>
        <v>Fibers</v>
      </c>
      <c r="B64" s="22">
        <v>9</v>
      </c>
      <c r="C64" s="22" t="s">
        <v>72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>
        <f t="shared" si="5"/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DDDE-DF60-4E43-B7ED-8F4909467E40}">
  <dimension ref="A1:N64"/>
  <sheetViews>
    <sheetView workbookViewId="0">
      <selection activeCell="K3" sqref="K3"/>
    </sheetView>
  </sheetViews>
  <sheetFormatPr baseColWidth="10" defaultRowHeight="15" x14ac:dyDescent="0.2"/>
  <cols>
    <col min="3" max="6" width="12.83203125" bestFit="1" customWidth="1"/>
    <col min="7" max="7" width="21" bestFit="1" customWidth="1"/>
  </cols>
  <sheetData>
    <row r="1" spans="1:14" x14ac:dyDescent="0.2">
      <c r="A1" t="s">
        <v>14</v>
      </c>
      <c r="B1" t="s">
        <v>27</v>
      </c>
      <c r="C1" t="s">
        <v>28</v>
      </c>
      <c r="D1" t="str">
        <f>"to_"&amp;""&amp;C21</f>
        <v>to_Manufacturing</v>
      </c>
      <c r="E1" t="str">
        <f>"to_"&amp;""&amp;C22</f>
        <v>to_Use</v>
      </c>
      <c r="F1" t="str">
        <f>"to_"&amp;""&amp;C23</f>
        <v>to_Collection - source seperated</v>
      </c>
      <c r="G1" t="str">
        <f>"to_"&amp;""&amp;C24</f>
        <v>to_Collection - residual</v>
      </c>
      <c r="H1" t="str">
        <f>"to_"&amp;""&amp;C25</f>
        <v>to_Sorting</v>
      </c>
      <c r="I1" t="str">
        <f>"to_"&amp;""&amp;C26</f>
        <v xml:space="preserve">to_Landfill </v>
      </c>
      <c r="J1" t="str">
        <f>"to_"&amp;""&amp;C27</f>
        <v>to_Incineration</v>
      </c>
      <c r="K1" t="str">
        <f>"to_"&amp;""&amp;C28</f>
        <v>to_Reprocessing</v>
      </c>
      <c r="L1" t="s">
        <v>84</v>
      </c>
      <c r="M1" t="s">
        <v>56</v>
      </c>
      <c r="N1" t="s">
        <v>85</v>
      </c>
    </row>
    <row r="2" spans="1:14" x14ac:dyDescent="0.2">
      <c r="A2" t="str">
        <f>parameters!A2</f>
        <v>Food packaging 2d</v>
      </c>
      <c r="B2">
        <v>1</v>
      </c>
      <c r="C2" t="s">
        <v>69</v>
      </c>
      <c r="D2">
        <v>1</v>
      </c>
    </row>
    <row r="3" spans="1:14" x14ac:dyDescent="0.2">
      <c r="A3" t="str">
        <f>A2</f>
        <v>Food packaging 2d</v>
      </c>
      <c r="B3">
        <v>2</v>
      </c>
      <c r="C3" s="2" t="s">
        <v>2</v>
      </c>
      <c r="E3">
        <v>0.84</v>
      </c>
      <c r="K3">
        <v>0.08</v>
      </c>
      <c r="L3">
        <v>0.08</v>
      </c>
    </row>
    <row r="4" spans="1:14" x14ac:dyDescent="0.2">
      <c r="A4" t="str">
        <f t="shared" ref="A4:A10" si="0">A3</f>
        <v>Food packaging 2d</v>
      </c>
      <c r="B4">
        <v>3</v>
      </c>
      <c r="C4" s="2" t="s">
        <v>70</v>
      </c>
      <c r="F4">
        <v>0.7</v>
      </c>
      <c r="G4">
        <v>0.3</v>
      </c>
    </row>
    <row r="5" spans="1:14" x14ac:dyDescent="0.2">
      <c r="A5" t="str">
        <f t="shared" si="0"/>
        <v>Food packaging 2d</v>
      </c>
      <c r="B5">
        <v>4</v>
      </c>
      <c r="C5" s="2" t="s">
        <v>81</v>
      </c>
      <c r="H5">
        <v>0.71</v>
      </c>
      <c r="L5">
        <v>0.28999999999999998</v>
      </c>
    </row>
    <row r="6" spans="1:14" x14ac:dyDescent="0.2">
      <c r="A6" t="str">
        <f t="shared" si="0"/>
        <v>Food packaging 2d</v>
      </c>
      <c r="B6">
        <v>5</v>
      </c>
      <c r="C6" s="2" t="s">
        <v>82</v>
      </c>
      <c r="I6">
        <v>0.4</v>
      </c>
      <c r="J6">
        <v>0.6</v>
      </c>
    </row>
    <row r="7" spans="1:14" x14ac:dyDescent="0.2">
      <c r="A7" t="str">
        <f t="shared" si="0"/>
        <v>Food packaging 2d</v>
      </c>
      <c r="B7">
        <v>6</v>
      </c>
      <c r="C7" s="2" t="s">
        <v>71</v>
      </c>
      <c r="I7">
        <v>0.17</v>
      </c>
      <c r="J7">
        <v>0.25</v>
      </c>
      <c r="K7">
        <v>0.57999999999999996</v>
      </c>
    </row>
    <row r="8" spans="1:14" x14ac:dyDescent="0.2">
      <c r="A8" t="str">
        <f t="shared" si="0"/>
        <v>Food packaging 2d</v>
      </c>
      <c r="B8">
        <v>7</v>
      </c>
      <c r="C8" s="2" t="s">
        <v>80</v>
      </c>
      <c r="M8">
        <v>1</v>
      </c>
    </row>
    <row r="9" spans="1:14" x14ac:dyDescent="0.2">
      <c r="A9" t="str">
        <f t="shared" si="0"/>
        <v>Food packaging 2d</v>
      </c>
      <c r="B9">
        <v>8</v>
      </c>
      <c r="C9" s="2" t="s">
        <v>3</v>
      </c>
      <c r="M9">
        <v>1</v>
      </c>
    </row>
    <row r="10" spans="1:14" x14ac:dyDescent="0.2">
      <c r="A10" t="str">
        <f t="shared" si="0"/>
        <v>Food packaging 2d</v>
      </c>
      <c r="B10" s="22">
        <v>9</v>
      </c>
      <c r="C10" s="22" t="s">
        <v>72</v>
      </c>
      <c r="D10" s="22"/>
      <c r="E10" s="22"/>
      <c r="F10" s="22"/>
      <c r="G10" s="22"/>
      <c r="H10" s="22"/>
      <c r="I10" s="22">
        <v>8.7999999999999995E-2</v>
      </c>
      <c r="J10" s="22">
        <v>0.13500000000000001</v>
      </c>
      <c r="K10" s="22"/>
      <c r="L10" s="22"/>
      <c r="M10" s="22"/>
      <c r="N10" s="22">
        <v>0.77700000000000002</v>
      </c>
    </row>
    <row r="11" spans="1:14" x14ac:dyDescent="0.2">
      <c r="A11" s="23" t="str">
        <f>parameters!A3</f>
        <v>Food packaging bottles</v>
      </c>
      <c r="B11" s="23">
        <v>1</v>
      </c>
      <c r="C11" s="23" t="s">
        <v>69</v>
      </c>
      <c r="D11">
        <v>1</v>
      </c>
    </row>
    <row r="12" spans="1:14" x14ac:dyDescent="0.2">
      <c r="A12" t="str">
        <f>A11</f>
        <v>Food packaging bottles</v>
      </c>
      <c r="B12">
        <v>2</v>
      </c>
      <c r="C12" s="2" t="s">
        <v>2</v>
      </c>
      <c r="E12">
        <v>0.84</v>
      </c>
      <c r="K12">
        <v>0.08</v>
      </c>
      <c r="L12">
        <v>0.08</v>
      </c>
    </row>
    <row r="13" spans="1:14" x14ac:dyDescent="0.2">
      <c r="A13" t="str">
        <f t="shared" ref="A13:A19" si="1">A12</f>
        <v>Food packaging bottles</v>
      </c>
      <c r="B13">
        <v>3</v>
      </c>
      <c r="C13" s="2" t="s">
        <v>70</v>
      </c>
      <c r="F13">
        <v>0.57999999999999996</v>
      </c>
      <c r="G13">
        <v>0.42</v>
      </c>
    </row>
    <row r="14" spans="1:14" x14ac:dyDescent="0.2">
      <c r="A14" t="str">
        <f t="shared" si="1"/>
        <v>Food packaging bottles</v>
      </c>
      <c r="B14">
        <v>4</v>
      </c>
      <c r="C14" s="2" t="s">
        <v>81</v>
      </c>
      <c r="H14">
        <v>0.71</v>
      </c>
      <c r="L14">
        <v>0.28999999999999998</v>
      </c>
    </row>
    <row r="15" spans="1:14" x14ac:dyDescent="0.2">
      <c r="A15" t="str">
        <f t="shared" si="1"/>
        <v>Food packaging bottles</v>
      </c>
      <c r="B15">
        <v>5</v>
      </c>
      <c r="C15" s="2" t="s">
        <v>82</v>
      </c>
      <c r="I15">
        <v>0.4</v>
      </c>
      <c r="J15">
        <v>0.6</v>
      </c>
    </row>
    <row r="16" spans="1:14" x14ac:dyDescent="0.2">
      <c r="A16" t="str">
        <f t="shared" si="1"/>
        <v>Food packaging bottles</v>
      </c>
      <c r="B16">
        <v>6</v>
      </c>
      <c r="C16" s="2" t="s">
        <v>71</v>
      </c>
      <c r="I16">
        <v>7.0000000000000007E-2</v>
      </c>
      <c r="J16">
        <v>0.1</v>
      </c>
      <c r="K16">
        <v>0.83</v>
      </c>
    </row>
    <row r="17" spans="1:14" x14ac:dyDescent="0.2">
      <c r="A17" t="str">
        <f t="shared" si="1"/>
        <v>Food packaging bottles</v>
      </c>
      <c r="B17">
        <v>7</v>
      </c>
      <c r="C17" s="2" t="s">
        <v>80</v>
      </c>
      <c r="M17">
        <v>1</v>
      </c>
    </row>
    <row r="18" spans="1:14" x14ac:dyDescent="0.2">
      <c r="A18" t="str">
        <f t="shared" si="1"/>
        <v>Food packaging bottles</v>
      </c>
      <c r="B18">
        <v>8</v>
      </c>
      <c r="C18" s="2" t="s">
        <v>3</v>
      </c>
      <c r="M18">
        <v>1</v>
      </c>
    </row>
    <row r="19" spans="1:14" x14ac:dyDescent="0.2">
      <c r="A19" t="str">
        <f t="shared" si="1"/>
        <v>Food packaging bottles</v>
      </c>
      <c r="B19" s="22">
        <v>9</v>
      </c>
      <c r="C19" s="22" t="s">
        <v>72</v>
      </c>
      <c r="D19" s="22"/>
      <c r="E19" s="22"/>
      <c r="F19" s="22"/>
      <c r="G19" s="22"/>
      <c r="H19" s="22"/>
      <c r="I19" s="22">
        <v>6.6000000000000003E-2</v>
      </c>
      <c r="J19" s="22">
        <v>0.10100000000000001</v>
      </c>
      <c r="K19" s="22"/>
      <c r="L19" s="22"/>
      <c r="M19" s="22"/>
      <c r="N19" s="22">
        <v>0.83299999999999996</v>
      </c>
    </row>
    <row r="20" spans="1:14" x14ac:dyDescent="0.2">
      <c r="A20" s="1" t="str">
        <f>parameters!A4</f>
        <v>Food packaging other</v>
      </c>
      <c r="B20">
        <v>1</v>
      </c>
      <c r="C20" t="s">
        <v>69</v>
      </c>
      <c r="D20">
        <v>1</v>
      </c>
    </row>
    <row r="21" spans="1:14" x14ac:dyDescent="0.2">
      <c r="A21" s="1" t="str">
        <f>A20</f>
        <v>Food packaging other</v>
      </c>
      <c r="B21">
        <v>2</v>
      </c>
      <c r="C21" s="2" t="s">
        <v>2</v>
      </c>
      <c r="E21">
        <v>0.84</v>
      </c>
      <c r="K21">
        <v>0.08</v>
      </c>
      <c r="L21">
        <v>0.08</v>
      </c>
    </row>
    <row r="22" spans="1:14" x14ac:dyDescent="0.2">
      <c r="A22" s="1" t="str">
        <f t="shared" ref="A22:A28" si="2">A21</f>
        <v>Food packaging other</v>
      </c>
      <c r="B22">
        <v>3</v>
      </c>
      <c r="C22" s="2" t="s">
        <v>70</v>
      </c>
      <c r="F22">
        <v>0.55000000000000004</v>
      </c>
      <c r="G22">
        <v>0.45</v>
      </c>
    </row>
    <row r="23" spans="1:14" x14ac:dyDescent="0.2">
      <c r="A23" s="1" t="str">
        <f t="shared" si="2"/>
        <v>Food packaging other</v>
      </c>
      <c r="B23">
        <v>4</v>
      </c>
      <c r="C23" s="2" t="s">
        <v>81</v>
      </c>
      <c r="H23">
        <v>0.71</v>
      </c>
      <c r="L23">
        <v>0.28999999999999998</v>
      </c>
    </row>
    <row r="24" spans="1:14" x14ac:dyDescent="0.2">
      <c r="A24" s="1" t="str">
        <f t="shared" si="2"/>
        <v>Food packaging other</v>
      </c>
      <c r="B24">
        <v>5</v>
      </c>
      <c r="C24" s="2" t="s">
        <v>82</v>
      </c>
      <c r="I24">
        <v>0.4</v>
      </c>
      <c r="J24">
        <v>0.6</v>
      </c>
    </row>
    <row r="25" spans="1:14" x14ac:dyDescent="0.2">
      <c r="A25" s="1" t="str">
        <f t="shared" si="2"/>
        <v>Food packaging other</v>
      </c>
      <c r="B25">
        <v>6</v>
      </c>
      <c r="C25" s="2" t="s">
        <v>71</v>
      </c>
      <c r="I25">
        <v>0.3</v>
      </c>
      <c r="J25">
        <v>0.46</v>
      </c>
      <c r="K25">
        <v>0.24</v>
      </c>
    </row>
    <row r="26" spans="1:14" x14ac:dyDescent="0.2">
      <c r="A26" s="1" t="str">
        <f t="shared" si="2"/>
        <v>Food packaging other</v>
      </c>
      <c r="B26">
        <v>7</v>
      </c>
      <c r="C26" s="2" t="s">
        <v>80</v>
      </c>
      <c r="M26">
        <v>1</v>
      </c>
    </row>
    <row r="27" spans="1:14" x14ac:dyDescent="0.2">
      <c r="A27" s="1" t="str">
        <f t="shared" si="2"/>
        <v>Food packaging other</v>
      </c>
      <c r="B27">
        <v>8</v>
      </c>
      <c r="C27" s="2" t="s">
        <v>3</v>
      </c>
      <c r="M27">
        <v>1</v>
      </c>
    </row>
    <row r="28" spans="1:14" x14ac:dyDescent="0.2">
      <c r="A28" s="1" t="str">
        <f t="shared" si="2"/>
        <v>Food packaging other</v>
      </c>
      <c r="B28" s="22">
        <v>9</v>
      </c>
      <c r="C28" s="22" t="s">
        <v>72</v>
      </c>
      <c r="D28" s="22"/>
      <c r="E28" s="22"/>
      <c r="F28" s="22"/>
      <c r="G28" s="22"/>
      <c r="H28" s="22"/>
      <c r="I28" s="22">
        <v>8.7999999999999995E-2</v>
      </c>
      <c r="J28" s="22">
        <v>0.13500000000000001</v>
      </c>
      <c r="K28" s="22"/>
      <c r="L28" s="22"/>
      <c r="M28" s="22"/>
      <c r="N28" s="22">
        <v>0.77700000000000002</v>
      </c>
    </row>
    <row r="29" spans="1:14" x14ac:dyDescent="0.2">
      <c r="A29" s="24" t="str">
        <f>parameters!A5</f>
        <v>Non-food packaging 2d</v>
      </c>
      <c r="B29" s="23">
        <v>1</v>
      </c>
      <c r="C29" s="23" t="s">
        <v>69</v>
      </c>
      <c r="D29">
        <v>1</v>
      </c>
    </row>
    <row r="30" spans="1:14" x14ac:dyDescent="0.2">
      <c r="A30" s="1" t="str">
        <f>A29</f>
        <v>Non-food packaging 2d</v>
      </c>
      <c r="B30">
        <v>2</v>
      </c>
      <c r="C30" s="2" t="s">
        <v>2</v>
      </c>
      <c r="E30">
        <v>0.84</v>
      </c>
      <c r="K30">
        <v>0.08</v>
      </c>
      <c r="L30">
        <v>0.08</v>
      </c>
    </row>
    <row r="31" spans="1:14" x14ac:dyDescent="0.2">
      <c r="A31" s="1" t="str">
        <f t="shared" ref="A31:A37" si="3">A30</f>
        <v>Non-food packaging 2d</v>
      </c>
      <c r="B31">
        <v>3</v>
      </c>
      <c r="C31" s="2" t="s">
        <v>70</v>
      </c>
      <c r="F31">
        <v>0.7</v>
      </c>
      <c r="G31">
        <v>0.3</v>
      </c>
    </row>
    <row r="32" spans="1:14" x14ac:dyDescent="0.2">
      <c r="A32" s="1" t="str">
        <f t="shared" si="3"/>
        <v>Non-food packaging 2d</v>
      </c>
      <c r="B32">
        <v>4</v>
      </c>
      <c r="C32" s="2" t="s">
        <v>81</v>
      </c>
      <c r="H32">
        <v>0.71</v>
      </c>
      <c r="L32">
        <v>0.28999999999999998</v>
      </c>
    </row>
    <row r="33" spans="1:14" x14ac:dyDescent="0.2">
      <c r="A33" s="1" t="str">
        <f t="shared" si="3"/>
        <v>Non-food packaging 2d</v>
      </c>
      <c r="B33">
        <v>5</v>
      </c>
      <c r="C33" s="2" t="s">
        <v>82</v>
      </c>
      <c r="I33">
        <v>0.4</v>
      </c>
      <c r="J33">
        <v>0.6</v>
      </c>
    </row>
    <row r="34" spans="1:14" x14ac:dyDescent="0.2">
      <c r="A34" s="1" t="str">
        <f t="shared" si="3"/>
        <v>Non-food packaging 2d</v>
      </c>
      <c r="B34">
        <v>6</v>
      </c>
      <c r="C34" s="2" t="s">
        <v>71</v>
      </c>
      <c r="I34">
        <v>0.17</v>
      </c>
      <c r="J34">
        <v>0.25</v>
      </c>
      <c r="K34">
        <v>0.57999999999999996</v>
      </c>
    </row>
    <row r="35" spans="1:14" x14ac:dyDescent="0.2">
      <c r="A35" s="1" t="str">
        <f t="shared" si="3"/>
        <v>Non-food packaging 2d</v>
      </c>
      <c r="B35">
        <v>7</v>
      </c>
      <c r="C35" s="2" t="s">
        <v>80</v>
      </c>
      <c r="M35">
        <v>1</v>
      </c>
    </row>
    <row r="36" spans="1:14" x14ac:dyDescent="0.2">
      <c r="A36" s="1" t="str">
        <f t="shared" si="3"/>
        <v>Non-food packaging 2d</v>
      </c>
      <c r="B36">
        <v>8</v>
      </c>
      <c r="C36" s="2" t="s">
        <v>3</v>
      </c>
      <c r="M36">
        <v>1</v>
      </c>
    </row>
    <row r="37" spans="1:14" x14ac:dyDescent="0.2">
      <c r="A37" s="1" t="str">
        <f t="shared" si="3"/>
        <v>Non-food packaging 2d</v>
      </c>
      <c r="B37" s="22">
        <v>9</v>
      </c>
      <c r="C37" s="22" t="s">
        <v>72</v>
      </c>
      <c r="D37" s="22"/>
      <c r="E37" s="22"/>
      <c r="F37" s="22"/>
      <c r="G37" s="22"/>
      <c r="H37" s="22"/>
      <c r="I37" s="22">
        <v>8.7999999999999995E-2</v>
      </c>
      <c r="J37" s="22">
        <v>0.13500000000000001</v>
      </c>
      <c r="K37" s="22"/>
      <c r="L37" s="22"/>
      <c r="M37" s="22"/>
      <c r="N37" s="22">
        <v>0.77700000000000002</v>
      </c>
    </row>
    <row r="38" spans="1:14" x14ac:dyDescent="0.2">
      <c r="A38" s="1" t="str">
        <f>parameters!A6</f>
        <v>Non-food packaging bottles</v>
      </c>
      <c r="B38">
        <v>1</v>
      </c>
      <c r="C38" t="s">
        <v>69</v>
      </c>
      <c r="D38">
        <v>1</v>
      </c>
    </row>
    <row r="39" spans="1:14" x14ac:dyDescent="0.2">
      <c r="A39" s="1" t="str">
        <f>A38</f>
        <v>Non-food packaging bottles</v>
      </c>
      <c r="B39">
        <v>2</v>
      </c>
      <c r="C39" s="2" t="s">
        <v>2</v>
      </c>
      <c r="E39">
        <v>0.84</v>
      </c>
      <c r="K39">
        <v>0.08</v>
      </c>
      <c r="L39">
        <v>0.08</v>
      </c>
    </row>
    <row r="40" spans="1:14" x14ac:dyDescent="0.2">
      <c r="A40" s="1" t="str">
        <f t="shared" ref="A40:A46" si="4">A39</f>
        <v>Non-food packaging bottles</v>
      </c>
      <c r="B40">
        <v>3</v>
      </c>
      <c r="C40" s="2" t="s">
        <v>70</v>
      </c>
      <c r="F40">
        <v>0.57999999999999996</v>
      </c>
      <c r="G40">
        <v>0.42</v>
      </c>
    </row>
    <row r="41" spans="1:14" x14ac:dyDescent="0.2">
      <c r="A41" s="1" t="str">
        <f t="shared" si="4"/>
        <v>Non-food packaging bottles</v>
      </c>
      <c r="B41">
        <v>4</v>
      </c>
      <c r="C41" s="2" t="s">
        <v>81</v>
      </c>
      <c r="H41">
        <v>0.71</v>
      </c>
      <c r="L41">
        <v>0.28999999999999998</v>
      </c>
    </row>
    <row r="42" spans="1:14" x14ac:dyDescent="0.2">
      <c r="A42" s="1" t="str">
        <f t="shared" si="4"/>
        <v>Non-food packaging bottles</v>
      </c>
      <c r="B42">
        <v>5</v>
      </c>
      <c r="C42" s="2" t="s">
        <v>82</v>
      </c>
      <c r="I42">
        <v>0.4</v>
      </c>
      <c r="J42">
        <v>0.6</v>
      </c>
    </row>
    <row r="43" spans="1:14" x14ac:dyDescent="0.2">
      <c r="A43" s="1" t="str">
        <f t="shared" si="4"/>
        <v>Non-food packaging bottles</v>
      </c>
      <c r="B43">
        <v>6</v>
      </c>
      <c r="C43" s="2" t="s">
        <v>71</v>
      </c>
      <c r="I43">
        <v>7.0000000000000007E-2</v>
      </c>
      <c r="J43">
        <v>0.1</v>
      </c>
      <c r="K43">
        <v>0.83</v>
      </c>
    </row>
    <row r="44" spans="1:14" x14ac:dyDescent="0.2">
      <c r="A44" s="1" t="str">
        <f t="shared" si="4"/>
        <v>Non-food packaging bottles</v>
      </c>
      <c r="B44">
        <v>7</v>
      </c>
      <c r="C44" s="2" t="s">
        <v>80</v>
      </c>
      <c r="M44">
        <v>1</v>
      </c>
    </row>
    <row r="45" spans="1:14" x14ac:dyDescent="0.2">
      <c r="A45" s="1" t="str">
        <f t="shared" si="4"/>
        <v>Non-food packaging bottles</v>
      </c>
      <c r="B45">
        <v>8</v>
      </c>
      <c r="C45" s="2" t="s">
        <v>3</v>
      </c>
      <c r="M45">
        <v>1</v>
      </c>
    </row>
    <row r="46" spans="1:14" x14ac:dyDescent="0.2">
      <c r="A46" s="1" t="str">
        <f t="shared" si="4"/>
        <v>Non-food packaging bottles</v>
      </c>
      <c r="B46" s="22">
        <v>9</v>
      </c>
      <c r="C46" s="22" t="s">
        <v>72</v>
      </c>
      <c r="D46" s="22"/>
      <c r="E46" s="22"/>
      <c r="F46" s="22"/>
      <c r="G46" s="22"/>
      <c r="H46" s="22"/>
      <c r="I46" s="22">
        <v>6.6000000000000003E-2</v>
      </c>
      <c r="J46" s="22">
        <v>0.10100000000000001</v>
      </c>
      <c r="K46" s="22"/>
      <c r="L46" s="22"/>
      <c r="M46" s="22"/>
      <c r="N46" s="22">
        <v>0.83299999999999996</v>
      </c>
    </row>
    <row r="47" spans="1:14" x14ac:dyDescent="0.2">
      <c r="A47" s="24" t="str">
        <f>parameters!A7</f>
        <v>Non-food packaging other</v>
      </c>
      <c r="B47" s="23">
        <v>1</v>
      </c>
      <c r="C47" s="23" t="s">
        <v>69</v>
      </c>
      <c r="D47">
        <v>1</v>
      </c>
    </row>
    <row r="48" spans="1:14" x14ac:dyDescent="0.2">
      <c r="A48" s="1" t="str">
        <f>A47</f>
        <v>Non-food packaging other</v>
      </c>
      <c r="B48">
        <v>2</v>
      </c>
      <c r="C48" s="2" t="s">
        <v>2</v>
      </c>
      <c r="E48">
        <v>0.84</v>
      </c>
      <c r="K48">
        <v>0.08</v>
      </c>
      <c r="L48">
        <v>0.08</v>
      </c>
    </row>
    <row r="49" spans="1:14" x14ac:dyDescent="0.2">
      <c r="A49" s="1" t="str">
        <f t="shared" ref="A49:A55" si="5">A48</f>
        <v>Non-food packaging other</v>
      </c>
      <c r="B49">
        <v>3</v>
      </c>
      <c r="C49" s="2" t="s">
        <v>70</v>
      </c>
      <c r="F49">
        <v>0.55000000000000004</v>
      </c>
      <c r="G49">
        <v>0.45</v>
      </c>
    </row>
    <row r="50" spans="1:14" x14ac:dyDescent="0.2">
      <c r="A50" s="1" t="str">
        <f t="shared" si="5"/>
        <v>Non-food packaging other</v>
      </c>
      <c r="B50">
        <v>4</v>
      </c>
      <c r="C50" s="2" t="s">
        <v>81</v>
      </c>
      <c r="H50">
        <v>0.71</v>
      </c>
      <c r="L50">
        <v>0.28999999999999998</v>
      </c>
    </row>
    <row r="51" spans="1:14" x14ac:dyDescent="0.2">
      <c r="A51" s="1" t="str">
        <f t="shared" si="5"/>
        <v>Non-food packaging other</v>
      </c>
      <c r="B51">
        <v>5</v>
      </c>
      <c r="C51" s="2" t="s">
        <v>82</v>
      </c>
      <c r="I51">
        <v>0.4</v>
      </c>
      <c r="J51">
        <v>0.6</v>
      </c>
    </row>
    <row r="52" spans="1:14" x14ac:dyDescent="0.2">
      <c r="A52" s="1" t="str">
        <f t="shared" si="5"/>
        <v>Non-food packaging other</v>
      </c>
      <c r="B52">
        <v>6</v>
      </c>
      <c r="C52" s="2" t="s">
        <v>71</v>
      </c>
      <c r="I52">
        <v>0.3</v>
      </c>
      <c r="J52">
        <v>0.46</v>
      </c>
      <c r="K52">
        <v>0.24</v>
      </c>
    </row>
    <row r="53" spans="1:14" x14ac:dyDescent="0.2">
      <c r="A53" s="1" t="str">
        <f t="shared" si="5"/>
        <v>Non-food packaging other</v>
      </c>
      <c r="B53">
        <v>7</v>
      </c>
      <c r="C53" s="2" t="s">
        <v>80</v>
      </c>
      <c r="M53">
        <v>1</v>
      </c>
    </row>
    <row r="54" spans="1:14" x14ac:dyDescent="0.2">
      <c r="A54" s="1" t="str">
        <f t="shared" si="5"/>
        <v>Non-food packaging other</v>
      </c>
      <c r="B54">
        <v>8</v>
      </c>
      <c r="C54" s="2" t="s">
        <v>3</v>
      </c>
      <c r="M54">
        <v>1</v>
      </c>
    </row>
    <row r="55" spans="1:14" x14ac:dyDescent="0.2">
      <c r="A55" s="1" t="str">
        <f t="shared" si="5"/>
        <v>Non-food packaging other</v>
      </c>
      <c r="B55" s="22">
        <v>9</v>
      </c>
      <c r="C55" s="22" t="s">
        <v>72</v>
      </c>
      <c r="D55" s="22"/>
      <c r="E55" s="22"/>
      <c r="F55" s="22"/>
      <c r="G55" s="22"/>
      <c r="H55" s="22"/>
      <c r="I55" s="22">
        <v>8.7999999999999995E-2</v>
      </c>
      <c r="J55" s="22">
        <v>0.13500000000000001</v>
      </c>
      <c r="K55" s="22"/>
      <c r="L55" s="22"/>
      <c r="M55" s="22"/>
      <c r="N55" s="22">
        <v>0.77700000000000002</v>
      </c>
    </row>
    <row r="56" spans="1:14" x14ac:dyDescent="0.2">
      <c r="A56" s="24" t="str">
        <f>parameters!A8</f>
        <v>Fibers</v>
      </c>
      <c r="B56" s="23">
        <v>1</v>
      </c>
      <c r="C56" s="23" t="s">
        <v>69</v>
      </c>
      <c r="D56">
        <v>1</v>
      </c>
    </row>
    <row r="57" spans="1:14" x14ac:dyDescent="0.2">
      <c r="A57" s="1" t="str">
        <f>A56</f>
        <v>Fibers</v>
      </c>
      <c r="B57">
        <v>2</v>
      </c>
      <c r="C57" s="2" t="s">
        <v>2</v>
      </c>
      <c r="E57">
        <v>0.93</v>
      </c>
      <c r="K57">
        <v>7.0000000000000007E-2</v>
      </c>
    </row>
    <row r="58" spans="1:14" x14ac:dyDescent="0.2">
      <c r="A58" s="1" t="str">
        <f t="shared" ref="A58:A64" si="6">A57</f>
        <v>Fibers</v>
      </c>
      <c r="B58">
        <v>3</v>
      </c>
      <c r="C58" s="2" t="s">
        <v>70</v>
      </c>
      <c r="F58">
        <v>0.5</v>
      </c>
      <c r="G58">
        <v>0.5</v>
      </c>
    </row>
    <row r="59" spans="1:14" x14ac:dyDescent="0.2">
      <c r="A59" s="1" t="str">
        <f t="shared" si="6"/>
        <v>Fibers</v>
      </c>
      <c r="B59">
        <v>4</v>
      </c>
      <c r="C59" s="2" t="s">
        <v>81</v>
      </c>
      <c r="H59">
        <v>0.91</v>
      </c>
      <c r="L59">
        <v>0.09</v>
      </c>
    </row>
    <row r="60" spans="1:14" x14ac:dyDescent="0.2">
      <c r="A60" s="1" t="str">
        <f t="shared" si="6"/>
        <v>Fibers</v>
      </c>
      <c r="B60">
        <v>5</v>
      </c>
      <c r="C60" s="2" t="s">
        <v>82</v>
      </c>
      <c r="I60">
        <v>0.4</v>
      </c>
      <c r="J60">
        <v>0.6</v>
      </c>
    </row>
    <row r="61" spans="1:14" x14ac:dyDescent="0.2">
      <c r="A61" s="1" t="str">
        <f t="shared" si="6"/>
        <v>Fibers</v>
      </c>
      <c r="B61">
        <v>6</v>
      </c>
      <c r="C61" s="2" t="s">
        <v>71</v>
      </c>
      <c r="I61">
        <v>0.4</v>
      </c>
      <c r="J61">
        <v>0.6</v>
      </c>
    </row>
    <row r="62" spans="1:14" x14ac:dyDescent="0.2">
      <c r="A62" s="1" t="str">
        <f t="shared" si="6"/>
        <v>Fibers</v>
      </c>
      <c r="B62">
        <v>7</v>
      </c>
      <c r="C62" s="2" t="s">
        <v>80</v>
      </c>
      <c r="M62">
        <v>1</v>
      </c>
    </row>
    <row r="63" spans="1:14" x14ac:dyDescent="0.2">
      <c r="A63" s="1" t="str">
        <f t="shared" si="6"/>
        <v>Fibers</v>
      </c>
      <c r="B63">
        <v>8</v>
      </c>
      <c r="C63" s="2" t="s">
        <v>3</v>
      </c>
      <c r="M63">
        <v>1</v>
      </c>
    </row>
    <row r="64" spans="1:14" x14ac:dyDescent="0.2">
      <c r="A64" s="1" t="str">
        <f t="shared" si="6"/>
        <v>Fibers</v>
      </c>
      <c r="B64" s="22">
        <v>9</v>
      </c>
      <c r="C64" s="22" t="s">
        <v>72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8B9-A980-314C-A392-87CA554CD9EF}">
  <dimension ref="A1:N122"/>
  <sheetViews>
    <sheetView zoomScale="94" zoomScaleNormal="100" workbookViewId="0">
      <pane ySplit="1" topLeftCell="A2" activePane="bottomLeft" state="frozen"/>
      <selection pane="bottomLeft" activeCell="G36" sqref="G3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23.83203125" bestFit="1" customWidth="1"/>
  </cols>
  <sheetData>
    <row r="1" spans="1:14" x14ac:dyDescent="0.2">
      <c r="A1" t="s">
        <v>14</v>
      </c>
      <c r="B1" t="s">
        <v>97</v>
      </c>
      <c r="C1" t="s">
        <v>96</v>
      </c>
      <c r="D1" t="s">
        <v>98</v>
      </c>
      <c r="E1" t="s">
        <v>99</v>
      </c>
    </row>
    <row r="2" spans="1:14" x14ac:dyDescent="0.2">
      <c r="A2" t="str">
        <f>parameters!A2</f>
        <v>Food packaging 2d</v>
      </c>
      <c r="B2" t="s">
        <v>69</v>
      </c>
      <c r="C2" t="s">
        <v>2</v>
      </c>
      <c r="D2" s="2">
        <v>1</v>
      </c>
    </row>
    <row r="3" spans="1:14" x14ac:dyDescent="0.2">
      <c r="A3" t="s">
        <v>63</v>
      </c>
      <c r="B3" t="s">
        <v>2</v>
      </c>
      <c r="C3" t="s">
        <v>70</v>
      </c>
      <c r="D3">
        <v>0.84</v>
      </c>
    </row>
    <row r="4" spans="1:14" x14ac:dyDescent="0.2">
      <c r="A4" t="s">
        <v>63</v>
      </c>
      <c r="B4" t="s">
        <v>2</v>
      </c>
      <c r="C4" t="s">
        <v>72</v>
      </c>
      <c r="D4">
        <v>0.08</v>
      </c>
    </row>
    <row r="5" spans="1:14" x14ac:dyDescent="0.2">
      <c r="A5" t="s">
        <v>63</v>
      </c>
      <c r="B5" t="s">
        <v>2</v>
      </c>
      <c r="C5" t="s">
        <v>83</v>
      </c>
      <c r="D5" s="2">
        <v>0.08</v>
      </c>
      <c r="F5" s="21"/>
      <c r="G5" s="2"/>
      <c r="H5" s="2"/>
      <c r="J5" s="21"/>
      <c r="M5" s="21"/>
    </row>
    <row r="6" spans="1:14" x14ac:dyDescent="0.2">
      <c r="A6" t="s">
        <v>63</v>
      </c>
      <c r="B6" t="s">
        <v>70</v>
      </c>
      <c r="C6" t="s">
        <v>92</v>
      </c>
      <c r="D6" s="2">
        <v>0.7</v>
      </c>
      <c r="E6">
        <v>92</v>
      </c>
      <c r="G6" s="21"/>
      <c r="H6" s="21"/>
    </row>
    <row r="7" spans="1:14" x14ac:dyDescent="0.2">
      <c r="A7" t="s">
        <v>63</v>
      </c>
      <c r="B7" t="s">
        <v>70</v>
      </c>
      <c r="C7" t="s">
        <v>82</v>
      </c>
      <c r="D7" s="2">
        <v>0.3</v>
      </c>
      <c r="H7" s="21"/>
      <c r="M7" s="21"/>
    </row>
    <row r="8" spans="1:14" x14ac:dyDescent="0.2">
      <c r="A8" t="s">
        <v>63</v>
      </c>
      <c r="B8" t="s">
        <v>92</v>
      </c>
      <c r="C8" t="s">
        <v>71</v>
      </c>
      <c r="D8" s="2">
        <v>0.71</v>
      </c>
      <c r="H8" s="21"/>
      <c r="J8" s="21"/>
      <c r="K8" s="21"/>
    </row>
    <row r="9" spans="1:14" x14ac:dyDescent="0.2">
      <c r="A9" t="s">
        <v>63</v>
      </c>
      <c r="B9" t="s">
        <v>92</v>
      </c>
      <c r="C9" t="s">
        <v>83</v>
      </c>
      <c r="D9" s="2">
        <v>0.28999999999999998</v>
      </c>
      <c r="J9" s="21"/>
      <c r="K9" s="21"/>
      <c r="L9" s="21"/>
    </row>
    <row r="10" spans="1:14" x14ac:dyDescent="0.2">
      <c r="A10" t="s">
        <v>63</v>
      </c>
      <c r="B10" t="s">
        <v>82</v>
      </c>
      <c r="C10" t="s">
        <v>4</v>
      </c>
      <c r="D10" s="2">
        <v>0.4</v>
      </c>
    </row>
    <row r="11" spans="1:14" x14ac:dyDescent="0.2">
      <c r="A11" t="s">
        <v>63</v>
      </c>
      <c r="B11" t="s">
        <v>82</v>
      </c>
      <c r="C11" t="s">
        <v>3</v>
      </c>
      <c r="D11" s="2">
        <v>0.6</v>
      </c>
    </row>
    <row r="12" spans="1:14" x14ac:dyDescent="0.2">
      <c r="A12" t="s">
        <v>63</v>
      </c>
      <c r="B12" t="s">
        <v>71</v>
      </c>
      <c r="C12" t="s">
        <v>4</v>
      </c>
      <c r="D12" s="4">
        <v>0.17</v>
      </c>
      <c r="K12" s="21"/>
      <c r="N12" s="21"/>
    </row>
    <row r="13" spans="1:14" x14ac:dyDescent="0.2">
      <c r="A13" t="s">
        <v>63</v>
      </c>
      <c r="B13" t="s">
        <v>71</v>
      </c>
      <c r="C13" t="s">
        <v>3</v>
      </c>
      <c r="D13" s="2">
        <v>0.25</v>
      </c>
    </row>
    <row r="14" spans="1:14" x14ac:dyDescent="0.2">
      <c r="A14" t="s">
        <v>63</v>
      </c>
      <c r="B14" t="s">
        <v>71</v>
      </c>
      <c r="C14" t="s">
        <v>72</v>
      </c>
      <c r="D14" s="2">
        <v>0.57999999999999996</v>
      </c>
    </row>
    <row r="15" spans="1:14" x14ac:dyDescent="0.2">
      <c r="A15" t="s">
        <v>63</v>
      </c>
      <c r="B15" t="s">
        <v>4</v>
      </c>
      <c r="C15" t="s">
        <v>56</v>
      </c>
      <c r="D15" s="2">
        <v>1</v>
      </c>
    </row>
    <row r="16" spans="1:14" x14ac:dyDescent="0.2">
      <c r="A16" t="s">
        <v>63</v>
      </c>
      <c r="B16" t="s">
        <v>3</v>
      </c>
      <c r="C16" t="s">
        <v>56</v>
      </c>
      <c r="D16" s="2">
        <v>1</v>
      </c>
    </row>
    <row r="17" spans="1:5" x14ac:dyDescent="0.2">
      <c r="A17" t="s">
        <v>63</v>
      </c>
      <c r="B17" t="s">
        <v>72</v>
      </c>
      <c r="C17" t="s">
        <v>4</v>
      </c>
      <c r="D17" s="2">
        <v>8.7999999999999995E-2</v>
      </c>
    </row>
    <row r="18" spans="1:5" x14ac:dyDescent="0.2">
      <c r="A18" t="s">
        <v>63</v>
      </c>
      <c r="B18" t="s">
        <v>72</v>
      </c>
      <c r="C18" t="s">
        <v>3</v>
      </c>
      <c r="D18" s="2">
        <v>0.13500000000000001</v>
      </c>
    </row>
    <row r="19" spans="1:5" x14ac:dyDescent="0.2">
      <c r="A19" t="s">
        <v>63</v>
      </c>
      <c r="B19" t="s">
        <v>72</v>
      </c>
      <c r="C19" t="s">
        <v>85</v>
      </c>
      <c r="D19" s="2">
        <v>0.77700000000000002</v>
      </c>
    </row>
    <row r="20" spans="1:5" x14ac:dyDescent="0.2">
      <c r="A20" t="s">
        <v>64</v>
      </c>
      <c r="B20" t="s">
        <v>69</v>
      </c>
      <c r="C20" t="s">
        <v>2</v>
      </c>
      <c r="D20" s="2">
        <v>1</v>
      </c>
    </row>
    <row r="21" spans="1:5" x14ac:dyDescent="0.2">
      <c r="A21" t="s">
        <v>64</v>
      </c>
      <c r="B21" t="s">
        <v>2</v>
      </c>
      <c r="C21" t="s">
        <v>70</v>
      </c>
      <c r="D21">
        <v>0.84</v>
      </c>
    </row>
    <row r="22" spans="1:5" x14ac:dyDescent="0.2">
      <c r="A22" t="s">
        <v>64</v>
      </c>
      <c r="B22" t="s">
        <v>2</v>
      </c>
      <c r="C22" t="s">
        <v>72</v>
      </c>
      <c r="D22">
        <v>0.08</v>
      </c>
    </row>
    <row r="23" spans="1:5" x14ac:dyDescent="0.2">
      <c r="A23" t="s">
        <v>64</v>
      </c>
      <c r="B23" t="s">
        <v>2</v>
      </c>
      <c r="C23" t="s">
        <v>83</v>
      </c>
      <c r="D23" s="2">
        <v>0.08</v>
      </c>
    </row>
    <row r="24" spans="1:5" x14ac:dyDescent="0.2">
      <c r="A24" t="s">
        <v>64</v>
      </c>
      <c r="B24" t="s">
        <v>70</v>
      </c>
      <c r="C24" t="s">
        <v>92</v>
      </c>
      <c r="D24" s="2">
        <v>0.57999999999999996</v>
      </c>
      <c r="E24">
        <v>94</v>
      </c>
    </row>
    <row r="25" spans="1:5" x14ac:dyDescent="0.2">
      <c r="A25" t="s">
        <v>64</v>
      </c>
      <c r="B25" t="s">
        <v>70</v>
      </c>
      <c r="C25" t="s">
        <v>82</v>
      </c>
      <c r="D25" s="2">
        <v>0.42</v>
      </c>
    </row>
    <row r="26" spans="1:5" x14ac:dyDescent="0.2">
      <c r="A26" t="s">
        <v>64</v>
      </c>
      <c r="B26" t="s">
        <v>92</v>
      </c>
      <c r="C26" t="s">
        <v>71</v>
      </c>
      <c r="D26" s="2">
        <v>0.71</v>
      </c>
    </row>
    <row r="27" spans="1:5" x14ac:dyDescent="0.2">
      <c r="A27" t="s">
        <v>64</v>
      </c>
      <c r="B27" t="s">
        <v>92</v>
      </c>
      <c r="C27" t="s">
        <v>83</v>
      </c>
      <c r="D27" s="2">
        <v>0.28999999999999998</v>
      </c>
    </row>
    <row r="28" spans="1:5" x14ac:dyDescent="0.2">
      <c r="A28" t="s">
        <v>64</v>
      </c>
      <c r="B28" t="s">
        <v>82</v>
      </c>
      <c r="C28" t="s">
        <v>4</v>
      </c>
      <c r="D28" s="2">
        <v>0.4</v>
      </c>
    </row>
    <row r="29" spans="1:5" x14ac:dyDescent="0.2">
      <c r="A29" t="s">
        <v>64</v>
      </c>
      <c r="B29" t="s">
        <v>82</v>
      </c>
      <c r="C29" t="s">
        <v>3</v>
      </c>
      <c r="D29" s="2">
        <v>0.6</v>
      </c>
    </row>
    <row r="30" spans="1:5" x14ac:dyDescent="0.2">
      <c r="A30" t="s">
        <v>64</v>
      </c>
      <c r="B30" t="s">
        <v>71</v>
      </c>
      <c r="C30" t="s">
        <v>4</v>
      </c>
      <c r="D30" s="2">
        <v>7.0000000000000007E-2</v>
      </c>
    </row>
    <row r="31" spans="1:5" x14ac:dyDescent="0.2">
      <c r="A31" t="s">
        <v>64</v>
      </c>
      <c r="B31" t="s">
        <v>71</v>
      </c>
      <c r="C31" t="s">
        <v>3</v>
      </c>
      <c r="D31" s="2">
        <v>0.1</v>
      </c>
    </row>
    <row r="32" spans="1:5" x14ac:dyDescent="0.2">
      <c r="A32" t="s">
        <v>64</v>
      </c>
      <c r="B32" t="s">
        <v>71</v>
      </c>
      <c r="C32" t="s">
        <v>72</v>
      </c>
      <c r="D32" s="2">
        <v>0.83</v>
      </c>
    </row>
    <row r="33" spans="1:5" x14ac:dyDescent="0.2">
      <c r="A33" t="s">
        <v>64</v>
      </c>
      <c r="B33" t="s">
        <v>4</v>
      </c>
      <c r="C33" t="s">
        <v>56</v>
      </c>
      <c r="D33" s="2">
        <v>1</v>
      </c>
    </row>
    <row r="34" spans="1:5" x14ac:dyDescent="0.2">
      <c r="A34" t="s">
        <v>64</v>
      </c>
      <c r="B34" t="s">
        <v>3</v>
      </c>
      <c r="C34" t="s">
        <v>56</v>
      </c>
      <c r="D34" s="2">
        <v>1</v>
      </c>
    </row>
    <row r="35" spans="1:5" x14ac:dyDescent="0.2">
      <c r="A35" t="s">
        <v>64</v>
      </c>
      <c r="B35" t="s">
        <v>72</v>
      </c>
      <c r="C35" t="s">
        <v>4</v>
      </c>
      <c r="D35" s="2">
        <v>6.6000000000000003E-2</v>
      </c>
    </row>
    <row r="36" spans="1:5" x14ac:dyDescent="0.2">
      <c r="A36" t="s">
        <v>64</v>
      </c>
      <c r="B36" t="s">
        <v>72</v>
      </c>
      <c r="C36" t="s">
        <v>3</v>
      </c>
      <c r="D36" s="2">
        <v>0.10100000000000001</v>
      </c>
    </row>
    <row r="37" spans="1:5" x14ac:dyDescent="0.2">
      <c r="A37" t="s">
        <v>64</v>
      </c>
      <c r="B37" t="s">
        <v>72</v>
      </c>
      <c r="C37" t="s">
        <v>85</v>
      </c>
      <c r="D37" s="2">
        <v>0.83299999999999996</v>
      </c>
    </row>
    <row r="38" spans="1:5" x14ac:dyDescent="0.2">
      <c r="A38" t="s">
        <v>65</v>
      </c>
      <c r="B38" t="s">
        <v>69</v>
      </c>
      <c r="C38" t="s">
        <v>2</v>
      </c>
      <c r="D38" s="2">
        <v>1</v>
      </c>
    </row>
    <row r="39" spans="1:5" x14ac:dyDescent="0.2">
      <c r="A39" t="s">
        <v>65</v>
      </c>
      <c r="B39" t="s">
        <v>2</v>
      </c>
      <c r="C39" t="s">
        <v>70</v>
      </c>
      <c r="D39" s="2">
        <v>0.84</v>
      </c>
    </row>
    <row r="40" spans="1:5" x14ac:dyDescent="0.2">
      <c r="A40" t="s">
        <v>65</v>
      </c>
      <c r="B40" t="s">
        <v>2</v>
      </c>
      <c r="C40" t="s">
        <v>72</v>
      </c>
      <c r="D40" s="2">
        <v>0.08</v>
      </c>
    </row>
    <row r="41" spans="1:5" x14ac:dyDescent="0.2">
      <c r="A41" t="s">
        <v>65</v>
      </c>
      <c r="B41" t="s">
        <v>2</v>
      </c>
      <c r="C41" t="s">
        <v>83</v>
      </c>
      <c r="D41" s="2">
        <v>0.08</v>
      </c>
    </row>
    <row r="42" spans="1:5" x14ac:dyDescent="0.2">
      <c r="A42" t="s">
        <v>65</v>
      </c>
      <c r="B42" t="s">
        <v>70</v>
      </c>
      <c r="C42" t="s">
        <v>92</v>
      </c>
      <c r="D42" s="2">
        <v>0.55000000000000004</v>
      </c>
      <c r="E42">
        <v>0.95</v>
      </c>
    </row>
    <row r="43" spans="1:5" x14ac:dyDescent="0.2">
      <c r="A43" t="s">
        <v>65</v>
      </c>
      <c r="B43" t="s">
        <v>70</v>
      </c>
      <c r="C43" t="s">
        <v>82</v>
      </c>
      <c r="D43" s="2">
        <v>0.45</v>
      </c>
    </row>
    <row r="44" spans="1:5" x14ac:dyDescent="0.2">
      <c r="A44" t="s">
        <v>65</v>
      </c>
      <c r="B44" t="s">
        <v>92</v>
      </c>
      <c r="C44" t="s">
        <v>71</v>
      </c>
      <c r="D44" s="2">
        <v>0.71</v>
      </c>
    </row>
    <row r="45" spans="1:5" x14ac:dyDescent="0.2">
      <c r="A45" t="s">
        <v>65</v>
      </c>
      <c r="B45" t="s">
        <v>92</v>
      </c>
      <c r="C45" t="s">
        <v>83</v>
      </c>
      <c r="D45" s="2">
        <v>0.28999999999999998</v>
      </c>
    </row>
    <row r="46" spans="1:5" x14ac:dyDescent="0.2">
      <c r="A46" t="s">
        <v>65</v>
      </c>
      <c r="B46" t="s">
        <v>82</v>
      </c>
      <c r="C46" t="s">
        <v>4</v>
      </c>
      <c r="D46" s="2">
        <v>0.4</v>
      </c>
    </row>
    <row r="47" spans="1:5" x14ac:dyDescent="0.2">
      <c r="A47" t="s">
        <v>65</v>
      </c>
      <c r="B47" t="s">
        <v>82</v>
      </c>
      <c r="C47" t="s">
        <v>3</v>
      </c>
      <c r="D47" s="2">
        <v>0.6</v>
      </c>
    </row>
    <row r="48" spans="1:5" x14ac:dyDescent="0.2">
      <c r="A48" t="s">
        <v>65</v>
      </c>
      <c r="B48" t="s">
        <v>71</v>
      </c>
      <c r="C48" t="s">
        <v>4</v>
      </c>
      <c r="D48" s="2">
        <v>0.3</v>
      </c>
    </row>
    <row r="49" spans="1:5" x14ac:dyDescent="0.2">
      <c r="A49" t="s">
        <v>65</v>
      </c>
      <c r="B49" t="s">
        <v>71</v>
      </c>
      <c r="C49" t="s">
        <v>3</v>
      </c>
      <c r="D49" s="2">
        <v>0.46</v>
      </c>
    </row>
    <row r="50" spans="1:5" x14ac:dyDescent="0.2">
      <c r="A50" t="s">
        <v>65</v>
      </c>
      <c r="B50" t="s">
        <v>71</v>
      </c>
      <c r="C50" t="s">
        <v>72</v>
      </c>
      <c r="D50" s="2">
        <v>0.24</v>
      </c>
    </row>
    <row r="51" spans="1:5" x14ac:dyDescent="0.2">
      <c r="A51" t="s">
        <v>65</v>
      </c>
      <c r="B51" t="s">
        <v>4</v>
      </c>
      <c r="C51" t="s">
        <v>56</v>
      </c>
      <c r="D51" s="2">
        <v>1</v>
      </c>
    </row>
    <row r="52" spans="1:5" x14ac:dyDescent="0.2">
      <c r="A52" t="s">
        <v>65</v>
      </c>
      <c r="B52" t="s">
        <v>3</v>
      </c>
      <c r="C52" t="s">
        <v>56</v>
      </c>
      <c r="D52" s="2">
        <v>1</v>
      </c>
    </row>
    <row r="53" spans="1:5" x14ac:dyDescent="0.2">
      <c r="A53" t="s">
        <v>65</v>
      </c>
      <c r="B53" t="s">
        <v>72</v>
      </c>
      <c r="C53" t="s">
        <v>4</v>
      </c>
      <c r="D53" s="2">
        <v>8.7999999999999995E-2</v>
      </c>
    </row>
    <row r="54" spans="1:5" x14ac:dyDescent="0.2">
      <c r="A54" t="s">
        <v>65</v>
      </c>
      <c r="B54" t="s">
        <v>72</v>
      </c>
      <c r="C54" t="s">
        <v>3</v>
      </c>
      <c r="D54" s="2">
        <v>0.13500000000000001</v>
      </c>
    </row>
    <row r="55" spans="1:5" x14ac:dyDescent="0.2">
      <c r="A55" t="s">
        <v>65</v>
      </c>
      <c r="B55" t="s">
        <v>72</v>
      </c>
      <c r="C55" t="s">
        <v>85</v>
      </c>
      <c r="D55" s="2">
        <v>0.77700000000000002</v>
      </c>
    </row>
    <row r="56" spans="1:5" x14ac:dyDescent="0.2">
      <c r="A56" t="s">
        <v>66</v>
      </c>
      <c r="B56" t="s">
        <v>69</v>
      </c>
      <c r="C56" t="s">
        <v>2</v>
      </c>
      <c r="D56" s="2">
        <v>1</v>
      </c>
    </row>
    <row r="57" spans="1:5" x14ac:dyDescent="0.2">
      <c r="A57" t="s">
        <v>66</v>
      </c>
      <c r="B57" t="s">
        <v>2</v>
      </c>
      <c r="C57" t="s">
        <v>70</v>
      </c>
      <c r="D57" s="2">
        <v>0.84</v>
      </c>
    </row>
    <row r="58" spans="1:5" x14ac:dyDescent="0.2">
      <c r="A58" t="s">
        <v>66</v>
      </c>
      <c r="B58" t="s">
        <v>2</v>
      </c>
      <c r="C58" t="s">
        <v>72</v>
      </c>
      <c r="D58" s="2">
        <v>0.08</v>
      </c>
    </row>
    <row r="59" spans="1:5" x14ac:dyDescent="0.2">
      <c r="A59" t="s">
        <v>66</v>
      </c>
      <c r="B59" t="s">
        <v>2</v>
      </c>
      <c r="C59" t="s">
        <v>83</v>
      </c>
      <c r="D59" s="2">
        <v>0.08</v>
      </c>
    </row>
    <row r="60" spans="1:5" x14ac:dyDescent="0.2">
      <c r="A60" t="s">
        <v>66</v>
      </c>
      <c r="B60" t="s">
        <v>70</v>
      </c>
      <c r="C60" t="s">
        <v>92</v>
      </c>
      <c r="D60" s="2">
        <v>0.7</v>
      </c>
      <c r="E60">
        <v>0.95</v>
      </c>
    </row>
    <row r="61" spans="1:5" x14ac:dyDescent="0.2">
      <c r="A61" t="s">
        <v>66</v>
      </c>
      <c r="B61" t="s">
        <v>70</v>
      </c>
      <c r="C61" t="s">
        <v>82</v>
      </c>
      <c r="D61" s="2">
        <v>0.3</v>
      </c>
    </row>
    <row r="62" spans="1:5" x14ac:dyDescent="0.2">
      <c r="A62" t="s">
        <v>66</v>
      </c>
      <c r="B62" t="s">
        <v>92</v>
      </c>
      <c r="C62" t="s">
        <v>71</v>
      </c>
      <c r="D62" s="2">
        <v>0.71</v>
      </c>
    </row>
    <row r="63" spans="1:5" x14ac:dyDescent="0.2">
      <c r="A63" t="s">
        <v>66</v>
      </c>
      <c r="B63" t="s">
        <v>92</v>
      </c>
      <c r="C63" t="s">
        <v>83</v>
      </c>
      <c r="D63" s="2">
        <v>0.28999999999999998</v>
      </c>
    </row>
    <row r="64" spans="1:5" x14ac:dyDescent="0.2">
      <c r="A64" t="s">
        <v>66</v>
      </c>
      <c r="B64" t="s">
        <v>82</v>
      </c>
      <c r="C64" t="s">
        <v>4</v>
      </c>
      <c r="D64" s="2">
        <v>0.4</v>
      </c>
    </row>
    <row r="65" spans="1:5" x14ac:dyDescent="0.2">
      <c r="A65" t="s">
        <v>66</v>
      </c>
      <c r="B65" t="s">
        <v>82</v>
      </c>
      <c r="C65" t="s">
        <v>3</v>
      </c>
      <c r="D65" s="2">
        <v>0.6</v>
      </c>
    </row>
    <row r="66" spans="1:5" x14ac:dyDescent="0.2">
      <c r="A66" t="s">
        <v>66</v>
      </c>
      <c r="B66" t="s">
        <v>71</v>
      </c>
      <c r="C66" t="s">
        <v>4</v>
      </c>
      <c r="D66" s="2">
        <v>0.17</v>
      </c>
    </row>
    <row r="67" spans="1:5" x14ac:dyDescent="0.2">
      <c r="A67" t="s">
        <v>66</v>
      </c>
      <c r="B67" t="s">
        <v>71</v>
      </c>
      <c r="C67" t="s">
        <v>3</v>
      </c>
      <c r="D67" s="2">
        <v>0.25</v>
      </c>
    </row>
    <row r="68" spans="1:5" x14ac:dyDescent="0.2">
      <c r="A68" t="s">
        <v>66</v>
      </c>
      <c r="B68" t="s">
        <v>71</v>
      </c>
      <c r="C68" t="s">
        <v>72</v>
      </c>
      <c r="D68" s="2">
        <v>0.57999999999999996</v>
      </c>
    </row>
    <row r="69" spans="1:5" x14ac:dyDescent="0.2">
      <c r="A69" t="s">
        <v>66</v>
      </c>
      <c r="B69" t="s">
        <v>4</v>
      </c>
      <c r="C69" t="s">
        <v>56</v>
      </c>
      <c r="D69" s="2">
        <v>1</v>
      </c>
    </row>
    <row r="70" spans="1:5" x14ac:dyDescent="0.2">
      <c r="A70" t="s">
        <v>66</v>
      </c>
      <c r="B70" t="s">
        <v>3</v>
      </c>
      <c r="C70" t="s">
        <v>56</v>
      </c>
      <c r="D70" s="2">
        <v>1</v>
      </c>
    </row>
    <row r="71" spans="1:5" x14ac:dyDescent="0.2">
      <c r="A71" t="s">
        <v>66</v>
      </c>
      <c r="B71" t="s">
        <v>72</v>
      </c>
      <c r="C71" t="s">
        <v>4</v>
      </c>
      <c r="D71" s="2">
        <v>8.7999999999999995E-2</v>
      </c>
    </row>
    <row r="72" spans="1:5" x14ac:dyDescent="0.2">
      <c r="A72" t="s">
        <v>66</v>
      </c>
      <c r="B72" t="s">
        <v>72</v>
      </c>
      <c r="C72" t="s">
        <v>3</v>
      </c>
      <c r="D72" s="2">
        <v>0.13500000000000001</v>
      </c>
    </row>
    <row r="73" spans="1:5" x14ac:dyDescent="0.2">
      <c r="A73" t="s">
        <v>66</v>
      </c>
      <c r="B73" t="s">
        <v>72</v>
      </c>
      <c r="C73" t="s">
        <v>85</v>
      </c>
      <c r="D73" s="2">
        <v>0.77700000000000002</v>
      </c>
    </row>
    <row r="74" spans="1:5" x14ac:dyDescent="0.2">
      <c r="A74" t="s">
        <v>67</v>
      </c>
      <c r="B74" t="s">
        <v>69</v>
      </c>
      <c r="C74" t="s">
        <v>2</v>
      </c>
      <c r="D74" s="2">
        <v>1</v>
      </c>
    </row>
    <row r="75" spans="1:5" x14ac:dyDescent="0.2">
      <c r="A75" t="s">
        <v>67</v>
      </c>
      <c r="B75" t="s">
        <v>2</v>
      </c>
      <c r="C75" t="s">
        <v>70</v>
      </c>
      <c r="D75" s="2">
        <v>0.84</v>
      </c>
    </row>
    <row r="76" spans="1:5" x14ac:dyDescent="0.2">
      <c r="A76" t="s">
        <v>67</v>
      </c>
      <c r="B76" t="s">
        <v>2</v>
      </c>
      <c r="C76" t="s">
        <v>72</v>
      </c>
      <c r="D76" s="2">
        <v>0.08</v>
      </c>
    </row>
    <row r="77" spans="1:5" x14ac:dyDescent="0.2">
      <c r="A77" t="s">
        <v>67</v>
      </c>
      <c r="B77" t="s">
        <v>2</v>
      </c>
      <c r="C77" t="s">
        <v>83</v>
      </c>
      <c r="D77" s="2">
        <v>0.08</v>
      </c>
    </row>
    <row r="78" spans="1:5" x14ac:dyDescent="0.2">
      <c r="A78" t="s">
        <v>67</v>
      </c>
      <c r="B78" t="s">
        <v>70</v>
      </c>
      <c r="C78" t="s">
        <v>92</v>
      </c>
      <c r="D78" s="2">
        <v>0.57999999999999996</v>
      </c>
      <c r="E78">
        <v>0.94</v>
      </c>
    </row>
    <row r="79" spans="1:5" x14ac:dyDescent="0.2">
      <c r="A79" t="s">
        <v>67</v>
      </c>
      <c r="B79" t="s">
        <v>70</v>
      </c>
      <c r="C79" t="s">
        <v>82</v>
      </c>
      <c r="D79" s="2">
        <v>0.42</v>
      </c>
    </row>
    <row r="80" spans="1:5" x14ac:dyDescent="0.2">
      <c r="A80" t="s">
        <v>67</v>
      </c>
      <c r="B80" t="s">
        <v>92</v>
      </c>
      <c r="C80" t="s">
        <v>71</v>
      </c>
      <c r="D80" s="2">
        <v>0.71</v>
      </c>
    </row>
    <row r="81" spans="1:5" x14ac:dyDescent="0.2">
      <c r="A81" t="s">
        <v>67</v>
      </c>
      <c r="B81" t="s">
        <v>92</v>
      </c>
      <c r="C81" t="s">
        <v>83</v>
      </c>
      <c r="D81" s="2">
        <v>0.28999999999999998</v>
      </c>
    </row>
    <row r="82" spans="1:5" x14ac:dyDescent="0.2">
      <c r="A82" t="s">
        <v>67</v>
      </c>
      <c r="B82" t="s">
        <v>82</v>
      </c>
      <c r="C82" t="s">
        <v>4</v>
      </c>
      <c r="D82" s="2">
        <v>0.4</v>
      </c>
    </row>
    <row r="83" spans="1:5" x14ac:dyDescent="0.2">
      <c r="A83" t="s">
        <v>67</v>
      </c>
      <c r="B83" t="s">
        <v>82</v>
      </c>
      <c r="C83" t="s">
        <v>3</v>
      </c>
      <c r="D83" s="2">
        <v>0.6</v>
      </c>
    </row>
    <row r="84" spans="1:5" x14ac:dyDescent="0.2">
      <c r="A84" t="s">
        <v>67</v>
      </c>
      <c r="B84" t="s">
        <v>71</v>
      </c>
      <c r="C84" t="s">
        <v>4</v>
      </c>
      <c r="D84" s="2">
        <v>7.0000000000000007E-2</v>
      </c>
    </row>
    <row r="85" spans="1:5" x14ac:dyDescent="0.2">
      <c r="A85" t="s">
        <v>67</v>
      </c>
      <c r="B85" t="s">
        <v>71</v>
      </c>
      <c r="C85" t="s">
        <v>3</v>
      </c>
      <c r="D85" s="2">
        <v>0.1</v>
      </c>
    </row>
    <row r="86" spans="1:5" x14ac:dyDescent="0.2">
      <c r="A86" t="s">
        <v>67</v>
      </c>
      <c r="B86" t="s">
        <v>71</v>
      </c>
      <c r="C86" t="s">
        <v>72</v>
      </c>
      <c r="D86" s="2">
        <v>0.83</v>
      </c>
    </row>
    <row r="87" spans="1:5" x14ac:dyDescent="0.2">
      <c r="A87" t="s">
        <v>67</v>
      </c>
      <c r="B87" t="s">
        <v>4</v>
      </c>
      <c r="C87" t="s">
        <v>56</v>
      </c>
      <c r="D87" s="2">
        <v>1</v>
      </c>
    </row>
    <row r="88" spans="1:5" x14ac:dyDescent="0.2">
      <c r="A88" t="s">
        <v>67</v>
      </c>
      <c r="B88" t="s">
        <v>3</v>
      </c>
      <c r="C88" t="s">
        <v>56</v>
      </c>
      <c r="D88" s="2">
        <v>1</v>
      </c>
    </row>
    <row r="89" spans="1:5" x14ac:dyDescent="0.2">
      <c r="A89" t="s">
        <v>67</v>
      </c>
      <c r="B89" t="s">
        <v>72</v>
      </c>
      <c r="C89" t="s">
        <v>4</v>
      </c>
      <c r="D89" s="2">
        <v>6.6000000000000003E-2</v>
      </c>
    </row>
    <row r="90" spans="1:5" x14ac:dyDescent="0.2">
      <c r="A90" t="s">
        <v>67</v>
      </c>
      <c r="B90" t="s">
        <v>72</v>
      </c>
      <c r="C90" t="s">
        <v>3</v>
      </c>
      <c r="D90" s="2">
        <v>0.10100000000000001</v>
      </c>
    </row>
    <row r="91" spans="1:5" x14ac:dyDescent="0.2">
      <c r="A91" t="s">
        <v>67</v>
      </c>
      <c r="B91" t="s">
        <v>72</v>
      </c>
      <c r="C91" t="s">
        <v>85</v>
      </c>
      <c r="D91" s="2">
        <v>0.83299999999999996</v>
      </c>
    </row>
    <row r="92" spans="1:5" x14ac:dyDescent="0.2">
      <c r="A92" t="s">
        <v>68</v>
      </c>
      <c r="B92" t="s">
        <v>69</v>
      </c>
      <c r="C92" t="s">
        <v>2</v>
      </c>
      <c r="D92" s="2">
        <v>1</v>
      </c>
    </row>
    <row r="93" spans="1:5" x14ac:dyDescent="0.2">
      <c r="A93" t="s">
        <v>68</v>
      </c>
      <c r="B93" t="s">
        <v>2</v>
      </c>
      <c r="C93" t="s">
        <v>70</v>
      </c>
      <c r="D93" s="2">
        <v>0.84</v>
      </c>
    </row>
    <row r="94" spans="1:5" x14ac:dyDescent="0.2">
      <c r="A94" t="s">
        <v>68</v>
      </c>
      <c r="B94" t="s">
        <v>2</v>
      </c>
      <c r="C94" t="s">
        <v>72</v>
      </c>
      <c r="D94" s="2">
        <v>0.08</v>
      </c>
    </row>
    <row r="95" spans="1:5" x14ac:dyDescent="0.2">
      <c r="A95" t="s">
        <v>68</v>
      </c>
      <c r="B95" t="s">
        <v>2</v>
      </c>
      <c r="C95" t="s">
        <v>83</v>
      </c>
      <c r="D95" s="2">
        <v>0.08</v>
      </c>
    </row>
    <row r="96" spans="1:5" x14ac:dyDescent="0.2">
      <c r="A96" t="s">
        <v>68</v>
      </c>
      <c r="B96" t="s">
        <v>70</v>
      </c>
      <c r="C96" t="s">
        <v>92</v>
      </c>
      <c r="D96" s="2">
        <v>0.55000000000000004</v>
      </c>
      <c r="E96">
        <v>0.95</v>
      </c>
    </row>
    <row r="97" spans="1:4" x14ac:dyDescent="0.2">
      <c r="A97" t="s">
        <v>68</v>
      </c>
      <c r="B97" t="s">
        <v>70</v>
      </c>
      <c r="C97" t="s">
        <v>82</v>
      </c>
      <c r="D97" s="2">
        <v>0.45</v>
      </c>
    </row>
    <row r="98" spans="1:4" x14ac:dyDescent="0.2">
      <c r="A98" t="s">
        <v>68</v>
      </c>
      <c r="B98" t="s">
        <v>92</v>
      </c>
      <c r="C98" t="s">
        <v>71</v>
      </c>
      <c r="D98" s="2">
        <v>0.71</v>
      </c>
    </row>
    <row r="99" spans="1:4" x14ac:dyDescent="0.2">
      <c r="A99" t="s">
        <v>68</v>
      </c>
      <c r="B99" t="s">
        <v>92</v>
      </c>
      <c r="C99" t="s">
        <v>83</v>
      </c>
      <c r="D99" s="2">
        <v>0.28999999999999998</v>
      </c>
    </row>
    <row r="100" spans="1:4" x14ac:dyDescent="0.2">
      <c r="A100" t="s">
        <v>68</v>
      </c>
      <c r="B100" t="s">
        <v>82</v>
      </c>
      <c r="C100" t="s">
        <v>4</v>
      </c>
      <c r="D100" s="2">
        <v>0.4</v>
      </c>
    </row>
    <row r="101" spans="1:4" x14ac:dyDescent="0.2">
      <c r="A101" t="s">
        <v>68</v>
      </c>
      <c r="B101" t="s">
        <v>82</v>
      </c>
      <c r="C101" t="s">
        <v>3</v>
      </c>
      <c r="D101" s="2">
        <v>0.6</v>
      </c>
    </row>
    <row r="102" spans="1:4" x14ac:dyDescent="0.2">
      <c r="A102" t="s">
        <v>68</v>
      </c>
      <c r="B102" t="s">
        <v>71</v>
      </c>
      <c r="C102" t="s">
        <v>4</v>
      </c>
      <c r="D102" s="2">
        <v>0.3</v>
      </c>
    </row>
    <row r="103" spans="1:4" x14ac:dyDescent="0.2">
      <c r="A103" t="s">
        <v>68</v>
      </c>
      <c r="B103" t="s">
        <v>71</v>
      </c>
      <c r="C103" t="s">
        <v>3</v>
      </c>
      <c r="D103" s="2">
        <v>0.46</v>
      </c>
    </row>
    <row r="104" spans="1:4" x14ac:dyDescent="0.2">
      <c r="A104" t="s">
        <v>68</v>
      </c>
      <c r="B104" t="s">
        <v>71</v>
      </c>
      <c r="C104" t="s">
        <v>72</v>
      </c>
      <c r="D104" s="2">
        <v>0.24</v>
      </c>
    </row>
    <row r="105" spans="1:4" x14ac:dyDescent="0.2">
      <c r="A105" t="s">
        <v>68</v>
      </c>
      <c r="B105" t="s">
        <v>4</v>
      </c>
      <c r="C105" t="s">
        <v>56</v>
      </c>
      <c r="D105" s="2">
        <v>1</v>
      </c>
    </row>
    <row r="106" spans="1:4" x14ac:dyDescent="0.2">
      <c r="A106" t="s">
        <v>68</v>
      </c>
      <c r="B106" t="s">
        <v>3</v>
      </c>
      <c r="C106" t="s">
        <v>56</v>
      </c>
      <c r="D106" s="2">
        <v>1</v>
      </c>
    </row>
    <row r="107" spans="1:4" x14ac:dyDescent="0.2">
      <c r="A107" t="s">
        <v>68</v>
      </c>
      <c r="B107" t="s">
        <v>72</v>
      </c>
      <c r="C107" t="s">
        <v>4</v>
      </c>
      <c r="D107" s="2">
        <v>8.7999999999999995E-2</v>
      </c>
    </row>
    <row r="108" spans="1:4" x14ac:dyDescent="0.2">
      <c r="A108" t="s">
        <v>68</v>
      </c>
      <c r="B108" t="s">
        <v>72</v>
      </c>
      <c r="C108" t="s">
        <v>3</v>
      </c>
      <c r="D108" s="2">
        <v>0.13500000000000001</v>
      </c>
    </row>
    <row r="109" spans="1:4" x14ac:dyDescent="0.2">
      <c r="A109" t="s">
        <v>68</v>
      </c>
      <c r="B109" t="s">
        <v>72</v>
      </c>
      <c r="C109" t="s">
        <v>85</v>
      </c>
      <c r="D109" s="2">
        <v>0.77700000000000002</v>
      </c>
    </row>
    <row r="110" spans="1:4" x14ac:dyDescent="0.2">
      <c r="A110" t="s">
        <v>11</v>
      </c>
      <c r="B110" t="s">
        <v>69</v>
      </c>
      <c r="C110" t="s">
        <v>2</v>
      </c>
      <c r="D110" s="2">
        <v>1</v>
      </c>
    </row>
    <row r="111" spans="1:4" x14ac:dyDescent="0.2">
      <c r="A111" t="s">
        <v>11</v>
      </c>
      <c r="B111" t="s">
        <v>2</v>
      </c>
      <c r="C111" t="s">
        <v>70</v>
      </c>
      <c r="D111" s="2">
        <v>0.93</v>
      </c>
    </row>
    <row r="112" spans="1:4" x14ac:dyDescent="0.2">
      <c r="A112" t="s">
        <v>11</v>
      </c>
      <c r="B112" t="s">
        <v>2</v>
      </c>
      <c r="C112" t="s">
        <v>72</v>
      </c>
      <c r="D112" s="2">
        <v>7.0000000000000007E-2</v>
      </c>
    </row>
    <row r="113" spans="1:5" x14ac:dyDescent="0.2">
      <c r="A113" t="s">
        <v>11</v>
      </c>
      <c r="B113" t="s">
        <v>70</v>
      </c>
      <c r="C113" t="s">
        <v>92</v>
      </c>
      <c r="D113" s="2">
        <v>0.5</v>
      </c>
      <c r="E113">
        <v>0.95</v>
      </c>
    </row>
    <row r="114" spans="1:5" x14ac:dyDescent="0.2">
      <c r="A114" t="s">
        <v>11</v>
      </c>
      <c r="B114" t="s">
        <v>70</v>
      </c>
      <c r="C114" t="s">
        <v>82</v>
      </c>
      <c r="D114" s="2">
        <v>0.5</v>
      </c>
    </row>
    <row r="115" spans="1:5" x14ac:dyDescent="0.2">
      <c r="A115" t="s">
        <v>11</v>
      </c>
      <c r="B115" t="s">
        <v>92</v>
      </c>
      <c r="C115" t="s">
        <v>71</v>
      </c>
      <c r="D115" s="2">
        <v>0.91</v>
      </c>
    </row>
    <row r="116" spans="1:5" x14ac:dyDescent="0.2">
      <c r="A116" t="s">
        <v>11</v>
      </c>
      <c r="B116" t="s">
        <v>92</v>
      </c>
      <c r="C116" t="s">
        <v>83</v>
      </c>
      <c r="D116" s="2">
        <v>0.09</v>
      </c>
    </row>
    <row r="117" spans="1:5" x14ac:dyDescent="0.2">
      <c r="A117" t="s">
        <v>11</v>
      </c>
      <c r="B117" t="s">
        <v>82</v>
      </c>
      <c r="C117" t="s">
        <v>4</v>
      </c>
      <c r="D117" s="2">
        <v>0.4</v>
      </c>
    </row>
    <row r="118" spans="1:5" x14ac:dyDescent="0.2">
      <c r="A118" t="s">
        <v>11</v>
      </c>
      <c r="B118" t="s">
        <v>82</v>
      </c>
      <c r="C118" t="s">
        <v>3</v>
      </c>
      <c r="D118" s="2">
        <v>0.6</v>
      </c>
    </row>
    <row r="119" spans="1:5" x14ac:dyDescent="0.2">
      <c r="A119" t="s">
        <v>11</v>
      </c>
      <c r="B119" t="s">
        <v>71</v>
      </c>
      <c r="C119" t="s">
        <v>4</v>
      </c>
      <c r="D119" s="2">
        <v>0.4</v>
      </c>
    </row>
    <row r="120" spans="1:5" x14ac:dyDescent="0.2">
      <c r="A120" t="s">
        <v>11</v>
      </c>
      <c r="B120" t="s">
        <v>71</v>
      </c>
      <c r="C120" t="s">
        <v>3</v>
      </c>
      <c r="D120" s="2">
        <v>0.6</v>
      </c>
    </row>
    <row r="121" spans="1:5" x14ac:dyDescent="0.2">
      <c r="A121" t="s">
        <v>11</v>
      </c>
      <c r="B121" t="s">
        <v>4</v>
      </c>
      <c r="C121" t="s">
        <v>56</v>
      </c>
      <c r="D121" s="2">
        <v>1</v>
      </c>
    </row>
    <row r="122" spans="1:5" x14ac:dyDescent="0.2">
      <c r="A122" t="s">
        <v>11</v>
      </c>
      <c r="B122" t="s">
        <v>3</v>
      </c>
      <c r="C122" t="s">
        <v>56</v>
      </c>
      <c r="D122" s="2">
        <v>1</v>
      </c>
    </row>
  </sheetData>
  <dataValidations count="1">
    <dataValidation type="list" allowBlank="1" showInputMessage="1" showErrorMessage="1" sqref="B125:C127" xr:uid="{2E600F69-63E2-8F46-8359-5A9E15E471FF}">
      <formula1>$G$2:$G$13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9ADDBA-ED09-1741-BE41-A1D66AE51D67}">
          <x14:formula1>
            <xm:f>process_list!$A$2:$A$13</xm:f>
          </x14:formula1>
          <xm:sqref>B2:C122</xm:sqref>
        </x14:dataValidation>
        <x14:dataValidation type="list" allowBlank="1" showInputMessage="1" showErrorMessage="1" xr:uid="{C86F85C4-AD37-3249-AAF5-237AAEA47827}">
          <x14:formula1>
            <xm:f>parameters!$A$2:$A$8</xm:f>
          </x14:formula1>
          <xm:sqref>A2:A122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1062F3BF8372479E018DC5EC7E6125" ma:contentTypeVersion="4" ma:contentTypeDescription="Opret et nyt dokument." ma:contentTypeScope="" ma:versionID="72268b99dc0e281a492c580b1837a8ea">
  <xsd:schema xmlns:xsd="http://www.w3.org/2001/XMLSchema" xmlns:xs="http://www.w3.org/2001/XMLSchema" xmlns:p="http://schemas.microsoft.com/office/2006/metadata/properties" xmlns:ns2="77b185ac-e736-4539-82f9-ce6ff79d0064" xmlns:ns3="ad55c52a-a6aa-4c88-b613-76076e1eddc7" targetNamespace="http://schemas.microsoft.com/office/2006/metadata/properties" ma:root="true" ma:fieldsID="fc80fa56f9e2f748fe8f15a27f93933f" ns2:_="" ns3:_="">
    <xsd:import namespace="77b185ac-e736-4539-82f9-ce6ff79d0064"/>
    <xsd:import namespace="ad55c52a-a6aa-4c88-b613-76076e1ed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185ac-e736-4539-82f9-ce6ff79d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c52a-a6aa-4c88-b613-76076e1ed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F260F-17B3-4C8F-9F7F-1F45EA9E2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185ac-e736-4539-82f9-ce6ff79d0064"/>
    <ds:schemaRef ds:uri="ad55c52a-a6aa-4c88-b613-76076e1ed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C36F5-3190-4E7C-B6FA-FF4A6B33ABD3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d55c52a-a6aa-4c88-b613-76076e1eddc7"/>
    <ds:schemaRef ds:uri="77b185ac-e736-4539-82f9-ce6ff79d0064"/>
  </ds:schemaRefs>
</ds:datastoreItem>
</file>

<file path=customXml/itemProps3.xml><?xml version="1.0" encoding="utf-8"?>
<ds:datastoreItem xmlns:ds="http://schemas.openxmlformats.org/officeDocument/2006/customXml" ds:itemID="{33D07AAB-41AE-47ED-B477-FD9DA8897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Info sheet</vt:lpstr>
      <vt:lpstr>system</vt:lpstr>
      <vt:lpstr>parameters</vt:lpstr>
      <vt:lpstr>hist</vt:lpstr>
      <vt:lpstr>tc</vt:lpstr>
      <vt:lpstr>partitioning</vt:lpstr>
      <vt:lpstr>process_list</vt:lpstr>
      <vt:lpstr>Sankey diagram</vt:lpstr>
      <vt:lpstr>partitioning_list</vt:lpstr>
      <vt:lpstr>tc_calculated</vt:lpstr>
      <vt:lpstr>tc_min</vt:lpstr>
      <vt:lpstr>stock release</vt:lpstr>
      <vt:lpstr>flows</vt:lpstr>
      <vt:lpstr>production</vt:lpstr>
      <vt:lpstr>cascade 2020</vt:lpstr>
      <vt:lpstr>baseline scenario</vt:lpstr>
      <vt:lpstr>tc_values_matrix</vt:lpstr>
      <vt:lpstr>flow_names</vt:lpstr>
      <vt:lpstr>tc_list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 Schjødt-Hansen</cp:lastModifiedBy>
  <cp:revision/>
  <dcterms:created xsi:type="dcterms:W3CDTF">2023-06-09T13:00:33Z</dcterms:created>
  <dcterms:modified xsi:type="dcterms:W3CDTF">2023-12-07T09:50:53Z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0x010100F71062F3BF8372479E018DC5EC7E6125</vt:lpwstr>
  </property>
</Properties>
</file>