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EC1067C7-767E-426B-856D-B030C80644F2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4505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<sst xmlns="http://schemas.openxmlformats.org/spreadsheetml/2006/main" count="19434" uniqueCount="10215">
  <si>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</si>
  <si>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</si>
  <si>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</si>
  <si>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</si>
  <si>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 xml:space="preserve">分红率 当期 2022-03-31 </t>
  </si>
  <si>
    <t xml:space="preserve">分红率 当期 2021-03-31 </t>
  </si>
  <si>
    <t xml:space="preserve">分红率 当期 2020-03-31 </t>
  </si>
  <si>
    <t xml:space="preserve">分红率 当期 2019-03-31 </t>
  </si>
  <si>
    <t xml:space="preserve">分红率 当期 2018-03-31 </t>
  </si>
  <si>
    <t xml:space="preserve">分红率 当期 2017-03-31 </t>
  </si>
  <si>
    <t xml:space="preserve">分红率 当期 2016-03-31 </t>
  </si>
  <si>
    <t xml:space="preserve">分红率 当期 2015-03-31 </t>
  </si>
  <si>
    <t xml:space="preserve">分红率 当期 2014-03-31 </t>
  </si>
  <si>
    <t xml:space="preserve">分红率 当期 2013-03-31 </t>
  </si>
  <si>
    <t xml:space="preserve">分红率 当期 2012-03-31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</si>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</sst>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"600938"</f>
        <v>600938</v>
      </c>
      <c r="C808" t="s">
        <v>1855</v>
      </c>
      <c r="P808">
        <v>26</v>
      </c>
      <c r="Q808" t="s">
        <v>1856</v>
      </c>
    </row>
    <row r="809" spans="1:17" x14ac:dyDescent="0.3">
      <c r="A809" t="s">
        <v>17</v>
      </c>
      <c r="B809" t="str">
        <f>"600939"</f>
        <v>600939</v>
      </c>
      <c r="C809" t="s">
        <v>1857</v>
      </c>
      <c r="D809" t="s">
        <v>398</v>
      </c>
      <c r="P809">
        <v>125</v>
      </c>
      <c r="Q809" t="s">
        <v>1858</v>
      </c>
    </row>
    <row r="810" spans="1:17" x14ac:dyDescent="0.3">
      <c r="A810" t="s">
        <v>17</v>
      </c>
      <c r="B810" t="str">
        <f>"600941"</f>
        <v>600941</v>
      </c>
      <c r="C810" t="s">
        <v>1859</v>
      </c>
      <c r="D810" t="s">
        <v>107</v>
      </c>
      <c r="P810">
        <v>114</v>
      </c>
      <c r="Q810" t="s">
        <v>1860</v>
      </c>
    </row>
    <row r="811" spans="1:17" x14ac:dyDescent="0.3">
      <c r="A811" t="s">
        <v>17</v>
      </c>
      <c r="B811" t="str">
        <f>"600955"</f>
        <v>600955</v>
      </c>
      <c r="C811" t="s">
        <v>1861</v>
      </c>
      <c r="D811" t="s">
        <v>1233</v>
      </c>
      <c r="P811">
        <v>46</v>
      </c>
      <c r="Q811" t="s">
        <v>1862</v>
      </c>
    </row>
    <row r="812" spans="1:17" x14ac:dyDescent="0.3">
      <c r="A812" t="s">
        <v>17</v>
      </c>
      <c r="B812" t="str">
        <f>"600956"</f>
        <v>600956</v>
      </c>
      <c r="C812" t="s">
        <v>1863</v>
      </c>
      <c r="D812" t="s">
        <v>383</v>
      </c>
      <c r="P812">
        <v>204</v>
      </c>
      <c r="Q812" t="s">
        <v>1864</v>
      </c>
    </row>
    <row r="813" spans="1:17" x14ac:dyDescent="0.3">
      <c r="A813" t="s">
        <v>17</v>
      </c>
      <c r="B813" t="str">
        <f>"600958"</f>
        <v>600958</v>
      </c>
      <c r="C813" t="s">
        <v>1865</v>
      </c>
      <c r="D813" t="s">
        <v>80</v>
      </c>
      <c r="P813">
        <v>1248</v>
      </c>
      <c r="Q813" t="s">
        <v>1866</v>
      </c>
    </row>
    <row r="814" spans="1:17" x14ac:dyDescent="0.3">
      <c r="A814" t="s">
        <v>17</v>
      </c>
      <c r="B814" t="str">
        <f>"600959"</f>
        <v>600959</v>
      </c>
      <c r="C814" t="s">
        <v>1867</v>
      </c>
      <c r="D814" t="s">
        <v>95</v>
      </c>
      <c r="P814">
        <v>150</v>
      </c>
      <c r="Q814" t="s">
        <v>1868</v>
      </c>
    </row>
    <row r="815" spans="1:17" x14ac:dyDescent="0.3">
      <c r="A815" t="s">
        <v>17</v>
      </c>
      <c r="B815" t="str">
        <f>"600960"</f>
        <v>600960</v>
      </c>
      <c r="C815" t="s">
        <v>1869</v>
      </c>
      <c r="D815" t="s">
        <v>348</v>
      </c>
      <c r="P815">
        <v>91</v>
      </c>
      <c r="Q815" t="s">
        <v>1870</v>
      </c>
    </row>
    <row r="816" spans="1:17" x14ac:dyDescent="0.3">
      <c r="A816" t="s">
        <v>17</v>
      </c>
      <c r="B816" t="str">
        <f>"600961"</f>
        <v>600961</v>
      </c>
      <c r="C816" t="s">
        <v>1871</v>
      </c>
      <c r="D816" t="s">
        <v>744</v>
      </c>
      <c r="P816">
        <v>127</v>
      </c>
      <c r="Q816" t="s">
        <v>1872</v>
      </c>
    </row>
    <row r="817" spans="1:17" x14ac:dyDescent="0.3">
      <c r="A817" t="s">
        <v>17</v>
      </c>
      <c r="B817" t="str">
        <f>"600962"</f>
        <v>600962</v>
      </c>
      <c r="C817" t="s">
        <v>1873</v>
      </c>
      <c r="D817" t="s">
        <v>574</v>
      </c>
      <c r="P817">
        <v>94</v>
      </c>
      <c r="Q817" t="s">
        <v>1874</v>
      </c>
    </row>
    <row r="818" spans="1:17" x14ac:dyDescent="0.3">
      <c r="A818" t="s">
        <v>17</v>
      </c>
      <c r="B818" t="str">
        <f>"600963"</f>
        <v>600963</v>
      </c>
      <c r="C818" t="s">
        <v>1875</v>
      </c>
      <c r="D818" t="s">
        <v>694</v>
      </c>
      <c r="P818">
        <v>201</v>
      </c>
      <c r="Q818" t="s">
        <v>1876</v>
      </c>
    </row>
    <row r="819" spans="1:17" x14ac:dyDescent="0.3">
      <c r="A819" t="s">
        <v>17</v>
      </c>
      <c r="B819" t="str">
        <f>"600965"</f>
        <v>600965</v>
      </c>
      <c r="C819" t="s">
        <v>1877</v>
      </c>
      <c r="D819" t="s">
        <v>1878</v>
      </c>
      <c r="P819">
        <v>113</v>
      </c>
      <c r="Q819" t="s">
        <v>1879</v>
      </c>
    </row>
    <row r="820" spans="1:17" x14ac:dyDescent="0.3">
      <c r="A820" t="s">
        <v>17</v>
      </c>
      <c r="B820" t="str">
        <f>"600966"</f>
        <v>600966</v>
      </c>
      <c r="C820" t="s">
        <v>1880</v>
      </c>
      <c r="D820" t="s">
        <v>694</v>
      </c>
      <c r="P820">
        <v>396</v>
      </c>
      <c r="Q820" t="s">
        <v>1881</v>
      </c>
    </row>
    <row r="821" spans="1:17" x14ac:dyDescent="0.3">
      <c r="A821" t="s">
        <v>17</v>
      </c>
      <c r="B821" t="str">
        <f>"600967"</f>
        <v>600967</v>
      </c>
      <c r="C821" t="s">
        <v>1882</v>
      </c>
      <c r="D821" t="s">
        <v>428</v>
      </c>
      <c r="P821">
        <v>286</v>
      </c>
      <c r="Q821" t="s">
        <v>1883</v>
      </c>
    </row>
    <row r="822" spans="1:17" x14ac:dyDescent="0.3">
      <c r="A822" t="s">
        <v>17</v>
      </c>
      <c r="B822" t="str">
        <f>"600968"</f>
        <v>600968</v>
      </c>
      <c r="C822" t="s">
        <v>1884</v>
      </c>
      <c r="D822" t="s">
        <v>1758</v>
      </c>
      <c r="P822">
        <v>189</v>
      </c>
      <c r="Q822" t="s">
        <v>1885</v>
      </c>
    </row>
    <row r="823" spans="1:17" x14ac:dyDescent="0.3">
      <c r="A823" t="s">
        <v>17</v>
      </c>
      <c r="B823" t="str">
        <f>"600969"</f>
        <v>600969</v>
      </c>
      <c r="C823" t="s">
        <v>1886</v>
      </c>
      <c r="D823" t="s">
        <v>239</v>
      </c>
      <c r="P823">
        <v>77</v>
      </c>
      <c r="Q823" t="s">
        <v>1887</v>
      </c>
    </row>
    <row r="824" spans="1:17" x14ac:dyDescent="0.3">
      <c r="A824" t="s">
        <v>17</v>
      </c>
      <c r="B824" t="str">
        <f>"600970"</f>
        <v>600970</v>
      </c>
      <c r="C824" t="s">
        <v>1888</v>
      </c>
      <c r="D824" t="s">
        <v>1889</v>
      </c>
      <c r="P824">
        <v>853</v>
      </c>
      <c r="Q824" t="s">
        <v>1890</v>
      </c>
    </row>
    <row r="825" spans="1:17" x14ac:dyDescent="0.3">
      <c r="A825" t="s">
        <v>17</v>
      </c>
      <c r="B825" t="str">
        <f>"600971"</f>
        <v>600971</v>
      </c>
      <c r="C825" t="s">
        <v>1891</v>
      </c>
      <c r="D825" t="s">
        <v>292</v>
      </c>
      <c r="P825">
        <v>1522</v>
      </c>
      <c r="Q825" t="s">
        <v>1892</v>
      </c>
    </row>
    <row r="826" spans="1:17" x14ac:dyDescent="0.3">
      <c r="A826" t="s">
        <v>17</v>
      </c>
      <c r="B826" t="str">
        <f>"600973"</f>
        <v>600973</v>
      </c>
      <c r="C826" t="s">
        <v>1893</v>
      </c>
      <c r="D826" t="s">
        <v>1164</v>
      </c>
      <c r="P826">
        <v>116</v>
      </c>
      <c r="Q826" t="s">
        <v>1894</v>
      </c>
    </row>
    <row r="827" spans="1:17" x14ac:dyDescent="0.3">
      <c r="A827" t="s">
        <v>17</v>
      </c>
      <c r="B827" t="str">
        <f>"600975"</f>
        <v>600975</v>
      </c>
      <c r="C827" t="s">
        <v>1895</v>
      </c>
      <c r="D827" t="s">
        <v>1896</v>
      </c>
      <c r="P827">
        <v>305</v>
      </c>
      <c r="Q827" t="s">
        <v>1897</v>
      </c>
    </row>
    <row r="828" spans="1:17" x14ac:dyDescent="0.3">
      <c r="A828" t="s">
        <v>17</v>
      </c>
      <c r="B828" t="str">
        <f>"600976"</f>
        <v>600976</v>
      </c>
      <c r="C828" t="s">
        <v>1898</v>
      </c>
      <c r="D828" t="s">
        <v>188</v>
      </c>
      <c r="P828">
        <v>249</v>
      </c>
      <c r="Q828" t="s">
        <v>1899</v>
      </c>
    </row>
    <row r="829" spans="1:17" x14ac:dyDescent="0.3">
      <c r="A829" t="s">
        <v>17</v>
      </c>
      <c r="B829" t="str">
        <f>"600977"</f>
        <v>600977</v>
      </c>
      <c r="C829" t="s">
        <v>1900</v>
      </c>
      <c r="D829" t="s">
        <v>113</v>
      </c>
      <c r="P829">
        <v>554</v>
      </c>
      <c r="Q829" t="s">
        <v>1901</v>
      </c>
    </row>
    <row r="830" spans="1:17" x14ac:dyDescent="0.3">
      <c r="A830" t="s">
        <v>17</v>
      </c>
      <c r="B830" t="str">
        <f>"600978"</f>
        <v>600978</v>
      </c>
      <c r="C830" t="s">
        <v>1902</v>
      </c>
      <c r="P830">
        <v>167</v>
      </c>
      <c r="Q830" t="s">
        <v>1903</v>
      </c>
    </row>
    <row r="831" spans="1:17" x14ac:dyDescent="0.3">
      <c r="A831" t="s">
        <v>17</v>
      </c>
      <c r="B831" t="str">
        <f>"600979"</f>
        <v>600979</v>
      </c>
      <c r="C831" t="s">
        <v>1904</v>
      </c>
      <c r="D831" t="s">
        <v>239</v>
      </c>
      <c r="P831">
        <v>117</v>
      </c>
      <c r="Q831" t="s">
        <v>1905</v>
      </c>
    </row>
    <row r="832" spans="1:17" x14ac:dyDescent="0.3">
      <c r="A832" t="s">
        <v>17</v>
      </c>
      <c r="B832" t="str">
        <f>"600980"</f>
        <v>600980</v>
      </c>
      <c r="C832" t="s">
        <v>1906</v>
      </c>
      <c r="D832" t="s">
        <v>808</v>
      </c>
      <c r="P832">
        <v>97</v>
      </c>
      <c r="Q832" t="s">
        <v>1907</v>
      </c>
    </row>
    <row r="833" spans="1:17" x14ac:dyDescent="0.3">
      <c r="A833" t="s">
        <v>17</v>
      </c>
      <c r="B833" t="str">
        <f>"600981"</f>
        <v>600981</v>
      </c>
      <c r="C833" t="s">
        <v>1908</v>
      </c>
      <c r="D833" t="s">
        <v>131</v>
      </c>
      <c r="P833">
        <v>99</v>
      </c>
      <c r="Q833" t="s">
        <v>1909</v>
      </c>
    </row>
    <row r="834" spans="1:17" x14ac:dyDescent="0.3">
      <c r="A834" t="s">
        <v>17</v>
      </c>
      <c r="B834" t="str">
        <f>"600982"</f>
        <v>600982</v>
      </c>
      <c r="C834" t="s">
        <v>1910</v>
      </c>
      <c r="D834" t="s">
        <v>351</v>
      </c>
      <c r="P834">
        <v>135</v>
      </c>
      <c r="Q834" t="s">
        <v>1911</v>
      </c>
    </row>
    <row r="835" spans="1:17" x14ac:dyDescent="0.3">
      <c r="A835" t="s">
        <v>17</v>
      </c>
      <c r="B835" t="str">
        <f>"600983"</f>
        <v>600983</v>
      </c>
      <c r="C835" t="s">
        <v>1912</v>
      </c>
      <c r="D835" t="s">
        <v>754</v>
      </c>
      <c r="P835">
        <v>128</v>
      </c>
      <c r="Q835" t="s">
        <v>1913</v>
      </c>
    </row>
    <row r="836" spans="1:17" x14ac:dyDescent="0.3">
      <c r="A836" t="s">
        <v>17</v>
      </c>
      <c r="B836" t="str">
        <f>"600984"</f>
        <v>600984</v>
      </c>
      <c r="C836" t="s">
        <v>1914</v>
      </c>
      <c r="D836" t="s">
        <v>83</v>
      </c>
      <c r="P836">
        <v>279</v>
      </c>
      <c r="Q836" t="s">
        <v>1915</v>
      </c>
    </row>
    <row r="837" spans="1:17" x14ac:dyDescent="0.3">
      <c r="A837" t="s">
        <v>17</v>
      </c>
      <c r="B837" t="str">
        <f>"600985"</f>
        <v>600985</v>
      </c>
      <c r="C837" t="s">
        <v>1916</v>
      </c>
      <c r="D837" t="s">
        <v>298</v>
      </c>
      <c r="P837">
        <v>1007</v>
      </c>
      <c r="Q837" t="s">
        <v>1917</v>
      </c>
    </row>
    <row r="838" spans="1:17" x14ac:dyDescent="0.3">
      <c r="A838" t="s">
        <v>17</v>
      </c>
      <c r="B838" t="str">
        <f>"600986"</f>
        <v>600986</v>
      </c>
      <c r="C838" t="s">
        <v>1918</v>
      </c>
      <c r="D838" t="s">
        <v>207</v>
      </c>
      <c r="P838">
        <v>239</v>
      </c>
      <c r="Q838" t="s">
        <v>1919</v>
      </c>
    </row>
    <row r="839" spans="1:17" x14ac:dyDescent="0.3">
      <c r="A839" t="s">
        <v>17</v>
      </c>
      <c r="B839" t="str">
        <f>"600987"</f>
        <v>600987</v>
      </c>
      <c r="C839" t="s">
        <v>1920</v>
      </c>
      <c r="D839" t="s">
        <v>817</v>
      </c>
      <c r="P839">
        <v>4846</v>
      </c>
      <c r="Q839" t="s">
        <v>1921</v>
      </c>
    </row>
    <row r="840" spans="1:17" x14ac:dyDescent="0.3">
      <c r="A840" t="s">
        <v>17</v>
      </c>
      <c r="B840" t="str">
        <f>"600988"</f>
        <v>600988</v>
      </c>
      <c r="C840" t="s">
        <v>1922</v>
      </c>
      <c r="D840" t="s">
        <v>701</v>
      </c>
      <c r="P840">
        <v>487</v>
      </c>
      <c r="Q840" t="s">
        <v>1923</v>
      </c>
    </row>
    <row r="841" spans="1:17" x14ac:dyDescent="0.3">
      <c r="A841" t="s">
        <v>17</v>
      </c>
      <c r="B841" t="str">
        <f>"600989"</f>
        <v>600989</v>
      </c>
      <c r="C841" t="s">
        <v>1924</v>
      </c>
      <c r="D841" t="s">
        <v>914</v>
      </c>
      <c r="P841">
        <v>769</v>
      </c>
      <c r="Q841" t="s">
        <v>1925</v>
      </c>
    </row>
    <row r="842" spans="1:17" x14ac:dyDescent="0.3">
      <c r="A842" t="s">
        <v>17</v>
      </c>
      <c r="B842" t="str">
        <f>"600990"</f>
        <v>600990</v>
      </c>
      <c r="C842" t="s">
        <v>1926</v>
      </c>
      <c r="D842" t="s">
        <v>1136</v>
      </c>
      <c r="P842">
        <v>166</v>
      </c>
      <c r="Q842" t="s">
        <v>1927</v>
      </c>
    </row>
    <row r="843" spans="1:17" x14ac:dyDescent="0.3">
      <c r="A843" t="s">
        <v>17</v>
      </c>
      <c r="B843" t="str">
        <f>"600992"</f>
        <v>600992</v>
      </c>
      <c r="C843" t="s">
        <v>1928</v>
      </c>
      <c r="D843" t="s">
        <v>274</v>
      </c>
      <c r="P843">
        <v>57</v>
      </c>
      <c r="Q843" t="s">
        <v>1929</v>
      </c>
    </row>
    <row r="844" spans="1:17" x14ac:dyDescent="0.3">
      <c r="A844" t="s">
        <v>17</v>
      </c>
      <c r="B844" t="str">
        <f>"600993"</f>
        <v>600993</v>
      </c>
      <c r="C844" t="s">
        <v>1930</v>
      </c>
      <c r="D844" t="s">
        <v>188</v>
      </c>
      <c r="P844">
        <v>942</v>
      </c>
      <c r="Q844" t="s">
        <v>1931</v>
      </c>
    </row>
    <row r="845" spans="1:17" x14ac:dyDescent="0.3">
      <c r="A845" t="s">
        <v>17</v>
      </c>
      <c r="B845" t="str">
        <f>"600995"</f>
        <v>600995</v>
      </c>
      <c r="C845" t="s">
        <v>1932</v>
      </c>
      <c r="D845" t="s">
        <v>239</v>
      </c>
      <c r="P845">
        <v>267</v>
      </c>
      <c r="Q845" t="s">
        <v>1933</v>
      </c>
    </row>
    <row r="846" spans="1:17" x14ac:dyDescent="0.3">
      <c r="A846" t="s">
        <v>17</v>
      </c>
      <c r="B846" t="str">
        <f>"600996"</f>
        <v>600996</v>
      </c>
      <c r="C846" t="s">
        <v>1934</v>
      </c>
      <c r="D846" t="s">
        <v>95</v>
      </c>
      <c r="P846">
        <v>244</v>
      </c>
      <c r="Q846" t="s">
        <v>1935</v>
      </c>
    </row>
    <row r="847" spans="1:17" x14ac:dyDescent="0.3">
      <c r="A847" t="s">
        <v>17</v>
      </c>
      <c r="B847" t="str">
        <f>"600997"</f>
        <v>600997</v>
      </c>
      <c r="C847" t="s">
        <v>1936</v>
      </c>
      <c r="D847" t="s">
        <v>885</v>
      </c>
      <c r="P847">
        <v>729</v>
      </c>
      <c r="Q847" t="s">
        <v>1937</v>
      </c>
    </row>
    <row r="848" spans="1:17" x14ac:dyDescent="0.3">
      <c r="A848" t="s">
        <v>17</v>
      </c>
      <c r="B848" t="str">
        <f>"600998"</f>
        <v>600998</v>
      </c>
      <c r="C848" t="s">
        <v>1938</v>
      </c>
      <c r="D848" t="s">
        <v>125</v>
      </c>
      <c r="P848">
        <v>612</v>
      </c>
      <c r="Q848" t="s">
        <v>1939</v>
      </c>
    </row>
    <row r="849" spans="1:17" x14ac:dyDescent="0.3">
      <c r="A849" t="s">
        <v>17</v>
      </c>
      <c r="B849" t="str">
        <f>"600999"</f>
        <v>600999</v>
      </c>
      <c r="C849" t="s">
        <v>1940</v>
      </c>
      <c r="D849" t="s">
        <v>80</v>
      </c>
      <c r="P849">
        <v>2820</v>
      </c>
      <c r="Q849" t="s">
        <v>1941</v>
      </c>
    </row>
    <row r="850" spans="1:17" x14ac:dyDescent="0.3">
      <c r="A850" t="s">
        <v>17</v>
      </c>
      <c r="B850" t="str">
        <f>"601000"</f>
        <v>601000</v>
      </c>
      <c r="C850" t="s">
        <v>1942</v>
      </c>
      <c r="D850" t="s">
        <v>51</v>
      </c>
      <c r="P850">
        <v>892</v>
      </c>
      <c r="Q850" t="s">
        <v>1943</v>
      </c>
    </row>
    <row r="851" spans="1:17" x14ac:dyDescent="0.3">
      <c r="A851" t="s">
        <v>17</v>
      </c>
      <c r="B851" t="str">
        <f>"601001"</f>
        <v>601001</v>
      </c>
      <c r="C851" t="s">
        <v>1944</v>
      </c>
      <c r="D851" t="s">
        <v>292</v>
      </c>
      <c r="P851">
        <v>289</v>
      </c>
      <c r="Q851" t="s">
        <v>1945</v>
      </c>
    </row>
    <row r="852" spans="1:17" x14ac:dyDescent="0.3">
      <c r="A852" t="s">
        <v>17</v>
      </c>
      <c r="B852" t="str">
        <f>"601002"</f>
        <v>601002</v>
      </c>
      <c r="C852" t="s">
        <v>1946</v>
      </c>
      <c r="D852" t="s">
        <v>274</v>
      </c>
      <c r="P852">
        <v>146</v>
      </c>
      <c r="Q852" t="s">
        <v>1947</v>
      </c>
    </row>
    <row r="853" spans="1:17" x14ac:dyDescent="0.3">
      <c r="A853" t="s">
        <v>17</v>
      </c>
      <c r="B853" t="str">
        <f>"601003"</f>
        <v>601003</v>
      </c>
      <c r="C853" t="s">
        <v>1948</v>
      </c>
      <c r="D853" t="s">
        <v>38</v>
      </c>
      <c r="P853">
        <v>1021</v>
      </c>
      <c r="Q853" t="s">
        <v>1949</v>
      </c>
    </row>
    <row r="854" spans="1:17" x14ac:dyDescent="0.3">
      <c r="A854" t="s">
        <v>17</v>
      </c>
      <c r="B854" t="str">
        <f>"601005"</f>
        <v>601005</v>
      </c>
      <c r="C854" t="s">
        <v>1950</v>
      </c>
      <c r="D854" t="s">
        <v>38</v>
      </c>
      <c r="P854">
        <v>249</v>
      </c>
      <c r="Q854" t="s">
        <v>1951</v>
      </c>
    </row>
    <row r="855" spans="1:17" x14ac:dyDescent="0.3">
      <c r="A855" t="s">
        <v>17</v>
      </c>
      <c r="B855" t="str">
        <f>"601006"</f>
        <v>601006</v>
      </c>
      <c r="C855" t="s">
        <v>1952</v>
      </c>
      <c r="D855" t="s">
        <v>301</v>
      </c>
      <c r="P855">
        <v>4202</v>
      </c>
      <c r="Q855" t="s">
        <v>1953</v>
      </c>
    </row>
    <row r="856" spans="1:17" x14ac:dyDescent="0.3">
      <c r="A856" t="s">
        <v>17</v>
      </c>
      <c r="B856" t="str">
        <f>"601007"</f>
        <v>601007</v>
      </c>
      <c r="C856" t="s">
        <v>1954</v>
      </c>
      <c r="D856" t="s">
        <v>590</v>
      </c>
      <c r="P856">
        <v>111</v>
      </c>
      <c r="Q856" t="s">
        <v>1955</v>
      </c>
    </row>
    <row r="857" spans="1:17" x14ac:dyDescent="0.3">
      <c r="A857" t="s">
        <v>17</v>
      </c>
      <c r="B857" t="str">
        <f>"601008"</f>
        <v>601008</v>
      </c>
      <c r="C857" t="s">
        <v>1956</v>
      </c>
      <c r="D857" t="s">
        <v>51</v>
      </c>
      <c r="P857">
        <v>131</v>
      </c>
      <c r="Q857" t="s">
        <v>1957</v>
      </c>
    </row>
    <row r="858" spans="1:17" x14ac:dyDescent="0.3">
      <c r="A858" t="s">
        <v>17</v>
      </c>
      <c r="B858" t="str">
        <f>"601009"</f>
        <v>601009</v>
      </c>
      <c r="C858" t="s">
        <v>1958</v>
      </c>
      <c r="D858" t="s">
        <v>1838</v>
      </c>
      <c r="P858">
        <v>44247</v>
      </c>
      <c r="Q858" t="s">
        <v>1959</v>
      </c>
    </row>
    <row r="859" spans="1:17" x14ac:dyDescent="0.3">
      <c r="A859" t="s">
        <v>17</v>
      </c>
      <c r="B859" t="str">
        <f>"601010"</f>
        <v>601010</v>
      </c>
      <c r="C859" t="s">
        <v>1960</v>
      </c>
      <c r="D859" t="s">
        <v>1404</v>
      </c>
      <c r="P859">
        <v>94</v>
      </c>
      <c r="Q859" t="s">
        <v>1961</v>
      </c>
    </row>
    <row r="860" spans="1:17" x14ac:dyDescent="0.3">
      <c r="A860" t="s">
        <v>17</v>
      </c>
      <c r="B860" t="str">
        <f>"601011"</f>
        <v>601011</v>
      </c>
      <c r="C860" t="s">
        <v>1962</v>
      </c>
      <c r="D860" t="s">
        <v>885</v>
      </c>
      <c r="P860">
        <v>134</v>
      </c>
      <c r="Q860" t="s">
        <v>1963</v>
      </c>
    </row>
    <row r="861" spans="1:17" x14ac:dyDescent="0.3">
      <c r="A861" t="s">
        <v>17</v>
      </c>
      <c r="B861" t="str">
        <f>"601012"</f>
        <v>601012</v>
      </c>
      <c r="C861" t="s">
        <v>1964</v>
      </c>
      <c r="D861" t="s">
        <v>929</v>
      </c>
      <c r="P861">
        <v>6941</v>
      </c>
      <c r="Q861" t="s">
        <v>1965</v>
      </c>
    </row>
    <row r="862" spans="1:17" x14ac:dyDescent="0.3">
      <c r="A862" t="s">
        <v>17</v>
      </c>
      <c r="B862" t="str">
        <f>"601015"</f>
        <v>601015</v>
      </c>
      <c r="C862" t="s">
        <v>1966</v>
      </c>
      <c r="D862" t="s">
        <v>885</v>
      </c>
      <c r="P862">
        <v>212</v>
      </c>
      <c r="Q862" t="s">
        <v>1967</v>
      </c>
    </row>
    <row r="863" spans="1:17" x14ac:dyDescent="0.3">
      <c r="A863" t="s">
        <v>17</v>
      </c>
      <c r="B863" t="str">
        <f>"601016"</f>
        <v>601016</v>
      </c>
      <c r="C863" t="s">
        <v>1968</v>
      </c>
      <c r="D863" t="s">
        <v>383</v>
      </c>
      <c r="P863">
        <v>542</v>
      </c>
      <c r="Q863" t="s">
        <v>1969</v>
      </c>
    </row>
    <row r="864" spans="1:17" x14ac:dyDescent="0.3">
      <c r="A864" t="s">
        <v>17</v>
      </c>
      <c r="B864" t="str">
        <f>"601018"</f>
        <v>601018</v>
      </c>
      <c r="C864" t="s">
        <v>1970</v>
      </c>
      <c r="D864" t="s">
        <v>51</v>
      </c>
      <c r="P864">
        <v>335</v>
      </c>
      <c r="Q864" t="s">
        <v>1971</v>
      </c>
    </row>
    <row r="865" spans="1:17" x14ac:dyDescent="0.3">
      <c r="A865" t="s">
        <v>17</v>
      </c>
      <c r="B865" t="str">
        <f>"601019"</f>
        <v>601019</v>
      </c>
      <c r="C865" t="s">
        <v>1972</v>
      </c>
      <c r="D865" t="s">
        <v>1536</v>
      </c>
      <c r="P865">
        <v>401</v>
      </c>
      <c r="Q865" t="s">
        <v>1973</v>
      </c>
    </row>
    <row r="866" spans="1:17" x14ac:dyDescent="0.3">
      <c r="A866" t="s">
        <v>17</v>
      </c>
      <c r="B866" t="str">
        <f>"601020"</f>
        <v>601020</v>
      </c>
      <c r="C866" t="s">
        <v>1974</v>
      </c>
      <c r="D866" t="s">
        <v>701</v>
      </c>
      <c r="P866">
        <v>180</v>
      </c>
      <c r="Q866" t="s">
        <v>1975</v>
      </c>
    </row>
    <row r="867" spans="1:17" x14ac:dyDescent="0.3">
      <c r="A867" t="s">
        <v>17</v>
      </c>
      <c r="B867" t="str">
        <f>"601021"</f>
        <v>601021</v>
      </c>
      <c r="C867" t="s">
        <v>1976</v>
      </c>
      <c r="D867" t="s">
        <v>77</v>
      </c>
      <c r="P867">
        <v>1019</v>
      </c>
      <c r="Q867" t="s">
        <v>1977</v>
      </c>
    </row>
    <row r="868" spans="1:17" x14ac:dyDescent="0.3">
      <c r="A868" t="s">
        <v>17</v>
      </c>
      <c r="B868" t="str">
        <f>"601028"</f>
        <v>601028</v>
      </c>
      <c r="C868" t="s">
        <v>1978</v>
      </c>
      <c r="D868" t="s">
        <v>131</v>
      </c>
      <c r="P868">
        <v>87</v>
      </c>
      <c r="Q868" t="s">
        <v>1979</v>
      </c>
    </row>
    <row r="869" spans="1:17" x14ac:dyDescent="0.3">
      <c r="A869" t="s">
        <v>17</v>
      </c>
      <c r="B869" t="str">
        <f>"601038"</f>
        <v>601038</v>
      </c>
      <c r="C869" t="s">
        <v>1980</v>
      </c>
      <c r="D869" t="s">
        <v>1981</v>
      </c>
      <c r="P869">
        <v>179</v>
      </c>
      <c r="Q869" t="s">
        <v>1982</v>
      </c>
    </row>
    <row r="870" spans="1:17" x14ac:dyDescent="0.3">
      <c r="A870" t="s">
        <v>17</v>
      </c>
      <c r="B870" t="str">
        <f>"601058"</f>
        <v>601058</v>
      </c>
      <c r="C870" t="s">
        <v>1983</v>
      </c>
      <c r="D870" t="s">
        <v>422</v>
      </c>
      <c r="P870">
        <v>589</v>
      </c>
      <c r="Q870" t="s">
        <v>1984</v>
      </c>
    </row>
    <row r="871" spans="1:17" x14ac:dyDescent="0.3">
      <c r="A871" t="s">
        <v>17</v>
      </c>
      <c r="B871" t="str">
        <f>"601066"</f>
        <v>601066</v>
      </c>
      <c r="C871" t="s">
        <v>1985</v>
      </c>
      <c r="D871" t="s">
        <v>80</v>
      </c>
      <c r="P871">
        <v>1825</v>
      </c>
      <c r="Q871" t="s">
        <v>1986</v>
      </c>
    </row>
    <row r="872" spans="1:17" x14ac:dyDescent="0.3">
      <c r="A872" t="s">
        <v>17</v>
      </c>
      <c r="B872" t="str">
        <f>"601068"</f>
        <v>601068</v>
      </c>
      <c r="C872" t="s">
        <v>1987</v>
      </c>
      <c r="D872" t="s">
        <v>1988</v>
      </c>
      <c r="P872">
        <v>109</v>
      </c>
      <c r="Q872" t="s">
        <v>1989</v>
      </c>
    </row>
    <row r="873" spans="1:17" x14ac:dyDescent="0.3">
      <c r="A873" t="s">
        <v>17</v>
      </c>
      <c r="B873" t="str">
        <f>"601069"</f>
        <v>601069</v>
      </c>
      <c r="C873" t="s">
        <v>1990</v>
      </c>
      <c r="D873" t="s">
        <v>701</v>
      </c>
      <c r="P873">
        <v>142</v>
      </c>
      <c r="Q873" t="s">
        <v>1991</v>
      </c>
    </row>
    <row r="874" spans="1:17" x14ac:dyDescent="0.3">
      <c r="A874" t="s">
        <v>17</v>
      </c>
      <c r="B874" t="str">
        <f>"601077"</f>
        <v>601077</v>
      </c>
      <c r="C874" t="s">
        <v>1992</v>
      </c>
      <c r="D874" t="s">
        <v>1827</v>
      </c>
      <c r="P874">
        <v>509</v>
      </c>
      <c r="Q874" t="s">
        <v>1993</v>
      </c>
    </row>
    <row r="875" spans="1:17" x14ac:dyDescent="0.3">
      <c r="A875" t="s">
        <v>17</v>
      </c>
      <c r="B875" t="str">
        <f>"601086"</f>
        <v>601086</v>
      </c>
      <c r="C875" t="s">
        <v>1994</v>
      </c>
      <c r="D875" t="s">
        <v>633</v>
      </c>
      <c r="P875">
        <v>79</v>
      </c>
      <c r="Q875" t="s">
        <v>1995</v>
      </c>
    </row>
    <row r="876" spans="1:17" x14ac:dyDescent="0.3">
      <c r="A876" t="s">
        <v>17</v>
      </c>
      <c r="B876" t="str">
        <f>"601088"</f>
        <v>601088</v>
      </c>
      <c r="C876" t="s">
        <v>1996</v>
      </c>
      <c r="D876" t="s">
        <v>292</v>
      </c>
      <c r="P876">
        <v>3939</v>
      </c>
      <c r="Q876" t="s">
        <v>1997</v>
      </c>
    </row>
    <row r="877" spans="1:17" x14ac:dyDescent="0.3">
      <c r="A877" t="s">
        <v>17</v>
      </c>
      <c r="B877" t="str">
        <f>"601098"</f>
        <v>601098</v>
      </c>
      <c r="C877" t="s">
        <v>1998</v>
      </c>
      <c r="D877" t="s">
        <v>1536</v>
      </c>
      <c r="P877">
        <v>882</v>
      </c>
      <c r="Q877" t="s">
        <v>1999</v>
      </c>
    </row>
    <row r="878" spans="1:17" x14ac:dyDescent="0.3">
      <c r="A878" t="s">
        <v>17</v>
      </c>
      <c r="B878" t="str">
        <f>"601099"</f>
        <v>601099</v>
      </c>
      <c r="C878" t="s">
        <v>2000</v>
      </c>
      <c r="D878" t="s">
        <v>80</v>
      </c>
      <c r="P878">
        <v>738</v>
      </c>
      <c r="Q878" t="s">
        <v>2001</v>
      </c>
    </row>
    <row r="879" spans="1:17" x14ac:dyDescent="0.3">
      <c r="A879" t="s">
        <v>17</v>
      </c>
      <c r="B879" t="str">
        <f>"601100"</f>
        <v>601100</v>
      </c>
      <c r="C879" t="s">
        <v>2002</v>
      </c>
      <c r="D879" t="s">
        <v>2003</v>
      </c>
      <c r="P879">
        <v>1782</v>
      </c>
      <c r="Q879" t="s">
        <v>2004</v>
      </c>
    </row>
    <row r="880" spans="1:17" x14ac:dyDescent="0.3">
      <c r="A880" t="s">
        <v>17</v>
      </c>
      <c r="B880" t="str">
        <f>"601101"</f>
        <v>601101</v>
      </c>
      <c r="C880" t="s">
        <v>2005</v>
      </c>
      <c r="D880" t="s">
        <v>292</v>
      </c>
      <c r="P880">
        <v>281</v>
      </c>
      <c r="Q880" t="s">
        <v>2006</v>
      </c>
    </row>
    <row r="881" spans="1:17" x14ac:dyDescent="0.3">
      <c r="A881" t="s">
        <v>17</v>
      </c>
      <c r="B881" t="str">
        <f>"601106"</f>
        <v>601106</v>
      </c>
      <c r="C881" t="s">
        <v>2007</v>
      </c>
      <c r="D881" t="s">
        <v>395</v>
      </c>
      <c r="P881">
        <v>175</v>
      </c>
      <c r="Q881" t="s">
        <v>2008</v>
      </c>
    </row>
    <row r="882" spans="1:17" x14ac:dyDescent="0.3">
      <c r="A882" t="s">
        <v>17</v>
      </c>
      <c r="B882" t="str">
        <f>"601107"</f>
        <v>601107</v>
      </c>
      <c r="C882" t="s">
        <v>2009</v>
      </c>
      <c r="D882" t="s">
        <v>44</v>
      </c>
      <c r="P882">
        <v>231</v>
      </c>
      <c r="Q882" t="s">
        <v>2010</v>
      </c>
    </row>
    <row r="883" spans="1:17" x14ac:dyDescent="0.3">
      <c r="A883" t="s">
        <v>17</v>
      </c>
      <c r="B883" t="str">
        <f>"601108"</f>
        <v>601108</v>
      </c>
      <c r="C883" t="s">
        <v>2011</v>
      </c>
      <c r="D883" t="s">
        <v>80</v>
      </c>
      <c r="P883">
        <v>980</v>
      </c>
      <c r="Q883" t="s">
        <v>2012</v>
      </c>
    </row>
    <row r="884" spans="1:17" x14ac:dyDescent="0.3">
      <c r="A884" t="s">
        <v>17</v>
      </c>
      <c r="B884" t="str">
        <f>"601111"</f>
        <v>601111</v>
      </c>
      <c r="C884" t="s">
        <v>2013</v>
      </c>
      <c r="D884" t="s">
        <v>77</v>
      </c>
      <c r="P884">
        <v>1106</v>
      </c>
      <c r="Q884" t="s">
        <v>2014</v>
      </c>
    </row>
    <row r="885" spans="1:17" x14ac:dyDescent="0.3">
      <c r="A885" t="s">
        <v>17</v>
      </c>
      <c r="B885" t="str">
        <f>"601113"</f>
        <v>601113</v>
      </c>
      <c r="C885" t="s">
        <v>2015</v>
      </c>
      <c r="D885" t="s">
        <v>2016</v>
      </c>
      <c r="P885">
        <v>68</v>
      </c>
      <c r="Q885" t="s">
        <v>2017</v>
      </c>
    </row>
    <row r="886" spans="1:17" x14ac:dyDescent="0.3">
      <c r="A886" t="s">
        <v>17</v>
      </c>
      <c r="B886" t="str">
        <f>"601116"</f>
        <v>601116</v>
      </c>
      <c r="C886" t="s">
        <v>2018</v>
      </c>
      <c r="D886" t="s">
        <v>798</v>
      </c>
      <c r="P886">
        <v>124</v>
      </c>
      <c r="Q886" t="s">
        <v>2019</v>
      </c>
    </row>
    <row r="887" spans="1:17" x14ac:dyDescent="0.3">
      <c r="A887" t="s">
        <v>17</v>
      </c>
      <c r="B887" t="str">
        <f>"601117"</f>
        <v>601117</v>
      </c>
      <c r="C887" t="s">
        <v>2020</v>
      </c>
      <c r="D887" t="s">
        <v>2021</v>
      </c>
      <c r="P887">
        <v>717</v>
      </c>
      <c r="Q887" t="s">
        <v>2022</v>
      </c>
    </row>
    <row r="888" spans="1:17" x14ac:dyDescent="0.3">
      <c r="A888" t="s">
        <v>17</v>
      </c>
      <c r="B888" t="str">
        <f>"601118"</f>
        <v>601118</v>
      </c>
      <c r="C888" t="s">
        <v>2023</v>
      </c>
      <c r="D888" t="s">
        <v>258</v>
      </c>
      <c r="P888">
        <v>199</v>
      </c>
      <c r="Q888" t="s">
        <v>2024</v>
      </c>
    </row>
    <row r="889" spans="1:17" x14ac:dyDescent="0.3">
      <c r="A889" t="s">
        <v>17</v>
      </c>
      <c r="B889" t="str">
        <f>"601126"</f>
        <v>601126</v>
      </c>
      <c r="C889" t="s">
        <v>2025</v>
      </c>
      <c r="D889" t="s">
        <v>610</v>
      </c>
      <c r="P889">
        <v>279</v>
      </c>
      <c r="Q889" t="s">
        <v>2026</v>
      </c>
    </row>
    <row r="890" spans="1:17" x14ac:dyDescent="0.3">
      <c r="A890" t="s">
        <v>17</v>
      </c>
      <c r="B890" t="str">
        <f>"601127"</f>
        <v>601127</v>
      </c>
      <c r="C890" t="s">
        <v>2027</v>
      </c>
      <c r="D890" t="s">
        <v>247</v>
      </c>
      <c r="P890">
        <v>476</v>
      </c>
      <c r="Q890" t="s">
        <v>2028</v>
      </c>
    </row>
    <row r="891" spans="1:17" x14ac:dyDescent="0.3">
      <c r="A891" t="s">
        <v>17</v>
      </c>
      <c r="B891" t="str">
        <f>"601128"</f>
        <v>601128</v>
      </c>
      <c r="C891" t="s">
        <v>2029</v>
      </c>
      <c r="D891" t="s">
        <v>1827</v>
      </c>
      <c r="P891">
        <v>940</v>
      </c>
      <c r="Q891" t="s">
        <v>2030</v>
      </c>
    </row>
    <row r="892" spans="1:17" x14ac:dyDescent="0.3">
      <c r="A892" t="s">
        <v>17</v>
      </c>
      <c r="B892" t="str">
        <f>"601137"</f>
        <v>601137</v>
      </c>
      <c r="C892" t="s">
        <v>2031</v>
      </c>
      <c r="D892" t="s">
        <v>581</v>
      </c>
      <c r="P892">
        <v>283</v>
      </c>
      <c r="Q892" t="s">
        <v>2032</v>
      </c>
    </row>
    <row r="893" spans="1:17" x14ac:dyDescent="0.3">
      <c r="A893" t="s">
        <v>17</v>
      </c>
      <c r="B893" t="str">
        <f>"601138"</f>
        <v>601138</v>
      </c>
      <c r="C893" t="s">
        <v>2033</v>
      </c>
      <c r="D893" t="s">
        <v>313</v>
      </c>
      <c r="P893">
        <v>1318</v>
      </c>
      <c r="Q893" t="s">
        <v>2034</v>
      </c>
    </row>
    <row r="894" spans="1:17" x14ac:dyDescent="0.3">
      <c r="A894" t="s">
        <v>17</v>
      </c>
      <c r="B894" t="str">
        <f>"601139"</f>
        <v>601139</v>
      </c>
      <c r="C894" t="s">
        <v>2035</v>
      </c>
      <c r="D894" t="s">
        <v>749</v>
      </c>
      <c r="P894">
        <v>476</v>
      </c>
      <c r="Q894" t="s">
        <v>2036</v>
      </c>
    </row>
    <row r="895" spans="1:17" x14ac:dyDescent="0.3">
      <c r="A895" t="s">
        <v>17</v>
      </c>
      <c r="B895" t="str">
        <f>"601155"</f>
        <v>601155</v>
      </c>
      <c r="C895" t="s">
        <v>2037</v>
      </c>
      <c r="D895" t="s">
        <v>30</v>
      </c>
      <c r="P895">
        <v>7593</v>
      </c>
      <c r="Q895" t="s">
        <v>2038</v>
      </c>
    </row>
    <row r="896" spans="1:17" x14ac:dyDescent="0.3">
      <c r="A896" t="s">
        <v>17</v>
      </c>
      <c r="B896" t="str">
        <f>"601156"</f>
        <v>601156</v>
      </c>
      <c r="C896" t="s">
        <v>2039</v>
      </c>
      <c r="D896" t="s">
        <v>287</v>
      </c>
      <c r="P896">
        <v>105</v>
      </c>
      <c r="Q896" t="s">
        <v>2040</v>
      </c>
    </row>
    <row r="897" spans="1:17" x14ac:dyDescent="0.3">
      <c r="A897" t="s">
        <v>17</v>
      </c>
      <c r="B897" t="str">
        <f>"601158"</f>
        <v>601158</v>
      </c>
      <c r="C897" t="s">
        <v>2041</v>
      </c>
      <c r="D897" t="s">
        <v>33</v>
      </c>
      <c r="P897">
        <v>587</v>
      </c>
      <c r="Q897" t="s">
        <v>2042</v>
      </c>
    </row>
    <row r="898" spans="1:17" x14ac:dyDescent="0.3">
      <c r="A898" t="s">
        <v>17</v>
      </c>
      <c r="B898" t="str">
        <f>"601162"</f>
        <v>601162</v>
      </c>
      <c r="C898" t="s">
        <v>2043</v>
      </c>
      <c r="D898" t="s">
        <v>80</v>
      </c>
      <c r="P898">
        <v>897</v>
      </c>
      <c r="Q898" t="s">
        <v>2044</v>
      </c>
    </row>
    <row r="899" spans="1:17" x14ac:dyDescent="0.3">
      <c r="A899" t="s">
        <v>17</v>
      </c>
      <c r="B899" t="str">
        <f>"601163"</f>
        <v>601163</v>
      </c>
      <c r="C899" t="s">
        <v>2045</v>
      </c>
      <c r="D899" t="s">
        <v>422</v>
      </c>
      <c r="P899">
        <v>224</v>
      </c>
      <c r="Q899" t="s">
        <v>2046</v>
      </c>
    </row>
    <row r="900" spans="1:17" x14ac:dyDescent="0.3">
      <c r="A900" t="s">
        <v>17</v>
      </c>
      <c r="B900" t="str">
        <f>"601166"</f>
        <v>601166</v>
      </c>
      <c r="C900" t="s">
        <v>2047</v>
      </c>
      <c r="D900" t="s">
        <v>19</v>
      </c>
      <c r="P900">
        <v>24372</v>
      </c>
      <c r="Q900" t="s">
        <v>2048</v>
      </c>
    </row>
    <row r="901" spans="1:17" x14ac:dyDescent="0.3">
      <c r="A901" t="s">
        <v>17</v>
      </c>
      <c r="B901" t="str">
        <f>"601168"</f>
        <v>601168</v>
      </c>
      <c r="C901" t="s">
        <v>2049</v>
      </c>
      <c r="D901" t="s">
        <v>263</v>
      </c>
      <c r="P901">
        <v>392</v>
      </c>
      <c r="Q901" t="s">
        <v>2050</v>
      </c>
    </row>
    <row r="902" spans="1:17" x14ac:dyDescent="0.3">
      <c r="A902" t="s">
        <v>17</v>
      </c>
      <c r="B902" t="str">
        <f>"601169"</f>
        <v>601169</v>
      </c>
      <c r="C902" t="s">
        <v>2051</v>
      </c>
      <c r="D902" t="s">
        <v>1838</v>
      </c>
      <c r="P902">
        <v>16385</v>
      </c>
      <c r="Q902" t="s">
        <v>2052</v>
      </c>
    </row>
    <row r="903" spans="1:17" x14ac:dyDescent="0.3">
      <c r="A903" t="s">
        <v>17</v>
      </c>
      <c r="B903" t="str">
        <f>"601177"</f>
        <v>601177</v>
      </c>
      <c r="C903" t="s">
        <v>2053</v>
      </c>
      <c r="D903" t="s">
        <v>274</v>
      </c>
      <c r="P903">
        <v>74</v>
      </c>
      <c r="Q903" t="s">
        <v>2054</v>
      </c>
    </row>
    <row r="904" spans="1:17" x14ac:dyDescent="0.3">
      <c r="A904" t="s">
        <v>17</v>
      </c>
      <c r="B904" t="str">
        <f>"601179"</f>
        <v>601179</v>
      </c>
      <c r="C904" t="s">
        <v>2055</v>
      </c>
      <c r="D904" t="s">
        <v>210</v>
      </c>
      <c r="P904">
        <v>329</v>
      </c>
      <c r="Q904" t="s">
        <v>2056</v>
      </c>
    </row>
    <row r="905" spans="1:17" x14ac:dyDescent="0.3">
      <c r="A905" t="s">
        <v>17</v>
      </c>
      <c r="B905" t="str">
        <f>"601186"</f>
        <v>601186</v>
      </c>
      <c r="C905" t="s">
        <v>2057</v>
      </c>
      <c r="D905" t="s">
        <v>101</v>
      </c>
      <c r="P905">
        <v>1361</v>
      </c>
      <c r="Q905" t="s">
        <v>2058</v>
      </c>
    </row>
    <row r="906" spans="1:17" x14ac:dyDescent="0.3">
      <c r="A906" t="s">
        <v>17</v>
      </c>
      <c r="B906" t="str">
        <f>"601187"</f>
        <v>601187</v>
      </c>
      <c r="C906" t="s">
        <v>2059</v>
      </c>
      <c r="D906" t="s">
        <v>1838</v>
      </c>
      <c r="P906">
        <v>177</v>
      </c>
      <c r="Q906" t="s">
        <v>2060</v>
      </c>
    </row>
    <row r="907" spans="1:17" x14ac:dyDescent="0.3">
      <c r="A907" t="s">
        <v>17</v>
      </c>
      <c r="B907" t="str">
        <f>"601188"</f>
        <v>601188</v>
      </c>
      <c r="C907" t="s">
        <v>2061</v>
      </c>
      <c r="D907" t="s">
        <v>44</v>
      </c>
      <c r="P907">
        <v>124</v>
      </c>
      <c r="Q907" t="s">
        <v>2062</v>
      </c>
    </row>
    <row r="908" spans="1:17" x14ac:dyDescent="0.3">
      <c r="A908" t="s">
        <v>17</v>
      </c>
      <c r="B908" t="str">
        <f>"601198"</f>
        <v>601198</v>
      </c>
      <c r="C908" t="s">
        <v>2063</v>
      </c>
      <c r="D908" t="s">
        <v>80</v>
      </c>
      <c r="P908">
        <v>814</v>
      </c>
      <c r="Q908" t="s">
        <v>2064</v>
      </c>
    </row>
    <row r="909" spans="1:17" x14ac:dyDescent="0.3">
      <c r="A909" t="s">
        <v>17</v>
      </c>
      <c r="B909" t="str">
        <f>"601199"</f>
        <v>601199</v>
      </c>
      <c r="C909" t="s">
        <v>2065</v>
      </c>
      <c r="D909" t="s">
        <v>33</v>
      </c>
      <c r="P909">
        <v>186</v>
      </c>
      <c r="Q909" t="s">
        <v>2066</v>
      </c>
    </row>
    <row r="910" spans="1:17" x14ac:dyDescent="0.3">
      <c r="A910" t="s">
        <v>17</v>
      </c>
      <c r="B910" t="str">
        <f>"601200"</f>
        <v>601200</v>
      </c>
      <c r="C910" t="s">
        <v>2067</v>
      </c>
      <c r="D910" t="s">
        <v>499</v>
      </c>
      <c r="P910">
        <v>326</v>
      </c>
      <c r="Q910" t="s">
        <v>2068</v>
      </c>
    </row>
    <row r="911" spans="1:17" x14ac:dyDescent="0.3">
      <c r="A911" t="s">
        <v>17</v>
      </c>
      <c r="B911" t="str">
        <f>"601208"</f>
        <v>601208</v>
      </c>
      <c r="C911" t="s">
        <v>2069</v>
      </c>
      <c r="D911" t="s">
        <v>324</v>
      </c>
      <c r="P911">
        <v>3074</v>
      </c>
      <c r="Q911" t="s">
        <v>2070</v>
      </c>
    </row>
    <row r="912" spans="1:17" x14ac:dyDescent="0.3">
      <c r="A912" t="s">
        <v>17</v>
      </c>
      <c r="B912" t="str">
        <f>"601211"</f>
        <v>601211</v>
      </c>
      <c r="C912" t="s">
        <v>2071</v>
      </c>
      <c r="D912" t="s">
        <v>80</v>
      </c>
      <c r="P912">
        <v>3571</v>
      </c>
      <c r="Q912" t="s">
        <v>2072</v>
      </c>
    </row>
    <row r="913" spans="1:17" x14ac:dyDescent="0.3">
      <c r="A913" t="s">
        <v>17</v>
      </c>
      <c r="B913" t="str">
        <f>"601212"</f>
        <v>601212</v>
      </c>
      <c r="C913" t="s">
        <v>2073</v>
      </c>
      <c r="D913" t="s">
        <v>2074</v>
      </c>
      <c r="P913">
        <v>185</v>
      </c>
      <c r="Q913" t="s">
        <v>2075</v>
      </c>
    </row>
    <row r="914" spans="1:17" x14ac:dyDescent="0.3">
      <c r="A914" t="s">
        <v>17</v>
      </c>
      <c r="B914" t="str">
        <f>"601216"</f>
        <v>601216</v>
      </c>
      <c r="C914" t="s">
        <v>2076</v>
      </c>
      <c r="D914" t="s">
        <v>175</v>
      </c>
      <c r="P914">
        <v>958</v>
      </c>
      <c r="Q914" t="s">
        <v>2077</v>
      </c>
    </row>
    <row r="915" spans="1:17" x14ac:dyDescent="0.3">
      <c r="A915" t="s">
        <v>17</v>
      </c>
      <c r="B915" t="str">
        <f>"601218"</f>
        <v>601218</v>
      </c>
      <c r="C915" t="s">
        <v>2078</v>
      </c>
      <c r="D915" t="s">
        <v>950</v>
      </c>
      <c r="P915">
        <v>146</v>
      </c>
      <c r="Q915" t="s">
        <v>2079</v>
      </c>
    </row>
    <row r="916" spans="1:17" x14ac:dyDescent="0.3">
      <c r="A916" t="s">
        <v>17</v>
      </c>
      <c r="B916" t="str">
        <f>"601222"</f>
        <v>601222</v>
      </c>
      <c r="C916" t="s">
        <v>2080</v>
      </c>
      <c r="D916" t="s">
        <v>86</v>
      </c>
      <c r="P916">
        <v>556</v>
      </c>
      <c r="Q916" t="s">
        <v>2081</v>
      </c>
    </row>
    <row r="917" spans="1:17" x14ac:dyDescent="0.3">
      <c r="A917" t="s">
        <v>17</v>
      </c>
      <c r="B917" t="str">
        <f>"601225"</f>
        <v>601225</v>
      </c>
      <c r="C917" t="s">
        <v>2082</v>
      </c>
      <c r="D917" t="s">
        <v>292</v>
      </c>
      <c r="P917">
        <v>2634</v>
      </c>
      <c r="Q917" t="s">
        <v>2083</v>
      </c>
    </row>
    <row r="918" spans="1:17" x14ac:dyDescent="0.3">
      <c r="A918" t="s">
        <v>17</v>
      </c>
      <c r="B918" t="str">
        <f>"601226"</f>
        <v>601226</v>
      </c>
      <c r="C918" t="s">
        <v>2084</v>
      </c>
      <c r="D918" t="s">
        <v>1988</v>
      </c>
      <c r="P918">
        <v>114</v>
      </c>
      <c r="Q918" t="s">
        <v>2085</v>
      </c>
    </row>
    <row r="919" spans="1:17" x14ac:dyDescent="0.3">
      <c r="A919" t="s">
        <v>17</v>
      </c>
      <c r="B919" t="str">
        <f>"601228"</f>
        <v>601228</v>
      </c>
      <c r="C919" t="s">
        <v>2086</v>
      </c>
      <c r="D919" t="s">
        <v>51</v>
      </c>
      <c r="P919">
        <v>189</v>
      </c>
      <c r="Q919" t="s">
        <v>2087</v>
      </c>
    </row>
    <row r="920" spans="1:17" x14ac:dyDescent="0.3">
      <c r="A920" t="s">
        <v>17</v>
      </c>
      <c r="B920" t="str">
        <f>"601229"</f>
        <v>601229</v>
      </c>
      <c r="C920" t="s">
        <v>2088</v>
      </c>
      <c r="D920" t="s">
        <v>1838</v>
      </c>
      <c r="P920">
        <v>1546</v>
      </c>
      <c r="Q920" t="s">
        <v>2089</v>
      </c>
    </row>
    <row r="921" spans="1:17" x14ac:dyDescent="0.3">
      <c r="A921" t="s">
        <v>17</v>
      </c>
      <c r="B921" t="str">
        <f>"601231"</f>
        <v>601231</v>
      </c>
      <c r="C921" t="s">
        <v>2090</v>
      </c>
      <c r="D921" t="s">
        <v>313</v>
      </c>
      <c r="P921">
        <v>735</v>
      </c>
      <c r="Q921" t="s">
        <v>2091</v>
      </c>
    </row>
    <row r="922" spans="1:17" x14ac:dyDescent="0.3">
      <c r="A922" t="s">
        <v>17</v>
      </c>
      <c r="B922" t="str">
        <f>"601233"</f>
        <v>601233</v>
      </c>
      <c r="C922" t="s">
        <v>2092</v>
      </c>
      <c r="D922" t="s">
        <v>1615</v>
      </c>
      <c r="P922">
        <v>807</v>
      </c>
      <c r="Q922" t="s">
        <v>2093</v>
      </c>
    </row>
    <row r="923" spans="1:17" x14ac:dyDescent="0.3">
      <c r="A923" t="s">
        <v>17</v>
      </c>
      <c r="B923" t="str">
        <f>"601236"</f>
        <v>601236</v>
      </c>
      <c r="C923" t="s">
        <v>2094</v>
      </c>
      <c r="D923" t="s">
        <v>80</v>
      </c>
      <c r="P923">
        <v>879</v>
      </c>
      <c r="Q923" t="s">
        <v>2095</v>
      </c>
    </row>
    <row r="924" spans="1:17" x14ac:dyDescent="0.3">
      <c r="A924" t="s">
        <v>17</v>
      </c>
      <c r="B924" t="str">
        <f>"601238"</f>
        <v>601238</v>
      </c>
      <c r="C924" t="s">
        <v>2096</v>
      </c>
      <c r="D924" t="s">
        <v>247</v>
      </c>
      <c r="P924">
        <v>1300</v>
      </c>
      <c r="Q924" t="s">
        <v>2097</v>
      </c>
    </row>
    <row r="925" spans="1:17" x14ac:dyDescent="0.3">
      <c r="A925" t="s">
        <v>17</v>
      </c>
      <c r="B925" t="str">
        <f>"601258"</f>
        <v>601258</v>
      </c>
      <c r="C925" t="s">
        <v>2098</v>
      </c>
      <c r="D925" t="s">
        <v>672</v>
      </c>
      <c r="P925">
        <v>133</v>
      </c>
      <c r="Q925" t="s">
        <v>2099</v>
      </c>
    </row>
    <row r="926" spans="1:17" x14ac:dyDescent="0.3">
      <c r="A926" t="s">
        <v>17</v>
      </c>
      <c r="B926" t="str">
        <f>"601268"</f>
        <v>601268</v>
      </c>
      <c r="C926" t="s">
        <v>2100</v>
      </c>
      <c r="P926">
        <v>2</v>
      </c>
      <c r="Q926" t="s">
        <v>2101</v>
      </c>
    </row>
    <row r="927" spans="1:17" x14ac:dyDescent="0.3">
      <c r="A927" t="s">
        <v>17</v>
      </c>
      <c r="B927" t="str">
        <f>"601279"</f>
        <v>601279</v>
      </c>
      <c r="C927" t="s">
        <v>2102</v>
      </c>
      <c r="D927" t="s">
        <v>985</v>
      </c>
      <c r="P927">
        <v>43</v>
      </c>
      <c r="Q927" t="s">
        <v>2103</v>
      </c>
    </row>
    <row r="928" spans="1:17" x14ac:dyDescent="0.3">
      <c r="A928" t="s">
        <v>17</v>
      </c>
      <c r="B928" t="str">
        <f>"601288"</f>
        <v>601288</v>
      </c>
      <c r="C928" t="s">
        <v>2104</v>
      </c>
      <c r="D928" t="s">
        <v>2105</v>
      </c>
      <c r="P928">
        <v>9498</v>
      </c>
      <c r="Q928" t="s">
        <v>2106</v>
      </c>
    </row>
    <row r="929" spans="1:17" x14ac:dyDescent="0.3">
      <c r="A929" t="s">
        <v>17</v>
      </c>
      <c r="B929" t="str">
        <f>"601298"</f>
        <v>601298</v>
      </c>
      <c r="C929" t="s">
        <v>2107</v>
      </c>
      <c r="D929" t="s">
        <v>51</v>
      </c>
      <c r="P929">
        <v>431</v>
      </c>
      <c r="Q929" t="s">
        <v>2108</v>
      </c>
    </row>
    <row r="930" spans="1:17" x14ac:dyDescent="0.3">
      <c r="A930" t="s">
        <v>17</v>
      </c>
      <c r="B930" t="str">
        <f>"601299"</f>
        <v>601299</v>
      </c>
      <c r="C930" t="s">
        <v>2109</v>
      </c>
      <c r="P930">
        <v>12</v>
      </c>
      <c r="Q930" t="s">
        <v>2110</v>
      </c>
    </row>
    <row r="931" spans="1:17" x14ac:dyDescent="0.3">
      <c r="A931" t="s">
        <v>17</v>
      </c>
      <c r="B931" t="str">
        <f>"601311"</f>
        <v>601311</v>
      </c>
      <c r="C931" t="s">
        <v>2111</v>
      </c>
      <c r="D931" t="s">
        <v>555</v>
      </c>
      <c r="P931">
        <v>339</v>
      </c>
      <c r="Q931" t="s">
        <v>2112</v>
      </c>
    </row>
    <row r="932" spans="1:17" x14ac:dyDescent="0.3">
      <c r="A932" t="s">
        <v>17</v>
      </c>
      <c r="B932" t="str">
        <f>"601313"</f>
        <v>601313</v>
      </c>
      <c r="C932" t="s">
        <v>2113</v>
      </c>
      <c r="P932">
        <v>53</v>
      </c>
      <c r="Q932" t="s">
        <v>2114</v>
      </c>
    </row>
    <row r="933" spans="1:17" x14ac:dyDescent="0.3">
      <c r="A933" t="s">
        <v>17</v>
      </c>
      <c r="B933" t="str">
        <f>"601318"</f>
        <v>601318</v>
      </c>
      <c r="C933" t="s">
        <v>2115</v>
      </c>
      <c r="D933" t="s">
        <v>660</v>
      </c>
      <c r="P933">
        <v>27845</v>
      </c>
      <c r="Q933" t="s">
        <v>2116</v>
      </c>
    </row>
    <row r="934" spans="1:17" x14ac:dyDescent="0.3">
      <c r="A934" t="s">
        <v>17</v>
      </c>
      <c r="B934" t="str">
        <f>"601319"</f>
        <v>601319</v>
      </c>
      <c r="C934" t="s">
        <v>2117</v>
      </c>
      <c r="D934" t="s">
        <v>660</v>
      </c>
      <c r="P934">
        <v>901</v>
      </c>
      <c r="Q934" t="s">
        <v>2118</v>
      </c>
    </row>
    <row r="935" spans="1:17" x14ac:dyDescent="0.3">
      <c r="A935" t="s">
        <v>17</v>
      </c>
      <c r="B935" t="str">
        <f>"601326"</f>
        <v>601326</v>
      </c>
      <c r="C935" t="s">
        <v>2119</v>
      </c>
      <c r="D935" t="s">
        <v>51</v>
      </c>
      <c r="P935">
        <v>127</v>
      </c>
      <c r="Q935" t="s">
        <v>2120</v>
      </c>
    </row>
    <row r="936" spans="1:17" x14ac:dyDescent="0.3">
      <c r="A936" t="s">
        <v>17</v>
      </c>
      <c r="B936" t="str">
        <f>"601328"</f>
        <v>601328</v>
      </c>
      <c r="C936" t="s">
        <v>2121</v>
      </c>
      <c r="D936" t="s">
        <v>2105</v>
      </c>
      <c r="P936">
        <v>4577</v>
      </c>
      <c r="Q936" t="s">
        <v>2122</v>
      </c>
    </row>
    <row r="937" spans="1:17" x14ac:dyDescent="0.3">
      <c r="A937" t="s">
        <v>17</v>
      </c>
      <c r="B937" t="str">
        <f>"601330"</f>
        <v>601330</v>
      </c>
      <c r="C937" t="s">
        <v>2123</v>
      </c>
      <c r="D937" t="s">
        <v>499</v>
      </c>
      <c r="P937">
        <v>234</v>
      </c>
      <c r="Q937" t="s">
        <v>2124</v>
      </c>
    </row>
    <row r="938" spans="1:17" x14ac:dyDescent="0.3">
      <c r="A938" t="s">
        <v>17</v>
      </c>
      <c r="B938" t="str">
        <f>"601333"</f>
        <v>601333</v>
      </c>
      <c r="C938" t="s">
        <v>2125</v>
      </c>
      <c r="D938" t="s">
        <v>301</v>
      </c>
      <c r="P938">
        <v>318</v>
      </c>
      <c r="Q938" t="s">
        <v>2126</v>
      </c>
    </row>
    <row r="939" spans="1:17" x14ac:dyDescent="0.3">
      <c r="A939" t="s">
        <v>17</v>
      </c>
      <c r="B939" t="str">
        <f>"601336"</f>
        <v>601336</v>
      </c>
      <c r="C939" t="s">
        <v>2127</v>
      </c>
      <c r="D939" t="s">
        <v>660</v>
      </c>
      <c r="P939">
        <v>1856</v>
      </c>
      <c r="Q939" t="s">
        <v>2128</v>
      </c>
    </row>
    <row r="940" spans="1:17" x14ac:dyDescent="0.3">
      <c r="A940" t="s">
        <v>17</v>
      </c>
      <c r="B940" t="str">
        <f>"601339"</f>
        <v>601339</v>
      </c>
      <c r="C940" t="s">
        <v>2129</v>
      </c>
      <c r="D940" t="s">
        <v>1009</v>
      </c>
      <c r="P940">
        <v>207</v>
      </c>
      <c r="Q940" t="s">
        <v>2130</v>
      </c>
    </row>
    <row r="941" spans="1:17" x14ac:dyDescent="0.3">
      <c r="A941" t="s">
        <v>17</v>
      </c>
      <c r="B941" t="str">
        <f>"601360"</f>
        <v>601360</v>
      </c>
      <c r="C941" t="s">
        <v>2131</v>
      </c>
      <c r="D941" t="s">
        <v>1189</v>
      </c>
      <c r="P941">
        <v>1010</v>
      </c>
      <c r="Q941" t="s">
        <v>2132</v>
      </c>
    </row>
    <row r="942" spans="1:17" x14ac:dyDescent="0.3">
      <c r="A942" t="s">
        <v>17</v>
      </c>
      <c r="B942" t="str">
        <f>"601366"</f>
        <v>601366</v>
      </c>
      <c r="C942" t="s">
        <v>2133</v>
      </c>
      <c r="D942" t="s">
        <v>1404</v>
      </c>
      <c r="P942">
        <v>132</v>
      </c>
      <c r="Q942" t="s">
        <v>2134</v>
      </c>
    </row>
    <row r="943" spans="1:17" x14ac:dyDescent="0.3">
      <c r="A943" t="s">
        <v>17</v>
      </c>
      <c r="B943" t="str">
        <f>"601368"</f>
        <v>601368</v>
      </c>
      <c r="C943" t="s">
        <v>2135</v>
      </c>
      <c r="D943" t="s">
        <v>33</v>
      </c>
      <c r="P943">
        <v>109</v>
      </c>
      <c r="Q943" t="s">
        <v>2136</v>
      </c>
    </row>
    <row r="944" spans="1:17" x14ac:dyDescent="0.3">
      <c r="A944" t="s">
        <v>17</v>
      </c>
      <c r="B944" t="str">
        <f>"601369"</f>
        <v>601369</v>
      </c>
      <c r="C944" t="s">
        <v>2137</v>
      </c>
      <c r="D944" t="s">
        <v>560</v>
      </c>
      <c r="P944">
        <v>217</v>
      </c>
      <c r="Q944" t="s">
        <v>2138</v>
      </c>
    </row>
    <row r="945" spans="1:17" x14ac:dyDescent="0.3">
      <c r="A945" t="s">
        <v>17</v>
      </c>
      <c r="B945" t="str">
        <f>"601375"</f>
        <v>601375</v>
      </c>
      <c r="C945" t="s">
        <v>2139</v>
      </c>
      <c r="D945" t="s">
        <v>80</v>
      </c>
      <c r="P945">
        <v>690</v>
      </c>
      <c r="Q945" t="s">
        <v>2140</v>
      </c>
    </row>
    <row r="946" spans="1:17" x14ac:dyDescent="0.3">
      <c r="A946" t="s">
        <v>17</v>
      </c>
      <c r="B946" t="str">
        <f>"601377"</f>
        <v>601377</v>
      </c>
      <c r="C946" t="s">
        <v>2141</v>
      </c>
      <c r="D946" t="s">
        <v>80</v>
      </c>
      <c r="P946">
        <v>1731</v>
      </c>
      <c r="Q946" t="s">
        <v>2142</v>
      </c>
    </row>
    <row r="947" spans="1:17" x14ac:dyDescent="0.3">
      <c r="A947" t="s">
        <v>17</v>
      </c>
      <c r="B947" t="str">
        <f>"601388"</f>
        <v>601388</v>
      </c>
      <c r="C947" t="s">
        <v>2143</v>
      </c>
      <c r="D947" t="s">
        <v>504</v>
      </c>
      <c r="P947">
        <v>206</v>
      </c>
      <c r="Q947" t="s">
        <v>2144</v>
      </c>
    </row>
    <row r="948" spans="1:17" x14ac:dyDescent="0.3">
      <c r="A948" t="s">
        <v>17</v>
      </c>
      <c r="B948" t="str">
        <f>"601390"</f>
        <v>601390</v>
      </c>
      <c r="C948" t="s">
        <v>2145</v>
      </c>
      <c r="D948" t="s">
        <v>101</v>
      </c>
      <c r="P948">
        <v>1323</v>
      </c>
      <c r="Q948" t="s">
        <v>2146</v>
      </c>
    </row>
    <row r="949" spans="1:17" x14ac:dyDescent="0.3">
      <c r="A949" t="s">
        <v>17</v>
      </c>
      <c r="B949" t="str">
        <f>"601398"</f>
        <v>601398</v>
      </c>
      <c r="C949" t="s">
        <v>2147</v>
      </c>
      <c r="D949" t="s">
        <v>2105</v>
      </c>
      <c r="P949">
        <v>20387</v>
      </c>
      <c r="Q949" t="s">
        <v>2148</v>
      </c>
    </row>
    <row r="950" spans="1:17" x14ac:dyDescent="0.3">
      <c r="A950" t="s">
        <v>17</v>
      </c>
      <c r="B950" t="str">
        <f>"601399"</f>
        <v>601399</v>
      </c>
      <c r="C950" t="s">
        <v>2149</v>
      </c>
      <c r="D950" t="s">
        <v>395</v>
      </c>
      <c r="P950">
        <v>53</v>
      </c>
      <c r="Q950" t="s">
        <v>2150</v>
      </c>
    </row>
    <row r="951" spans="1:17" x14ac:dyDescent="0.3">
      <c r="A951" t="s">
        <v>17</v>
      </c>
      <c r="B951" t="str">
        <f>"601456"</f>
        <v>601456</v>
      </c>
      <c r="C951" t="s">
        <v>2151</v>
      </c>
      <c r="D951" t="s">
        <v>80</v>
      </c>
      <c r="P951">
        <v>310</v>
      </c>
      <c r="Q951" t="s">
        <v>2152</v>
      </c>
    </row>
    <row r="952" spans="1:17" x14ac:dyDescent="0.3">
      <c r="A952" t="s">
        <v>17</v>
      </c>
      <c r="B952" t="str">
        <f>"601500"</f>
        <v>601500</v>
      </c>
      <c r="C952" t="s">
        <v>2153</v>
      </c>
      <c r="D952" t="s">
        <v>422</v>
      </c>
      <c r="P952">
        <v>85</v>
      </c>
      <c r="Q952" t="s">
        <v>2154</v>
      </c>
    </row>
    <row r="953" spans="1:17" x14ac:dyDescent="0.3">
      <c r="A953" t="s">
        <v>17</v>
      </c>
      <c r="B953" t="str">
        <f>"601512"</f>
        <v>601512</v>
      </c>
      <c r="C953" t="s">
        <v>2155</v>
      </c>
      <c r="D953" t="s">
        <v>194</v>
      </c>
      <c r="P953">
        <v>103</v>
      </c>
      <c r="Q953" t="s">
        <v>2156</v>
      </c>
    </row>
    <row r="954" spans="1:17" x14ac:dyDescent="0.3">
      <c r="A954" t="s">
        <v>17</v>
      </c>
      <c r="B954" t="str">
        <f>"601515"</f>
        <v>601515</v>
      </c>
      <c r="C954" t="s">
        <v>2157</v>
      </c>
      <c r="D954" t="s">
        <v>2158</v>
      </c>
      <c r="P954">
        <v>28151</v>
      </c>
      <c r="Q954" t="s">
        <v>2159</v>
      </c>
    </row>
    <row r="955" spans="1:17" x14ac:dyDescent="0.3">
      <c r="A955" t="s">
        <v>17</v>
      </c>
      <c r="B955" t="str">
        <f>"601518"</f>
        <v>601518</v>
      </c>
      <c r="C955" t="s">
        <v>2160</v>
      </c>
      <c r="D955" t="s">
        <v>44</v>
      </c>
      <c r="P955">
        <v>111</v>
      </c>
      <c r="Q955" t="s">
        <v>2161</v>
      </c>
    </row>
    <row r="956" spans="1:17" x14ac:dyDescent="0.3">
      <c r="A956" t="s">
        <v>17</v>
      </c>
      <c r="B956" t="str">
        <f>"601519"</f>
        <v>601519</v>
      </c>
      <c r="C956" t="s">
        <v>2162</v>
      </c>
      <c r="D956" t="s">
        <v>945</v>
      </c>
      <c r="P956">
        <v>209</v>
      </c>
      <c r="Q956" t="s">
        <v>2163</v>
      </c>
    </row>
    <row r="957" spans="1:17" x14ac:dyDescent="0.3">
      <c r="A957" t="s">
        <v>17</v>
      </c>
      <c r="B957" t="str">
        <f>"601528"</f>
        <v>601528</v>
      </c>
      <c r="C957" t="s">
        <v>2164</v>
      </c>
      <c r="D957" t="s">
        <v>1827</v>
      </c>
      <c r="P957">
        <v>49</v>
      </c>
      <c r="Q957" t="s">
        <v>2165</v>
      </c>
    </row>
    <row r="958" spans="1:17" x14ac:dyDescent="0.3">
      <c r="A958" t="s">
        <v>17</v>
      </c>
      <c r="B958" t="str">
        <f>"601555"</f>
        <v>601555</v>
      </c>
      <c r="C958" t="s">
        <v>2166</v>
      </c>
      <c r="D958" t="s">
        <v>80</v>
      </c>
      <c r="P958">
        <v>937</v>
      </c>
      <c r="Q958" t="s">
        <v>2167</v>
      </c>
    </row>
    <row r="959" spans="1:17" x14ac:dyDescent="0.3">
      <c r="A959" t="s">
        <v>17</v>
      </c>
      <c r="B959" t="str">
        <f>"601558"</f>
        <v>601558</v>
      </c>
      <c r="C959" t="s">
        <v>2168</v>
      </c>
      <c r="P959">
        <v>47</v>
      </c>
      <c r="Q959" t="s">
        <v>2169</v>
      </c>
    </row>
    <row r="960" spans="1:17" x14ac:dyDescent="0.3">
      <c r="A960" t="s">
        <v>17</v>
      </c>
      <c r="B960" t="str">
        <f>"601566"</f>
        <v>601566</v>
      </c>
      <c r="C960" t="s">
        <v>2170</v>
      </c>
      <c r="D960" t="s">
        <v>255</v>
      </c>
      <c r="P960">
        <v>426</v>
      </c>
      <c r="Q960" t="s">
        <v>2171</v>
      </c>
    </row>
    <row r="961" spans="1:17" x14ac:dyDescent="0.3">
      <c r="A961" t="s">
        <v>17</v>
      </c>
      <c r="B961" t="str">
        <f>"601567"</f>
        <v>601567</v>
      </c>
      <c r="C961" t="s">
        <v>2172</v>
      </c>
      <c r="D961" t="s">
        <v>2173</v>
      </c>
      <c r="P961">
        <v>325</v>
      </c>
      <c r="Q961" t="s">
        <v>2174</v>
      </c>
    </row>
    <row r="962" spans="1:17" x14ac:dyDescent="0.3">
      <c r="A962" t="s">
        <v>17</v>
      </c>
      <c r="B962" t="str">
        <f>"601568"</f>
        <v>601568</v>
      </c>
      <c r="C962" t="s">
        <v>2175</v>
      </c>
      <c r="D962" t="s">
        <v>175</v>
      </c>
      <c r="P962">
        <v>121</v>
      </c>
      <c r="Q962" t="s">
        <v>2176</v>
      </c>
    </row>
    <row r="963" spans="1:17" x14ac:dyDescent="0.3">
      <c r="A963" t="s">
        <v>17</v>
      </c>
      <c r="B963" t="str">
        <f>"601577"</f>
        <v>601577</v>
      </c>
      <c r="C963" t="s">
        <v>2177</v>
      </c>
      <c r="D963" t="s">
        <v>1838</v>
      </c>
      <c r="P963">
        <v>927</v>
      </c>
      <c r="Q963" t="s">
        <v>2178</v>
      </c>
    </row>
    <row r="964" spans="1:17" x14ac:dyDescent="0.3">
      <c r="A964" t="s">
        <v>17</v>
      </c>
      <c r="B964" t="str">
        <f>"601579"</f>
        <v>601579</v>
      </c>
      <c r="C964" t="s">
        <v>2179</v>
      </c>
      <c r="D964" t="s">
        <v>134</v>
      </c>
      <c r="P964">
        <v>186</v>
      </c>
      <c r="Q964" t="s">
        <v>2180</v>
      </c>
    </row>
    <row r="965" spans="1:17" x14ac:dyDescent="0.3">
      <c r="A965" t="s">
        <v>17</v>
      </c>
      <c r="B965" t="str">
        <f>"601588"</f>
        <v>601588</v>
      </c>
      <c r="C965" t="s">
        <v>2181</v>
      </c>
      <c r="D965" t="s">
        <v>104</v>
      </c>
      <c r="P965">
        <v>536</v>
      </c>
      <c r="Q965" t="s">
        <v>2182</v>
      </c>
    </row>
    <row r="966" spans="1:17" x14ac:dyDescent="0.3">
      <c r="A966" t="s">
        <v>17</v>
      </c>
      <c r="B966" t="str">
        <f>"601595"</f>
        <v>601595</v>
      </c>
      <c r="C966" t="s">
        <v>2183</v>
      </c>
      <c r="D966" t="s">
        <v>113</v>
      </c>
      <c r="P966">
        <v>158</v>
      </c>
      <c r="Q966" t="s">
        <v>2184</v>
      </c>
    </row>
    <row r="967" spans="1:17" x14ac:dyDescent="0.3">
      <c r="A967" t="s">
        <v>17</v>
      </c>
      <c r="B967" t="str">
        <f>"601598"</f>
        <v>601598</v>
      </c>
      <c r="C967" t="s">
        <v>2185</v>
      </c>
      <c r="D967" t="s">
        <v>287</v>
      </c>
      <c r="P967">
        <v>316</v>
      </c>
      <c r="Q967" t="s">
        <v>2186</v>
      </c>
    </row>
    <row r="968" spans="1:17" x14ac:dyDescent="0.3">
      <c r="A968" t="s">
        <v>17</v>
      </c>
      <c r="B968" t="str">
        <f>"601599"</f>
        <v>601599</v>
      </c>
      <c r="C968" t="s">
        <v>2187</v>
      </c>
      <c r="D968" t="s">
        <v>366</v>
      </c>
      <c r="P968">
        <v>60</v>
      </c>
      <c r="Q968" t="s">
        <v>2188</v>
      </c>
    </row>
    <row r="969" spans="1:17" x14ac:dyDescent="0.3">
      <c r="A969" t="s">
        <v>17</v>
      </c>
      <c r="B969" t="str">
        <f>"601600"</f>
        <v>601600</v>
      </c>
      <c r="C969" t="s">
        <v>2189</v>
      </c>
      <c r="D969" t="s">
        <v>504</v>
      </c>
      <c r="P969">
        <v>744</v>
      </c>
      <c r="Q969" t="s">
        <v>2190</v>
      </c>
    </row>
    <row r="970" spans="1:17" x14ac:dyDescent="0.3">
      <c r="A970" t="s">
        <v>17</v>
      </c>
      <c r="B970" t="str">
        <f>"601601"</f>
        <v>601601</v>
      </c>
      <c r="C970" t="s">
        <v>2191</v>
      </c>
      <c r="D970" t="s">
        <v>660</v>
      </c>
      <c r="P970">
        <v>2648</v>
      </c>
      <c r="Q970" t="s">
        <v>2192</v>
      </c>
    </row>
    <row r="971" spans="1:17" x14ac:dyDescent="0.3">
      <c r="A971" t="s">
        <v>17</v>
      </c>
      <c r="B971" t="str">
        <f>"601606"</f>
        <v>601606</v>
      </c>
      <c r="C971" t="s">
        <v>2193</v>
      </c>
      <c r="D971" t="s">
        <v>428</v>
      </c>
      <c r="P971">
        <v>180</v>
      </c>
      <c r="Q971" t="s">
        <v>2194</v>
      </c>
    </row>
    <row r="972" spans="1:17" x14ac:dyDescent="0.3">
      <c r="A972" t="s">
        <v>17</v>
      </c>
      <c r="B972" t="str">
        <f>"601607"</f>
        <v>601607</v>
      </c>
      <c r="C972" t="s">
        <v>1714</v>
      </c>
      <c r="D972" t="s">
        <v>125</v>
      </c>
      <c r="P972">
        <v>1369</v>
      </c>
      <c r="Q972" t="s">
        <v>2195</v>
      </c>
    </row>
    <row r="973" spans="1:17" x14ac:dyDescent="0.3">
      <c r="A973" t="s">
        <v>17</v>
      </c>
      <c r="B973" t="str">
        <f>"601608"</f>
        <v>601608</v>
      </c>
      <c r="C973" t="s">
        <v>2196</v>
      </c>
      <c r="D973" t="s">
        <v>395</v>
      </c>
      <c r="P973">
        <v>178</v>
      </c>
      <c r="Q973" t="s">
        <v>2197</v>
      </c>
    </row>
    <row r="974" spans="1:17" x14ac:dyDescent="0.3">
      <c r="A974" t="s">
        <v>17</v>
      </c>
      <c r="B974" t="str">
        <f>"601609"</f>
        <v>601609</v>
      </c>
      <c r="C974" t="s">
        <v>2198</v>
      </c>
      <c r="D974" t="s">
        <v>263</v>
      </c>
      <c r="P974">
        <v>106</v>
      </c>
      <c r="Q974" t="s">
        <v>2199</v>
      </c>
    </row>
    <row r="975" spans="1:17" x14ac:dyDescent="0.3">
      <c r="A975" t="s">
        <v>17</v>
      </c>
      <c r="B975" t="str">
        <f>"601611"</f>
        <v>601611</v>
      </c>
      <c r="C975" t="s">
        <v>2200</v>
      </c>
      <c r="D975" t="s">
        <v>101</v>
      </c>
      <c r="P975">
        <v>345</v>
      </c>
      <c r="Q975" t="s">
        <v>2201</v>
      </c>
    </row>
    <row r="976" spans="1:17" x14ac:dyDescent="0.3">
      <c r="A976" t="s">
        <v>17</v>
      </c>
      <c r="B976" t="str">
        <f>"601615"</f>
        <v>601615</v>
      </c>
      <c r="C976" t="s">
        <v>2202</v>
      </c>
      <c r="D976" t="s">
        <v>895</v>
      </c>
      <c r="P976">
        <v>1068</v>
      </c>
      <c r="Q976" t="s">
        <v>2203</v>
      </c>
    </row>
    <row r="977" spans="1:17" x14ac:dyDescent="0.3">
      <c r="A977" t="s">
        <v>17</v>
      </c>
      <c r="B977" t="str">
        <f>"601616"</f>
        <v>601616</v>
      </c>
      <c r="C977" t="s">
        <v>2204</v>
      </c>
      <c r="D977" t="s">
        <v>657</v>
      </c>
      <c r="P977">
        <v>72</v>
      </c>
      <c r="Q977" t="s">
        <v>2205</v>
      </c>
    </row>
    <row r="978" spans="1:17" x14ac:dyDescent="0.3">
      <c r="A978" t="s">
        <v>17</v>
      </c>
      <c r="B978" t="str">
        <f>"601618"</f>
        <v>601618</v>
      </c>
      <c r="C978" t="s">
        <v>2206</v>
      </c>
      <c r="D978" t="s">
        <v>1988</v>
      </c>
      <c r="P978">
        <v>584</v>
      </c>
      <c r="Q978" t="s">
        <v>2207</v>
      </c>
    </row>
    <row r="979" spans="1:17" x14ac:dyDescent="0.3">
      <c r="A979" t="s">
        <v>17</v>
      </c>
      <c r="B979" t="str">
        <f>"601619"</f>
        <v>601619</v>
      </c>
      <c r="C979" t="s">
        <v>2208</v>
      </c>
      <c r="D979" t="s">
        <v>383</v>
      </c>
      <c r="P979">
        <v>184</v>
      </c>
      <c r="Q979" t="s">
        <v>2209</v>
      </c>
    </row>
    <row r="980" spans="1:17" x14ac:dyDescent="0.3">
      <c r="A980" t="s">
        <v>17</v>
      </c>
      <c r="B980" t="str">
        <f>"601628"</f>
        <v>601628</v>
      </c>
      <c r="C980" t="s">
        <v>2210</v>
      </c>
      <c r="D980" t="s">
        <v>660</v>
      </c>
      <c r="P980">
        <v>1729</v>
      </c>
      <c r="Q980" t="s">
        <v>2211</v>
      </c>
    </row>
    <row r="981" spans="1:17" x14ac:dyDescent="0.3">
      <c r="A981" t="s">
        <v>17</v>
      </c>
      <c r="B981" t="str">
        <f>"601633"</f>
        <v>601633</v>
      </c>
      <c r="C981" t="s">
        <v>2212</v>
      </c>
      <c r="D981" t="s">
        <v>247</v>
      </c>
      <c r="P981">
        <v>2066</v>
      </c>
      <c r="Q981" t="s">
        <v>2213</v>
      </c>
    </row>
    <row r="982" spans="1:17" x14ac:dyDescent="0.3">
      <c r="A982" t="s">
        <v>17</v>
      </c>
      <c r="B982" t="str">
        <f>"601636"</f>
        <v>601636</v>
      </c>
      <c r="C982" t="s">
        <v>2214</v>
      </c>
      <c r="D982" t="s">
        <v>666</v>
      </c>
      <c r="P982">
        <v>1517</v>
      </c>
      <c r="Q982" t="s">
        <v>2215</v>
      </c>
    </row>
    <row r="983" spans="1:17" x14ac:dyDescent="0.3">
      <c r="A983" t="s">
        <v>17</v>
      </c>
      <c r="B983" t="str">
        <f>"601658"</f>
        <v>601658</v>
      </c>
      <c r="C983" t="s">
        <v>2216</v>
      </c>
      <c r="D983" t="s">
        <v>2105</v>
      </c>
      <c r="P983">
        <v>1193</v>
      </c>
      <c r="Q983" t="s">
        <v>2217</v>
      </c>
    </row>
    <row r="984" spans="1:17" x14ac:dyDescent="0.3">
      <c r="A984" t="s">
        <v>17</v>
      </c>
      <c r="B984" t="str">
        <f>"601665"</f>
        <v>601665</v>
      </c>
      <c r="C984" t="s">
        <v>2218</v>
      </c>
      <c r="D984" t="s">
        <v>1838</v>
      </c>
      <c r="P984">
        <v>52</v>
      </c>
      <c r="Q984" t="s">
        <v>2219</v>
      </c>
    </row>
    <row r="985" spans="1:17" x14ac:dyDescent="0.3">
      <c r="A985" t="s">
        <v>17</v>
      </c>
      <c r="B985" t="str">
        <f>"601666"</f>
        <v>601666</v>
      </c>
      <c r="C985" t="s">
        <v>2220</v>
      </c>
      <c r="D985" t="s">
        <v>298</v>
      </c>
      <c r="P985">
        <v>401</v>
      </c>
      <c r="Q985" t="s">
        <v>2221</v>
      </c>
    </row>
    <row r="986" spans="1:17" x14ac:dyDescent="0.3">
      <c r="A986" t="s">
        <v>17</v>
      </c>
      <c r="B986" t="str">
        <f>"601668"</f>
        <v>601668</v>
      </c>
      <c r="C986" t="s">
        <v>2222</v>
      </c>
      <c r="D986" t="s">
        <v>398</v>
      </c>
      <c r="P986">
        <v>10290</v>
      </c>
      <c r="Q986" t="s">
        <v>2223</v>
      </c>
    </row>
    <row r="987" spans="1:17" x14ac:dyDescent="0.3">
      <c r="A987" t="s">
        <v>17</v>
      </c>
      <c r="B987" t="str">
        <f>"601669"</f>
        <v>601669</v>
      </c>
      <c r="C987" t="s">
        <v>2224</v>
      </c>
      <c r="D987" t="s">
        <v>101</v>
      </c>
      <c r="P987">
        <v>752</v>
      </c>
      <c r="Q987" t="s">
        <v>2225</v>
      </c>
    </row>
    <row r="988" spans="1:17" x14ac:dyDescent="0.3">
      <c r="A988" t="s">
        <v>17</v>
      </c>
      <c r="B988" t="str">
        <f>"601677"</f>
        <v>601677</v>
      </c>
      <c r="C988" t="s">
        <v>2226</v>
      </c>
      <c r="D988" t="s">
        <v>504</v>
      </c>
      <c r="P988">
        <v>370</v>
      </c>
      <c r="Q988" t="s">
        <v>2227</v>
      </c>
    </row>
    <row r="989" spans="1:17" x14ac:dyDescent="0.3">
      <c r="A989" t="s">
        <v>17</v>
      </c>
      <c r="B989" t="str">
        <f>"601678"</f>
        <v>601678</v>
      </c>
      <c r="C989" t="s">
        <v>2228</v>
      </c>
      <c r="D989" t="s">
        <v>175</v>
      </c>
      <c r="P989">
        <v>353</v>
      </c>
      <c r="Q989" t="s">
        <v>2229</v>
      </c>
    </row>
    <row r="990" spans="1:17" x14ac:dyDescent="0.3">
      <c r="A990" t="s">
        <v>17</v>
      </c>
      <c r="B990" t="str">
        <f>"601686"</f>
        <v>601686</v>
      </c>
      <c r="C990" t="s">
        <v>2230</v>
      </c>
      <c r="D990" t="s">
        <v>2231</v>
      </c>
      <c r="P990">
        <v>57</v>
      </c>
      <c r="Q990" t="s">
        <v>2232</v>
      </c>
    </row>
    <row r="991" spans="1:17" x14ac:dyDescent="0.3">
      <c r="A991" t="s">
        <v>17</v>
      </c>
      <c r="B991" t="str">
        <f>"601688"</f>
        <v>601688</v>
      </c>
      <c r="C991" t="s">
        <v>2233</v>
      </c>
      <c r="D991" t="s">
        <v>80</v>
      </c>
      <c r="P991">
        <v>6874</v>
      </c>
      <c r="Q991" t="s">
        <v>2234</v>
      </c>
    </row>
    <row r="992" spans="1:17" x14ac:dyDescent="0.3">
      <c r="A992" t="s">
        <v>17</v>
      </c>
      <c r="B992" t="str">
        <f>"601689"</f>
        <v>601689</v>
      </c>
      <c r="C992" t="s">
        <v>2235</v>
      </c>
      <c r="D992" t="s">
        <v>348</v>
      </c>
      <c r="P992">
        <v>664</v>
      </c>
      <c r="Q992" t="s">
        <v>2236</v>
      </c>
    </row>
    <row r="993" spans="1:17" x14ac:dyDescent="0.3">
      <c r="A993" t="s">
        <v>17</v>
      </c>
      <c r="B993" t="str">
        <f>"601696"</f>
        <v>601696</v>
      </c>
      <c r="C993" t="s">
        <v>2237</v>
      </c>
      <c r="D993" t="s">
        <v>80</v>
      </c>
      <c r="P993">
        <v>516</v>
      </c>
      <c r="Q993" t="s">
        <v>2238</v>
      </c>
    </row>
    <row r="994" spans="1:17" x14ac:dyDescent="0.3">
      <c r="A994" t="s">
        <v>17</v>
      </c>
      <c r="B994" t="str">
        <f>"601698"</f>
        <v>601698</v>
      </c>
      <c r="C994" t="s">
        <v>2239</v>
      </c>
      <c r="D994" t="s">
        <v>284</v>
      </c>
      <c r="P994">
        <v>316</v>
      </c>
      <c r="Q994" t="s">
        <v>2240</v>
      </c>
    </row>
    <row r="995" spans="1:17" x14ac:dyDescent="0.3">
      <c r="A995" t="s">
        <v>17</v>
      </c>
      <c r="B995" t="str">
        <f>"601699"</f>
        <v>601699</v>
      </c>
      <c r="C995" t="s">
        <v>2241</v>
      </c>
      <c r="D995" t="s">
        <v>298</v>
      </c>
      <c r="P995">
        <v>791</v>
      </c>
      <c r="Q995" t="s">
        <v>2242</v>
      </c>
    </row>
    <row r="996" spans="1:17" x14ac:dyDescent="0.3">
      <c r="A996" t="s">
        <v>17</v>
      </c>
      <c r="B996" t="str">
        <f>"601700"</f>
        <v>601700</v>
      </c>
      <c r="C996" t="s">
        <v>2243</v>
      </c>
      <c r="D996" t="s">
        <v>1164</v>
      </c>
      <c r="P996">
        <v>126</v>
      </c>
      <c r="Q996" t="s">
        <v>2244</v>
      </c>
    </row>
    <row r="997" spans="1:17" x14ac:dyDescent="0.3">
      <c r="A997" t="s">
        <v>17</v>
      </c>
      <c r="B997" t="str">
        <f>"601702"</f>
        <v>601702</v>
      </c>
      <c r="C997" t="s">
        <v>2245</v>
      </c>
      <c r="D997" t="s">
        <v>504</v>
      </c>
      <c r="P997">
        <v>116</v>
      </c>
      <c r="Q997" t="s">
        <v>2246</v>
      </c>
    </row>
    <row r="998" spans="1:17" x14ac:dyDescent="0.3">
      <c r="A998" t="s">
        <v>17</v>
      </c>
      <c r="B998" t="str">
        <f>"601717"</f>
        <v>601717</v>
      </c>
      <c r="C998" t="s">
        <v>2247</v>
      </c>
      <c r="D998" t="s">
        <v>395</v>
      </c>
      <c r="P998">
        <v>318</v>
      </c>
      <c r="Q998" t="s">
        <v>2248</v>
      </c>
    </row>
    <row r="999" spans="1:17" x14ac:dyDescent="0.3">
      <c r="A999" t="s">
        <v>17</v>
      </c>
      <c r="B999" t="str">
        <f>"601718"</f>
        <v>601718</v>
      </c>
      <c r="C999" t="s">
        <v>2249</v>
      </c>
      <c r="D999" t="s">
        <v>255</v>
      </c>
      <c r="P999">
        <v>180</v>
      </c>
      <c r="Q999" t="s">
        <v>2250</v>
      </c>
    </row>
    <row r="1000" spans="1:17" x14ac:dyDescent="0.3">
      <c r="A1000" t="s">
        <v>17</v>
      </c>
      <c r="B1000" t="str">
        <f>"601727"</f>
        <v>601727</v>
      </c>
      <c r="C1000" t="s">
        <v>2251</v>
      </c>
      <c r="D1000" t="s">
        <v>973</v>
      </c>
      <c r="P1000">
        <v>551</v>
      </c>
      <c r="Q1000" t="s">
        <v>2252</v>
      </c>
    </row>
    <row r="1001" spans="1:17" x14ac:dyDescent="0.3">
      <c r="A1001" t="s">
        <v>17</v>
      </c>
      <c r="B1001" t="str">
        <f>"601728"</f>
        <v>601728</v>
      </c>
      <c r="C1001" t="s">
        <v>2253</v>
      </c>
      <c r="D1001" t="s">
        <v>107</v>
      </c>
      <c r="P1001">
        <v>144</v>
      </c>
      <c r="Q1001" t="s">
        <v>2254</v>
      </c>
    </row>
    <row r="1002" spans="1:17" x14ac:dyDescent="0.3">
      <c r="A1002" t="s">
        <v>17</v>
      </c>
      <c r="B1002" t="str">
        <f>"601766"</f>
        <v>601766</v>
      </c>
      <c r="C1002" t="s">
        <v>2255</v>
      </c>
      <c r="D1002" t="s">
        <v>1012</v>
      </c>
      <c r="P1002">
        <v>1205</v>
      </c>
      <c r="Q1002" t="s">
        <v>2256</v>
      </c>
    </row>
    <row r="1003" spans="1:17" x14ac:dyDescent="0.3">
      <c r="A1003" t="s">
        <v>17</v>
      </c>
      <c r="B1003" t="str">
        <f>"601777"</f>
        <v>601777</v>
      </c>
      <c r="C1003" t="s">
        <v>2257</v>
      </c>
      <c r="D1003" t="s">
        <v>1654</v>
      </c>
      <c r="P1003">
        <v>154</v>
      </c>
      <c r="Q1003" t="s">
        <v>2258</v>
      </c>
    </row>
    <row r="1004" spans="1:17" x14ac:dyDescent="0.3">
      <c r="A1004" t="s">
        <v>17</v>
      </c>
      <c r="B1004" t="str">
        <f>"601778"</f>
        <v>601778</v>
      </c>
      <c r="C1004" t="s">
        <v>2259</v>
      </c>
      <c r="D1004" t="s">
        <v>86</v>
      </c>
      <c r="P1004">
        <v>221</v>
      </c>
      <c r="Q1004" t="s">
        <v>2260</v>
      </c>
    </row>
    <row r="1005" spans="1:17" x14ac:dyDescent="0.3">
      <c r="A1005" t="s">
        <v>17</v>
      </c>
      <c r="B1005" t="str">
        <f>"601788"</f>
        <v>601788</v>
      </c>
      <c r="C1005" t="s">
        <v>2261</v>
      </c>
      <c r="D1005" t="s">
        <v>80</v>
      </c>
      <c r="P1005">
        <v>1149</v>
      </c>
      <c r="Q1005" t="s">
        <v>2262</v>
      </c>
    </row>
    <row r="1006" spans="1:17" x14ac:dyDescent="0.3">
      <c r="A1006" t="s">
        <v>17</v>
      </c>
      <c r="B1006" t="str">
        <f>"601789"</f>
        <v>601789</v>
      </c>
      <c r="C1006" t="s">
        <v>2263</v>
      </c>
      <c r="D1006" t="s">
        <v>398</v>
      </c>
      <c r="P1006">
        <v>147</v>
      </c>
      <c r="Q1006" t="s">
        <v>2264</v>
      </c>
    </row>
    <row r="1007" spans="1:17" x14ac:dyDescent="0.3">
      <c r="A1007" t="s">
        <v>17</v>
      </c>
      <c r="B1007" t="str">
        <f>"601798"</f>
        <v>601798</v>
      </c>
      <c r="C1007" t="s">
        <v>2265</v>
      </c>
      <c r="D1007" t="s">
        <v>395</v>
      </c>
      <c r="P1007">
        <v>77</v>
      </c>
      <c r="Q1007" t="s">
        <v>2266</v>
      </c>
    </row>
    <row r="1008" spans="1:17" x14ac:dyDescent="0.3">
      <c r="A1008" t="s">
        <v>17</v>
      </c>
      <c r="B1008" t="str">
        <f>"601799"</f>
        <v>601799</v>
      </c>
      <c r="C1008" t="s">
        <v>2267</v>
      </c>
      <c r="D1008" t="s">
        <v>1415</v>
      </c>
      <c r="P1008">
        <v>1014</v>
      </c>
      <c r="Q1008" t="s">
        <v>2268</v>
      </c>
    </row>
    <row r="1009" spans="1:17" x14ac:dyDescent="0.3">
      <c r="A1009" t="s">
        <v>17</v>
      </c>
      <c r="B1009" t="str">
        <f>"601800"</f>
        <v>601800</v>
      </c>
      <c r="C1009" t="s">
        <v>2269</v>
      </c>
      <c r="D1009" t="s">
        <v>101</v>
      </c>
      <c r="P1009">
        <v>899</v>
      </c>
      <c r="Q1009" t="s">
        <v>2270</v>
      </c>
    </row>
    <row r="1010" spans="1:17" x14ac:dyDescent="0.3">
      <c r="A1010" t="s">
        <v>17</v>
      </c>
      <c r="B1010" t="str">
        <f>"601801"</f>
        <v>601801</v>
      </c>
      <c r="C1010" t="s">
        <v>2271</v>
      </c>
      <c r="D1010" t="s">
        <v>525</v>
      </c>
      <c r="P1010">
        <v>267</v>
      </c>
      <c r="Q1010" t="s">
        <v>2272</v>
      </c>
    </row>
    <row r="1011" spans="1:17" x14ac:dyDescent="0.3">
      <c r="A1011" t="s">
        <v>17</v>
      </c>
      <c r="B1011" t="str">
        <f>"601808"</f>
        <v>601808</v>
      </c>
      <c r="C1011" t="s">
        <v>2273</v>
      </c>
      <c r="D1011" t="s">
        <v>1758</v>
      </c>
      <c r="P1011">
        <v>411</v>
      </c>
      <c r="Q1011" t="s">
        <v>2274</v>
      </c>
    </row>
    <row r="1012" spans="1:17" x14ac:dyDescent="0.3">
      <c r="A1012" t="s">
        <v>17</v>
      </c>
      <c r="B1012" t="str">
        <f>"601811"</f>
        <v>601811</v>
      </c>
      <c r="C1012" t="s">
        <v>2275</v>
      </c>
      <c r="D1012" t="s">
        <v>1536</v>
      </c>
      <c r="P1012">
        <v>276</v>
      </c>
      <c r="Q1012" t="s">
        <v>2276</v>
      </c>
    </row>
    <row r="1013" spans="1:17" x14ac:dyDescent="0.3">
      <c r="A1013" t="s">
        <v>17</v>
      </c>
      <c r="B1013" t="str">
        <f>"601816"</f>
        <v>601816</v>
      </c>
      <c r="C1013" t="s">
        <v>2277</v>
      </c>
      <c r="D1013" t="s">
        <v>301</v>
      </c>
      <c r="P1013">
        <v>977</v>
      </c>
      <c r="Q1013" t="s">
        <v>2278</v>
      </c>
    </row>
    <row r="1014" spans="1:17" x14ac:dyDescent="0.3">
      <c r="A1014" t="s">
        <v>17</v>
      </c>
      <c r="B1014" t="str">
        <f>"601818"</f>
        <v>601818</v>
      </c>
      <c r="C1014" t="s">
        <v>2279</v>
      </c>
      <c r="D1014" t="s">
        <v>19</v>
      </c>
      <c r="P1014">
        <v>15856</v>
      </c>
      <c r="Q1014" t="s">
        <v>2280</v>
      </c>
    </row>
    <row r="1015" spans="1:17" x14ac:dyDescent="0.3">
      <c r="A1015" t="s">
        <v>17</v>
      </c>
      <c r="B1015" t="str">
        <f>"601825"</f>
        <v>601825</v>
      </c>
      <c r="C1015" t="s">
        <v>2281</v>
      </c>
      <c r="D1015" t="s">
        <v>1827</v>
      </c>
      <c r="P1015">
        <v>57</v>
      </c>
      <c r="Q1015" t="s">
        <v>2282</v>
      </c>
    </row>
    <row r="1016" spans="1:17" x14ac:dyDescent="0.3">
      <c r="A1016" t="s">
        <v>17</v>
      </c>
      <c r="B1016" t="str">
        <f>"601827"</f>
        <v>601827</v>
      </c>
      <c r="C1016" t="s">
        <v>2283</v>
      </c>
      <c r="D1016" t="s">
        <v>499</v>
      </c>
      <c r="P1016">
        <v>143</v>
      </c>
      <c r="Q1016" t="s">
        <v>2284</v>
      </c>
    </row>
    <row r="1017" spans="1:17" x14ac:dyDescent="0.3">
      <c r="A1017" t="s">
        <v>17</v>
      </c>
      <c r="B1017" t="str">
        <f>"601828"</f>
        <v>601828</v>
      </c>
      <c r="C1017" t="s">
        <v>2285</v>
      </c>
      <c r="D1017" t="s">
        <v>271</v>
      </c>
      <c r="P1017">
        <v>351</v>
      </c>
      <c r="Q1017" t="s">
        <v>2286</v>
      </c>
    </row>
    <row r="1018" spans="1:17" x14ac:dyDescent="0.3">
      <c r="A1018" t="s">
        <v>17</v>
      </c>
      <c r="B1018" t="str">
        <f>"601838"</f>
        <v>601838</v>
      </c>
      <c r="C1018" t="s">
        <v>2287</v>
      </c>
      <c r="D1018" t="s">
        <v>1838</v>
      </c>
      <c r="P1018">
        <v>1326</v>
      </c>
      <c r="Q1018" t="s">
        <v>2288</v>
      </c>
    </row>
    <row r="1019" spans="1:17" x14ac:dyDescent="0.3">
      <c r="A1019" t="s">
        <v>17</v>
      </c>
      <c r="B1019" t="str">
        <f>"601857"</f>
        <v>601857</v>
      </c>
      <c r="C1019" t="s">
        <v>2289</v>
      </c>
      <c r="D1019" t="s">
        <v>74</v>
      </c>
      <c r="P1019">
        <v>1280</v>
      </c>
      <c r="Q1019" t="s">
        <v>2290</v>
      </c>
    </row>
    <row r="1020" spans="1:17" x14ac:dyDescent="0.3">
      <c r="A1020" t="s">
        <v>17</v>
      </c>
      <c r="B1020" t="str">
        <f>"601858"</f>
        <v>601858</v>
      </c>
      <c r="C1020" t="s">
        <v>2291</v>
      </c>
      <c r="D1020" t="s">
        <v>525</v>
      </c>
      <c r="P1020">
        <v>178</v>
      </c>
      <c r="Q1020" t="s">
        <v>2292</v>
      </c>
    </row>
    <row r="1021" spans="1:17" x14ac:dyDescent="0.3">
      <c r="A1021" t="s">
        <v>17</v>
      </c>
      <c r="B1021" t="str">
        <f>"601860"</f>
        <v>601860</v>
      </c>
      <c r="C1021" t="s">
        <v>2293</v>
      </c>
      <c r="D1021" t="s">
        <v>1827</v>
      </c>
      <c r="P1021">
        <v>332</v>
      </c>
      <c r="Q1021" t="s">
        <v>2294</v>
      </c>
    </row>
    <row r="1022" spans="1:17" x14ac:dyDescent="0.3">
      <c r="A1022" t="s">
        <v>17</v>
      </c>
      <c r="B1022" t="str">
        <f>"601865"</f>
        <v>601865</v>
      </c>
      <c r="C1022" t="s">
        <v>2295</v>
      </c>
      <c r="D1022" t="s">
        <v>478</v>
      </c>
      <c r="P1022">
        <v>925</v>
      </c>
      <c r="Q1022" t="s">
        <v>2296</v>
      </c>
    </row>
    <row r="1023" spans="1:17" x14ac:dyDescent="0.3">
      <c r="A1023" t="s">
        <v>17</v>
      </c>
      <c r="B1023" t="str">
        <f>"601866"</f>
        <v>601866</v>
      </c>
      <c r="C1023" t="s">
        <v>2297</v>
      </c>
      <c r="D1023" t="s">
        <v>69</v>
      </c>
      <c r="P1023">
        <v>336</v>
      </c>
      <c r="Q1023" t="s">
        <v>2298</v>
      </c>
    </row>
    <row r="1024" spans="1:17" x14ac:dyDescent="0.3">
      <c r="A1024" t="s">
        <v>17</v>
      </c>
      <c r="B1024" t="str">
        <f>"601868"</f>
        <v>601868</v>
      </c>
      <c r="C1024" t="s">
        <v>2299</v>
      </c>
      <c r="D1024" t="s">
        <v>101</v>
      </c>
      <c r="P1024">
        <v>152</v>
      </c>
      <c r="Q1024" t="s">
        <v>2300</v>
      </c>
    </row>
    <row r="1025" spans="1:17" x14ac:dyDescent="0.3">
      <c r="A1025" t="s">
        <v>17</v>
      </c>
      <c r="B1025" t="str">
        <f>"601869"</f>
        <v>601869</v>
      </c>
      <c r="C1025" t="s">
        <v>2301</v>
      </c>
      <c r="D1025" t="s">
        <v>250</v>
      </c>
      <c r="P1025">
        <v>403</v>
      </c>
      <c r="Q1025" t="s">
        <v>2302</v>
      </c>
    </row>
    <row r="1026" spans="1:17" x14ac:dyDescent="0.3">
      <c r="A1026" t="s">
        <v>17</v>
      </c>
      <c r="B1026" t="str">
        <f>"601872"</f>
        <v>601872</v>
      </c>
      <c r="C1026" t="s">
        <v>2303</v>
      </c>
      <c r="D1026" t="s">
        <v>69</v>
      </c>
      <c r="P1026">
        <v>574</v>
      </c>
      <c r="Q1026" t="s">
        <v>2304</v>
      </c>
    </row>
    <row r="1027" spans="1:17" x14ac:dyDescent="0.3">
      <c r="A1027" t="s">
        <v>17</v>
      </c>
      <c r="B1027" t="str">
        <f>"601877"</f>
        <v>601877</v>
      </c>
      <c r="C1027" t="s">
        <v>2305</v>
      </c>
      <c r="D1027" t="s">
        <v>657</v>
      </c>
      <c r="P1027">
        <v>34820</v>
      </c>
      <c r="Q1027" t="s">
        <v>2306</v>
      </c>
    </row>
    <row r="1028" spans="1:17" x14ac:dyDescent="0.3">
      <c r="A1028" t="s">
        <v>17</v>
      </c>
      <c r="B1028" t="str">
        <f>"601878"</f>
        <v>601878</v>
      </c>
      <c r="C1028" t="s">
        <v>2307</v>
      </c>
      <c r="D1028" t="s">
        <v>80</v>
      </c>
      <c r="P1028">
        <v>842</v>
      </c>
      <c r="Q1028" t="s">
        <v>2308</v>
      </c>
    </row>
    <row r="1029" spans="1:17" x14ac:dyDescent="0.3">
      <c r="A1029" t="s">
        <v>17</v>
      </c>
      <c r="B1029" t="str">
        <f>"601880"</f>
        <v>601880</v>
      </c>
      <c r="C1029" t="s">
        <v>2309</v>
      </c>
      <c r="D1029" t="s">
        <v>51</v>
      </c>
      <c r="P1029">
        <v>189</v>
      </c>
      <c r="Q1029" t="s">
        <v>2310</v>
      </c>
    </row>
    <row r="1030" spans="1:17" x14ac:dyDescent="0.3">
      <c r="A1030" t="s">
        <v>17</v>
      </c>
      <c r="B1030" t="str">
        <f>"601881"</f>
        <v>601881</v>
      </c>
      <c r="C1030" t="s">
        <v>2311</v>
      </c>
      <c r="D1030" t="s">
        <v>80</v>
      </c>
      <c r="P1030">
        <v>1598</v>
      </c>
      <c r="Q1030" t="s">
        <v>2312</v>
      </c>
    </row>
    <row r="1031" spans="1:17" x14ac:dyDescent="0.3">
      <c r="A1031" t="s">
        <v>17</v>
      </c>
      <c r="B1031" t="str">
        <f>"601882"</f>
        <v>601882</v>
      </c>
      <c r="C1031" t="s">
        <v>2313</v>
      </c>
      <c r="D1031" t="s">
        <v>2314</v>
      </c>
      <c r="P1031">
        <v>188</v>
      </c>
      <c r="Q1031" t="s">
        <v>2315</v>
      </c>
    </row>
    <row r="1032" spans="1:17" x14ac:dyDescent="0.3">
      <c r="A1032" t="s">
        <v>17</v>
      </c>
      <c r="B1032" t="str">
        <f>"601886"</f>
        <v>601886</v>
      </c>
      <c r="C1032" t="s">
        <v>2316</v>
      </c>
      <c r="D1032" t="s">
        <v>450</v>
      </c>
      <c r="P1032">
        <v>177</v>
      </c>
      <c r="Q1032" t="s">
        <v>2317</v>
      </c>
    </row>
    <row r="1033" spans="1:17" x14ac:dyDescent="0.3">
      <c r="A1033" t="s">
        <v>17</v>
      </c>
      <c r="B1033" t="str">
        <f>"601888"</f>
        <v>601888</v>
      </c>
      <c r="C1033" t="s">
        <v>2318</v>
      </c>
      <c r="D1033" t="s">
        <v>2319</v>
      </c>
      <c r="P1033">
        <v>6129</v>
      </c>
      <c r="Q1033" t="s">
        <v>2320</v>
      </c>
    </row>
    <row r="1034" spans="1:17" x14ac:dyDescent="0.3">
      <c r="A1034" t="s">
        <v>17</v>
      </c>
      <c r="B1034" t="str">
        <f>"601890"</f>
        <v>601890</v>
      </c>
      <c r="C1034" t="s">
        <v>2321</v>
      </c>
      <c r="D1034" t="s">
        <v>167</v>
      </c>
      <c r="P1034">
        <v>144</v>
      </c>
      <c r="Q1034" t="s">
        <v>2322</v>
      </c>
    </row>
    <row r="1035" spans="1:17" x14ac:dyDescent="0.3">
      <c r="A1035" t="s">
        <v>17</v>
      </c>
      <c r="B1035" t="str">
        <f>"601898"</f>
        <v>601898</v>
      </c>
      <c r="C1035" t="s">
        <v>2323</v>
      </c>
      <c r="D1035" t="s">
        <v>292</v>
      </c>
      <c r="P1035">
        <v>446</v>
      </c>
      <c r="Q1035" t="s">
        <v>2324</v>
      </c>
    </row>
    <row r="1036" spans="1:17" x14ac:dyDescent="0.3">
      <c r="A1036" t="s">
        <v>17</v>
      </c>
      <c r="B1036" t="str">
        <f>"601899"</f>
        <v>601899</v>
      </c>
      <c r="C1036" t="s">
        <v>2325</v>
      </c>
      <c r="D1036" t="s">
        <v>263</v>
      </c>
      <c r="P1036">
        <v>2402</v>
      </c>
      <c r="Q1036" t="s">
        <v>2326</v>
      </c>
    </row>
    <row r="1037" spans="1:17" x14ac:dyDescent="0.3">
      <c r="A1037" t="s">
        <v>17</v>
      </c>
      <c r="B1037" t="str">
        <f>"601900"</f>
        <v>601900</v>
      </c>
      <c r="C1037" t="s">
        <v>2327</v>
      </c>
      <c r="D1037" t="s">
        <v>1536</v>
      </c>
      <c r="P1037">
        <v>244</v>
      </c>
      <c r="Q1037" t="s">
        <v>2328</v>
      </c>
    </row>
    <row r="1038" spans="1:17" x14ac:dyDescent="0.3">
      <c r="A1038" t="s">
        <v>17</v>
      </c>
      <c r="B1038" t="str">
        <f>"601901"</f>
        <v>601901</v>
      </c>
      <c r="C1038" t="s">
        <v>2329</v>
      </c>
      <c r="D1038" t="s">
        <v>80</v>
      </c>
      <c r="P1038">
        <v>931</v>
      </c>
      <c r="Q1038" t="s">
        <v>2330</v>
      </c>
    </row>
    <row r="1039" spans="1:17" x14ac:dyDescent="0.3">
      <c r="A1039" t="s">
        <v>17</v>
      </c>
      <c r="B1039" t="str">
        <f>"601908"</f>
        <v>601908</v>
      </c>
      <c r="C1039" t="s">
        <v>2331</v>
      </c>
      <c r="D1039" t="s">
        <v>86</v>
      </c>
      <c r="P1039">
        <v>318</v>
      </c>
      <c r="Q1039" t="s">
        <v>2332</v>
      </c>
    </row>
    <row r="1040" spans="1:17" x14ac:dyDescent="0.3">
      <c r="A1040" t="s">
        <v>17</v>
      </c>
      <c r="B1040" t="str">
        <f>"601916"</f>
        <v>601916</v>
      </c>
      <c r="C1040" t="s">
        <v>2333</v>
      </c>
      <c r="D1040" t="s">
        <v>19</v>
      </c>
      <c r="P1040">
        <v>537</v>
      </c>
      <c r="Q1040" t="s">
        <v>2334</v>
      </c>
    </row>
    <row r="1041" spans="1:17" x14ac:dyDescent="0.3">
      <c r="A1041" t="s">
        <v>17</v>
      </c>
      <c r="B1041" t="str">
        <f>"601918"</f>
        <v>601918</v>
      </c>
      <c r="C1041" t="s">
        <v>2335</v>
      </c>
      <c r="D1041" t="s">
        <v>292</v>
      </c>
      <c r="P1041">
        <v>237</v>
      </c>
      <c r="Q1041" t="s">
        <v>2336</v>
      </c>
    </row>
    <row r="1042" spans="1:17" x14ac:dyDescent="0.3">
      <c r="A1042" t="s">
        <v>17</v>
      </c>
      <c r="B1042" t="str">
        <f>"601919"</f>
        <v>601919</v>
      </c>
      <c r="C1042" t="s">
        <v>2337</v>
      </c>
      <c r="D1042" t="s">
        <v>69</v>
      </c>
      <c r="P1042">
        <v>1359</v>
      </c>
      <c r="Q1042" t="s">
        <v>2338</v>
      </c>
    </row>
    <row r="1043" spans="1:17" x14ac:dyDescent="0.3">
      <c r="A1043" t="s">
        <v>17</v>
      </c>
      <c r="B1043" t="str">
        <f>"601921"</f>
        <v>601921</v>
      </c>
      <c r="C1043" t="s">
        <v>2339</v>
      </c>
      <c r="D1043" t="s">
        <v>1536</v>
      </c>
      <c r="P1043">
        <v>28</v>
      </c>
      <c r="Q1043" t="s">
        <v>2340</v>
      </c>
    </row>
    <row r="1044" spans="1:17" x14ac:dyDescent="0.3">
      <c r="A1044" t="s">
        <v>17</v>
      </c>
      <c r="B1044" t="str">
        <f>"601928"</f>
        <v>601928</v>
      </c>
      <c r="C1044" t="s">
        <v>2341</v>
      </c>
      <c r="D1044" t="s">
        <v>1536</v>
      </c>
      <c r="P1044">
        <v>551</v>
      </c>
      <c r="Q1044" t="s">
        <v>2342</v>
      </c>
    </row>
    <row r="1045" spans="1:17" x14ac:dyDescent="0.3">
      <c r="A1045" t="s">
        <v>17</v>
      </c>
      <c r="B1045" t="str">
        <f>"601929"</f>
        <v>601929</v>
      </c>
      <c r="C1045" t="s">
        <v>2343</v>
      </c>
      <c r="D1045" t="s">
        <v>95</v>
      </c>
      <c r="P1045">
        <v>159</v>
      </c>
      <c r="Q1045" t="s">
        <v>2344</v>
      </c>
    </row>
    <row r="1046" spans="1:17" x14ac:dyDescent="0.3">
      <c r="A1046" t="s">
        <v>17</v>
      </c>
      <c r="B1046" t="str">
        <f>"601933"</f>
        <v>601933</v>
      </c>
      <c r="C1046" t="s">
        <v>2345</v>
      </c>
      <c r="D1046" t="s">
        <v>798</v>
      </c>
      <c r="P1046">
        <v>2444</v>
      </c>
      <c r="Q1046" t="s">
        <v>2346</v>
      </c>
    </row>
    <row r="1047" spans="1:17" x14ac:dyDescent="0.3">
      <c r="A1047" t="s">
        <v>17</v>
      </c>
      <c r="B1047" t="str">
        <f>"601939"</f>
        <v>601939</v>
      </c>
      <c r="C1047" t="s">
        <v>2347</v>
      </c>
      <c r="D1047" t="s">
        <v>2105</v>
      </c>
      <c r="P1047">
        <v>19332</v>
      </c>
      <c r="Q1047" t="s">
        <v>2348</v>
      </c>
    </row>
    <row r="1048" spans="1:17" x14ac:dyDescent="0.3">
      <c r="A1048" t="s">
        <v>17</v>
      </c>
      <c r="B1048" t="str">
        <f>"601949"</f>
        <v>601949</v>
      </c>
      <c r="C1048" t="s">
        <v>2349</v>
      </c>
      <c r="D1048" t="s">
        <v>525</v>
      </c>
      <c r="P1048">
        <v>160</v>
      </c>
      <c r="Q1048" t="s">
        <v>2350</v>
      </c>
    </row>
    <row r="1049" spans="1:17" x14ac:dyDescent="0.3">
      <c r="A1049" t="s">
        <v>17</v>
      </c>
      <c r="B1049" t="str">
        <f>"601952"</f>
        <v>601952</v>
      </c>
      <c r="C1049" t="s">
        <v>2351</v>
      </c>
      <c r="D1049" t="s">
        <v>1210</v>
      </c>
      <c r="P1049">
        <v>313</v>
      </c>
      <c r="Q1049" t="s">
        <v>2352</v>
      </c>
    </row>
    <row r="1050" spans="1:17" x14ac:dyDescent="0.3">
      <c r="A1050" t="s">
        <v>17</v>
      </c>
      <c r="B1050" t="str">
        <f>"601956"</f>
        <v>601956</v>
      </c>
      <c r="C1050" t="s">
        <v>2353</v>
      </c>
      <c r="D1050" t="s">
        <v>1253</v>
      </c>
      <c r="P1050">
        <v>23</v>
      </c>
      <c r="Q1050" t="s">
        <v>2354</v>
      </c>
    </row>
    <row r="1051" spans="1:17" x14ac:dyDescent="0.3">
      <c r="A1051" t="s">
        <v>17</v>
      </c>
      <c r="B1051" t="str">
        <f>"601958"</f>
        <v>601958</v>
      </c>
      <c r="C1051" t="s">
        <v>2355</v>
      </c>
      <c r="D1051" t="s">
        <v>2356</v>
      </c>
      <c r="P1051">
        <v>244</v>
      </c>
      <c r="Q1051" t="s">
        <v>2357</v>
      </c>
    </row>
    <row r="1052" spans="1:17" x14ac:dyDescent="0.3">
      <c r="A1052" t="s">
        <v>17</v>
      </c>
      <c r="B1052" t="str">
        <f>"601963"</f>
        <v>601963</v>
      </c>
      <c r="C1052" t="s">
        <v>2358</v>
      </c>
      <c r="D1052" t="s">
        <v>1838</v>
      </c>
      <c r="P1052">
        <v>149</v>
      </c>
      <c r="Q1052" t="s">
        <v>2359</v>
      </c>
    </row>
    <row r="1053" spans="1:17" x14ac:dyDescent="0.3">
      <c r="A1053" t="s">
        <v>17</v>
      </c>
      <c r="B1053" t="str">
        <f>"601965"</f>
        <v>601965</v>
      </c>
      <c r="C1053" t="s">
        <v>2360</v>
      </c>
      <c r="D1053" t="s">
        <v>2361</v>
      </c>
      <c r="P1053">
        <v>307</v>
      </c>
      <c r="Q1053" t="s">
        <v>2362</v>
      </c>
    </row>
    <row r="1054" spans="1:17" x14ac:dyDescent="0.3">
      <c r="A1054" t="s">
        <v>17</v>
      </c>
      <c r="B1054" t="str">
        <f>"601966"</f>
        <v>601966</v>
      </c>
      <c r="C1054" t="s">
        <v>2363</v>
      </c>
      <c r="D1054" t="s">
        <v>422</v>
      </c>
      <c r="P1054">
        <v>927</v>
      </c>
      <c r="Q1054" t="s">
        <v>2364</v>
      </c>
    </row>
    <row r="1055" spans="1:17" x14ac:dyDescent="0.3">
      <c r="A1055" t="s">
        <v>17</v>
      </c>
      <c r="B1055" t="str">
        <f>"601968"</f>
        <v>601968</v>
      </c>
      <c r="C1055" t="s">
        <v>2365</v>
      </c>
      <c r="D1055" t="s">
        <v>2366</v>
      </c>
      <c r="P1055">
        <v>108</v>
      </c>
      <c r="Q1055" t="s">
        <v>2367</v>
      </c>
    </row>
    <row r="1056" spans="1:17" x14ac:dyDescent="0.3">
      <c r="A1056" t="s">
        <v>17</v>
      </c>
      <c r="B1056" t="str">
        <f>"601969"</f>
        <v>601969</v>
      </c>
      <c r="C1056" t="s">
        <v>2368</v>
      </c>
      <c r="D1056" t="s">
        <v>2369</v>
      </c>
      <c r="P1056">
        <v>154</v>
      </c>
      <c r="Q1056" t="s">
        <v>2370</v>
      </c>
    </row>
    <row r="1057" spans="1:17" x14ac:dyDescent="0.3">
      <c r="A1057" t="s">
        <v>17</v>
      </c>
      <c r="B1057" t="str">
        <f>"601975"</f>
        <v>601975</v>
      </c>
      <c r="C1057" t="s">
        <v>2371</v>
      </c>
      <c r="D1057" t="s">
        <v>69</v>
      </c>
      <c r="P1057">
        <v>270</v>
      </c>
      <c r="Q1057" t="s">
        <v>2372</v>
      </c>
    </row>
    <row r="1058" spans="1:17" x14ac:dyDescent="0.3">
      <c r="A1058" t="s">
        <v>17</v>
      </c>
      <c r="B1058" t="str">
        <f>"601985"</f>
        <v>601985</v>
      </c>
      <c r="C1058" t="s">
        <v>2373</v>
      </c>
      <c r="D1058" t="s">
        <v>2374</v>
      </c>
      <c r="P1058">
        <v>998</v>
      </c>
      <c r="Q1058" t="s">
        <v>2375</v>
      </c>
    </row>
    <row r="1059" spans="1:17" x14ac:dyDescent="0.3">
      <c r="A1059" t="s">
        <v>17</v>
      </c>
      <c r="B1059" t="str">
        <f>"601988"</f>
        <v>601988</v>
      </c>
      <c r="C1059" t="s">
        <v>2376</v>
      </c>
      <c r="D1059" t="s">
        <v>2105</v>
      </c>
      <c r="P1059">
        <v>4259</v>
      </c>
      <c r="Q1059" t="s">
        <v>2377</v>
      </c>
    </row>
    <row r="1060" spans="1:17" x14ac:dyDescent="0.3">
      <c r="A1060" t="s">
        <v>17</v>
      </c>
      <c r="B1060" t="str">
        <f>"601989"</f>
        <v>601989</v>
      </c>
      <c r="C1060" t="s">
        <v>2378</v>
      </c>
      <c r="D1060" t="s">
        <v>167</v>
      </c>
      <c r="P1060">
        <v>669</v>
      </c>
      <c r="Q1060" t="s">
        <v>2379</v>
      </c>
    </row>
    <row r="1061" spans="1:17" x14ac:dyDescent="0.3">
      <c r="A1061" t="s">
        <v>17</v>
      </c>
      <c r="B1061" t="str">
        <f>"601990"</f>
        <v>601990</v>
      </c>
      <c r="C1061" t="s">
        <v>2380</v>
      </c>
      <c r="D1061" t="s">
        <v>80</v>
      </c>
      <c r="P1061">
        <v>722</v>
      </c>
      <c r="Q1061" t="s">
        <v>2381</v>
      </c>
    </row>
    <row r="1062" spans="1:17" x14ac:dyDescent="0.3">
      <c r="A1062" t="s">
        <v>17</v>
      </c>
      <c r="B1062" t="str">
        <f>"601991"</f>
        <v>601991</v>
      </c>
      <c r="C1062" t="s">
        <v>2382</v>
      </c>
      <c r="D1062" t="s">
        <v>41</v>
      </c>
      <c r="P1062">
        <v>283</v>
      </c>
      <c r="Q1062" t="s">
        <v>2383</v>
      </c>
    </row>
    <row r="1063" spans="1:17" x14ac:dyDescent="0.3">
      <c r="A1063" t="s">
        <v>17</v>
      </c>
      <c r="B1063" t="str">
        <f>"601992"</f>
        <v>601992</v>
      </c>
      <c r="C1063" t="s">
        <v>2384</v>
      </c>
      <c r="D1063" t="s">
        <v>731</v>
      </c>
      <c r="P1063">
        <v>368</v>
      </c>
      <c r="Q1063" t="s">
        <v>2385</v>
      </c>
    </row>
    <row r="1064" spans="1:17" x14ac:dyDescent="0.3">
      <c r="A1064" t="s">
        <v>17</v>
      </c>
      <c r="B1064" t="str">
        <f>"601995"</f>
        <v>601995</v>
      </c>
      <c r="C1064" t="s">
        <v>2386</v>
      </c>
      <c r="D1064" t="s">
        <v>80</v>
      </c>
      <c r="P1064">
        <v>986</v>
      </c>
      <c r="Q1064" t="s">
        <v>2387</v>
      </c>
    </row>
    <row r="1065" spans="1:17" x14ac:dyDescent="0.3">
      <c r="A1065" t="s">
        <v>17</v>
      </c>
      <c r="B1065" t="str">
        <f>"601996"</f>
        <v>601996</v>
      </c>
      <c r="C1065" t="s">
        <v>2388</v>
      </c>
      <c r="D1065" t="s">
        <v>178</v>
      </c>
      <c r="P1065">
        <v>143</v>
      </c>
      <c r="Q1065" t="s">
        <v>2389</v>
      </c>
    </row>
    <row r="1066" spans="1:17" x14ac:dyDescent="0.3">
      <c r="A1066" t="s">
        <v>17</v>
      </c>
      <c r="B1066" t="str">
        <f>"601997"</f>
        <v>601997</v>
      </c>
      <c r="C1066" t="s">
        <v>2390</v>
      </c>
      <c r="D1066" t="s">
        <v>1838</v>
      </c>
      <c r="P1066">
        <v>2050</v>
      </c>
      <c r="Q1066" t="s">
        <v>2391</v>
      </c>
    </row>
    <row r="1067" spans="1:17" x14ac:dyDescent="0.3">
      <c r="A1067" t="s">
        <v>17</v>
      </c>
      <c r="B1067" t="str">
        <f>"601998"</f>
        <v>601998</v>
      </c>
      <c r="C1067" t="s">
        <v>2392</v>
      </c>
      <c r="D1067" t="s">
        <v>19</v>
      </c>
      <c r="P1067">
        <v>1903</v>
      </c>
      <c r="Q1067" t="s">
        <v>2393</v>
      </c>
    </row>
    <row r="1068" spans="1:17" x14ac:dyDescent="0.3">
      <c r="A1068" t="s">
        <v>17</v>
      </c>
      <c r="B1068" t="str">
        <f>"601999"</f>
        <v>601999</v>
      </c>
      <c r="C1068" t="s">
        <v>2394</v>
      </c>
      <c r="D1068" t="s">
        <v>525</v>
      </c>
      <c r="P1068">
        <v>82</v>
      </c>
      <c r="Q1068" t="s">
        <v>2395</v>
      </c>
    </row>
    <row r="1069" spans="1:17" x14ac:dyDescent="0.3">
      <c r="A1069" t="s">
        <v>17</v>
      </c>
      <c r="B1069" t="str">
        <f>"603000"</f>
        <v>603000</v>
      </c>
      <c r="C1069" t="s">
        <v>2396</v>
      </c>
      <c r="D1069" t="s">
        <v>522</v>
      </c>
      <c r="P1069">
        <v>323</v>
      </c>
      <c r="Q1069" t="s">
        <v>2397</v>
      </c>
    </row>
    <row r="1070" spans="1:17" x14ac:dyDescent="0.3">
      <c r="A1070" t="s">
        <v>17</v>
      </c>
      <c r="B1070" t="str">
        <f>"603001"</f>
        <v>603001</v>
      </c>
      <c r="C1070" t="s">
        <v>2398</v>
      </c>
      <c r="D1070" t="s">
        <v>330</v>
      </c>
      <c r="P1070">
        <v>148</v>
      </c>
      <c r="Q1070" t="s">
        <v>2399</v>
      </c>
    </row>
    <row r="1071" spans="1:17" x14ac:dyDescent="0.3">
      <c r="A1071" t="s">
        <v>17</v>
      </c>
      <c r="B1071" t="str">
        <f>"603002"</f>
        <v>603002</v>
      </c>
      <c r="C1071" t="s">
        <v>2400</v>
      </c>
      <c r="D1071" t="s">
        <v>2401</v>
      </c>
      <c r="P1071">
        <v>117</v>
      </c>
      <c r="Q1071" t="s">
        <v>2402</v>
      </c>
    </row>
    <row r="1072" spans="1:17" x14ac:dyDescent="0.3">
      <c r="A1072" t="s">
        <v>17</v>
      </c>
      <c r="B1072" t="str">
        <f>"603003"</f>
        <v>603003</v>
      </c>
      <c r="C1072" t="s">
        <v>2403</v>
      </c>
      <c r="D1072" t="s">
        <v>316</v>
      </c>
      <c r="P1072">
        <v>88</v>
      </c>
      <c r="Q1072" t="s">
        <v>2404</v>
      </c>
    </row>
    <row r="1073" spans="1:17" x14ac:dyDescent="0.3">
      <c r="A1073" t="s">
        <v>17</v>
      </c>
      <c r="B1073" t="str">
        <f>"603005"</f>
        <v>603005</v>
      </c>
      <c r="C1073" t="s">
        <v>2405</v>
      </c>
      <c r="D1073" t="s">
        <v>1180</v>
      </c>
      <c r="P1073">
        <v>3661</v>
      </c>
      <c r="Q1073" t="s">
        <v>2406</v>
      </c>
    </row>
    <row r="1074" spans="1:17" x14ac:dyDescent="0.3">
      <c r="A1074" t="s">
        <v>17</v>
      </c>
      <c r="B1074" t="str">
        <f>"603006"</f>
        <v>603006</v>
      </c>
      <c r="C1074" t="s">
        <v>2407</v>
      </c>
      <c r="D1074" t="s">
        <v>985</v>
      </c>
      <c r="P1074">
        <v>106</v>
      </c>
      <c r="Q1074" t="s">
        <v>2408</v>
      </c>
    </row>
    <row r="1075" spans="1:17" x14ac:dyDescent="0.3">
      <c r="A1075" t="s">
        <v>17</v>
      </c>
      <c r="B1075" t="str">
        <f>"603007"</f>
        <v>603007</v>
      </c>
      <c r="C1075" t="s">
        <v>2409</v>
      </c>
      <c r="D1075" t="s">
        <v>2410</v>
      </c>
      <c r="P1075">
        <v>81</v>
      </c>
      <c r="Q1075" t="s">
        <v>2411</v>
      </c>
    </row>
    <row r="1076" spans="1:17" x14ac:dyDescent="0.3">
      <c r="A1076" t="s">
        <v>17</v>
      </c>
      <c r="B1076" t="str">
        <f>"603008"</f>
        <v>603008</v>
      </c>
      <c r="C1076" t="s">
        <v>2412</v>
      </c>
      <c r="D1076" t="s">
        <v>757</v>
      </c>
      <c r="P1076">
        <v>300</v>
      </c>
      <c r="Q1076" t="s">
        <v>2413</v>
      </c>
    </row>
    <row r="1077" spans="1:17" x14ac:dyDescent="0.3">
      <c r="A1077" t="s">
        <v>17</v>
      </c>
      <c r="B1077" t="str">
        <f>"603009"</f>
        <v>603009</v>
      </c>
      <c r="C1077" t="s">
        <v>2414</v>
      </c>
      <c r="D1077" t="s">
        <v>348</v>
      </c>
      <c r="P1077">
        <v>84</v>
      </c>
      <c r="Q1077" t="s">
        <v>2415</v>
      </c>
    </row>
    <row r="1078" spans="1:17" x14ac:dyDescent="0.3">
      <c r="A1078" t="s">
        <v>17</v>
      </c>
      <c r="B1078" t="str">
        <f>"603010"</f>
        <v>603010</v>
      </c>
      <c r="C1078" t="s">
        <v>2416</v>
      </c>
      <c r="D1078" t="s">
        <v>1192</v>
      </c>
      <c r="P1078">
        <v>279</v>
      </c>
      <c r="Q1078" t="s">
        <v>2417</v>
      </c>
    </row>
    <row r="1079" spans="1:17" x14ac:dyDescent="0.3">
      <c r="A1079" t="s">
        <v>17</v>
      </c>
      <c r="B1079" t="str">
        <f>"603011"</f>
        <v>603011</v>
      </c>
      <c r="C1079" t="s">
        <v>2418</v>
      </c>
      <c r="D1079" t="s">
        <v>741</v>
      </c>
      <c r="P1079">
        <v>82</v>
      </c>
      <c r="Q1079" t="s">
        <v>2419</v>
      </c>
    </row>
    <row r="1080" spans="1:17" x14ac:dyDescent="0.3">
      <c r="A1080" t="s">
        <v>17</v>
      </c>
      <c r="B1080" t="str">
        <f>"603012"</f>
        <v>603012</v>
      </c>
      <c r="C1080" t="s">
        <v>2420</v>
      </c>
      <c r="D1080" t="s">
        <v>395</v>
      </c>
      <c r="P1080">
        <v>135</v>
      </c>
      <c r="Q1080" t="s">
        <v>2421</v>
      </c>
    </row>
    <row r="1081" spans="1:17" x14ac:dyDescent="0.3">
      <c r="A1081" t="s">
        <v>17</v>
      </c>
      <c r="B1081" t="str">
        <f>"603013"</f>
        <v>603013</v>
      </c>
      <c r="C1081" t="s">
        <v>2422</v>
      </c>
      <c r="D1081" t="s">
        <v>348</v>
      </c>
      <c r="P1081">
        <v>236</v>
      </c>
      <c r="Q1081" t="s">
        <v>2423</v>
      </c>
    </row>
    <row r="1082" spans="1:17" x14ac:dyDescent="0.3">
      <c r="A1082" t="s">
        <v>17</v>
      </c>
      <c r="B1082" t="str">
        <f>"603015"</f>
        <v>603015</v>
      </c>
      <c r="C1082" t="s">
        <v>2424</v>
      </c>
      <c r="D1082" t="s">
        <v>2425</v>
      </c>
      <c r="P1082">
        <v>91</v>
      </c>
      <c r="Q1082" t="s">
        <v>2426</v>
      </c>
    </row>
    <row r="1083" spans="1:17" x14ac:dyDescent="0.3">
      <c r="A1083" t="s">
        <v>17</v>
      </c>
      <c r="B1083" t="str">
        <f>"603016"</f>
        <v>603016</v>
      </c>
      <c r="C1083" t="s">
        <v>2427</v>
      </c>
      <c r="D1083" t="s">
        <v>657</v>
      </c>
      <c r="P1083">
        <v>93</v>
      </c>
      <c r="Q1083" t="s">
        <v>2428</v>
      </c>
    </row>
    <row r="1084" spans="1:17" x14ac:dyDescent="0.3">
      <c r="A1084" t="s">
        <v>17</v>
      </c>
      <c r="B1084" t="str">
        <f>"603017"</f>
        <v>603017</v>
      </c>
      <c r="C1084" t="s">
        <v>2429</v>
      </c>
      <c r="D1084" t="s">
        <v>1272</v>
      </c>
      <c r="P1084">
        <v>121</v>
      </c>
      <c r="Q1084" t="s">
        <v>2430</v>
      </c>
    </row>
    <row r="1085" spans="1:17" x14ac:dyDescent="0.3">
      <c r="A1085" t="s">
        <v>17</v>
      </c>
      <c r="B1085" t="str">
        <f>"603018"</f>
        <v>603018</v>
      </c>
      <c r="C1085" t="s">
        <v>2431</v>
      </c>
      <c r="D1085" t="s">
        <v>1272</v>
      </c>
      <c r="P1085">
        <v>400</v>
      </c>
      <c r="Q1085" t="s">
        <v>2432</v>
      </c>
    </row>
    <row r="1086" spans="1:17" x14ac:dyDescent="0.3">
      <c r="A1086" t="s">
        <v>17</v>
      </c>
      <c r="B1086" t="str">
        <f>"603019"</f>
        <v>603019</v>
      </c>
      <c r="C1086" t="s">
        <v>2433</v>
      </c>
      <c r="D1086" t="s">
        <v>236</v>
      </c>
      <c r="P1086">
        <v>1206</v>
      </c>
      <c r="Q1086" t="s">
        <v>2434</v>
      </c>
    </row>
    <row r="1087" spans="1:17" x14ac:dyDescent="0.3">
      <c r="A1087" t="s">
        <v>17</v>
      </c>
      <c r="B1087" t="str">
        <f>"603020"</f>
        <v>603020</v>
      </c>
      <c r="C1087" t="s">
        <v>2435</v>
      </c>
      <c r="D1087" t="s">
        <v>677</v>
      </c>
      <c r="P1087">
        <v>195</v>
      </c>
      <c r="Q1087" t="s">
        <v>2436</v>
      </c>
    </row>
    <row r="1088" spans="1:17" x14ac:dyDescent="0.3">
      <c r="A1088" t="s">
        <v>17</v>
      </c>
      <c r="B1088" t="str">
        <f>"603021"</f>
        <v>603021</v>
      </c>
      <c r="C1088" t="s">
        <v>2437</v>
      </c>
      <c r="D1088" t="s">
        <v>2438</v>
      </c>
      <c r="P1088">
        <v>59</v>
      </c>
      <c r="Q1088" t="s">
        <v>2439</v>
      </c>
    </row>
    <row r="1089" spans="1:17" x14ac:dyDescent="0.3">
      <c r="A1089" t="s">
        <v>17</v>
      </c>
      <c r="B1089" t="str">
        <f>"603022"</f>
        <v>603022</v>
      </c>
      <c r="C1089" t="s">
        <v>2440</v>
      </c>
      <c r="D1089" t="s">
        <v>2441</v>
      </c>
      <c r="P1089">
        <v>51</v>
      </c>
      <c r="Q1089" t="s">
        <v>2442</v>
      </c>
    </row>
    <row r="1090" spans="1:17" x14ac:dyDescent="0.3">
      <c r="A1090" t="s">
        <v>17</v>
      </c>
      <c r="B1090" t="str">
        <f>"603023"</f>
        <v>603023</v>
      </c>
      <c r="C1090" t="s">
        <v>2443</v>
      </c>
      <c r="D1090" t="s">
        <v>1415</v>
      </c>
      <c r="P1090">
        <v>150</v>
      </c>
      <c r="Q1090" t="s">
        <v>2444</v>
      </c>
    </row>
    <row r="1091" spans="1:17" x14ac:dyDescent="0.3">
      <c r="A1091" t="s">
        <v>17</v>
      </c>
      <c r="B1091" t="str">
        <f>"603025"</f>
        <v>603025</v>
      </c>
      <c r="C1091" t="s">
        <v>2445</v>
      </c>
      <c r="D1091" t="s">
        <v>2425</v>
      </c>
      <c r="P1091">
        <v>434</v>
      </c>
      <c r="Q1091" t="s">
        <v>2446</v>
      </c>
    </row>
    <row r="1092" spans="1:17" x14ac:dyDescent="0.3">
      <c r="A1092" t="s">
        <v>17</v>
      </c>
      <c r="B1092" t="str">
        <f>"603026"</f>
        <v>603026</v>
      </c>
      <c r="C1092" t="s">
        <v>2447</v>
      </c>
      <c r="D1092" t="s">
        <v>1786</v>
      </c>
      <c r="P1092">
        <v>420</v>
      </c>
      <c r="Q1092" t="s">
        <v>2448</v>
      </c>
    </row>
    <row r="1093" spans="1:17" x14ac:dyDescent="0.3">
      <c r="A1093" t="s">
        <v>17</v>
      </c>
      <c r="B1093" t="str">
        <f>"603027"</f>
        <v>603027</v>
      </c>
      <c r="C1093" t="s">
        <v>2449</v>
      </c>
      <c r="D1093" t="s">
        <v>433</v>
      </c>
      <c r="P1093">
        <v>1883</v>
      </c>
      <c r="Q1093" t="s">
        <v>2450</v>
      </c>
    </row>
    <row r="1094" spans="1:17" x14ac:dyDescent="0.3">
      <c r="A1094" t="s">
        <v>17</v>
      </c>
      <c r="B1094" t="str">
        <f>"603028"</f>
        <v>603028</v>
      </c>
      <c r="C1094" t="s">
        <v>2451</v>
      </c>
      <c r="D1094" t="s">
        <v>274</v>
      </c>
      <c r="P1094">
        <v>52</v>
      </c>
      <c r="Q1094" t="s">
        <v>2452</v>
      </c>
    </row>
    <row r="1095" spans="1:17" x14ac:dyDescent="0.3">
      <c r="A1095" t="s">
        <v>17</v>
      </c>
      <c r="B1095" t="str">
        <f>"603029"</f>
        <v>603029</v>
      </c>
      <c r="C1095" t="s">
        <v>2453</v>
      </c>
      <c r="D1095" t="s">
        <v>741</v>
      </c>
      <c r="P1095">
        <v>62</v>
      </c>
      <c r="Q1095" t="s">
        <v>2454</v>
      </c>
    </row>
    <row r="1096" spans="1:17" x14ac:dyDescent="0.3">
      <c r="A1096" t="s">
        <v>17</v>
      </c>
      <c r="B1096" t="str">
        <f>"603030"</f>
        <v>603030</v>
      </c>
      <c r="C1096" t="s">
        <v>2455</v>
      </c>
      <c r="D1096" t="s">
        <v>450</v>
      </c>
      <c r="P1096">
        <v>126</v>
      </c>
      <c r="Q1096" t="s">
        <v>2456</v>
      </c>
    </row>
    <row r="1097" spans="1:17" x14ac:dyDescent="0.3">
      <c r="A1097" t="s">
        <v>17</v>
      </c>
      <c r="B1097" t="str">
        <f>"603031"</f>
        <v>603031</v>
      </c>
      <c r="C1097" t="s">
        <v>2457</v>
      </c>
      <c r="D1097" t="s">
        <v>798</v>
      </c>
      <c r="P1097">
        <v>70</v>
      </c>
      <c r="Q1097" t="s">
        <v>2458</v>
      </c>
    </row>
    <row r="1098" spans="1:17" x14ac:dyDescent="0.3">
      <c r="A1098" t="s">
        <v>17</v>
      </c>
      <c r="B1098" t="str">
        <f>"603032"</f>
        <v>603032</v>
      </c>
      <c r="C1098" t="s">
        <v>2459</v>
      </c>
      <c r="D1098" t="s">
        <v>1133</v>
      </c>
      <c r="P1098">
        <v>73</v>
      </c>
      <c r="Q1098" t="s">
        <v>2460</v>
      </c>
    </row>
    <row r="1099" spans="1:17" x14ac:dyDescent="0.3">
      <c r="A1099" t="s">
        <v>17</v>
      </c>
      <c r="B1099" t="str">
        <f>"603033"</f>
        <v>603033</v>
      </c>
      <c r="C1099" t="s">
        <v>2461</v>
      </c>
      <c r="D1099" t="s">
        <v>2462</v>
      </c>
      <c r="P1099">
        <v>99</v>
      </c>
      <c r="Q1099" t="s">
        <v>2463</v>
      </c>
    </row>
    <row r="1100" spans="1:17" x14ac:dyDescent="0.3">
      <c r="A1100" t="s">
        <v>17</v>
      </c>
      <c r="B1100" t="str">
        <f>"603035"</f>
        <v>603035</v>
      </c>
      <c r="C1100" t="s">
        <v>2464</v>
      </c>
      <c r="D1100" t="s">
        <v>191</v>
      </c>
      <c r="P1100">
        <v>244</v>
      </c>
      <c r="Q1100" t="s">
        <v>2465</v>
      </c>
    </row>
    <row r="1101" spans="1:17" x14ac:dyDescent="0.3">
      <c r="A1101" t="s">
        <v>17</v>
      </c>
      <c r="B1101" t="str">
        <f>"603036"</f>
        <v>603036</v>
      </c>
      <c r="C1101" t="s">
        <v>2466</v>
      </c>
      <c r="D1101" t="s">
        <v>395</v>
      </c>
      <c r="P1101">
        <v>61</v>
      </c>
      <c r="Q1101" t="s">
        <v>2467</v>
      </c>
    </row>
    <row r="1102" spans="1:17" x14ac:dyDescent="0.3">
      <c r="A1102" t="s">
        <v>17</v>
      </c>
      <c r="B1102" t="str">
        <f>"603037"</f>
        <v>603037</v>
      </c>
      <c r="C1102" t="s">
        <v>2468</v>
      </c>
      <c r="D1102" t="s">
        <v>348</v>
      </c>
      <c r="P1102">
        <v>230</v>
      </c>
      <c r="Q1102" t="s">
        <v>2469</v>
      </c>
    </row>
    <row r="1103" spans="1:17" x14ac:dyDescent="0.3">
      <c r="A1103" t="s">
        <v>17</v>
      </c>
      <c r="B1103" t="str">
        <f>"603038"</f>
        <v>603038</v>
      </c>
      <c r="C1103" t="s">
        <v>2470</v>
      </c>
      <c r="D1103" t="s">
        <v>722</v>
      </c>
      <c r="P1103">
        <v>70</v>
      </c>
      <c r="Q1103" t="s">
        <v>2471</v>
      </c>
    </row>
    <row r="1104" spans="1:17" x14ac:dyDescent="0.3">
      <c r="A1104" t="s">
        <v>17</v>
      </c>
      <c r="B1104" t="str">
        <f>"603039"</f>
        <v>603039</v>
      </c>
      <c r="C1104" t="s">
        <v>2472</v>
      </c>
      <c r="D1104" t="s">
        <v>1189</v>
      </c>
      <c r="P1104">
        <v>609</v>
      </c>
      <c r="Q1104" t="s">
        <v>2473</v>
      </c>
    </row>
    <row r="1105" spans="1:17" x14ac:dyDescent="0.3">
      <c r="A1105" t="s">
        <v>17</v>
      </c>
      <c r="B1105" t="str">
        <f>"603040"</f>
        <v>603040</v>
      </c>
      <c r="C1105" t="s">
        <v>2474</v>
      </c>
      <c r="D1105" t="s">
        <v>348</v>
      </c>
      <c r="P1105">
        <v>619</v>
      </c>
      <c r="Q1105" t="s">
        <v>2475</v>
      </c>
    </row>
    <row r="1106" spans="1:17" x14ac:dyDescent="0.3">
      <c r="A1106" t="s">
        <v>17</v>
      </c>
      <c r="B1106" t="str">
        <f>"603041"</f>
        <v>603041</v>
      </c>
      <c r="C1106" t="s">
        <v>2476</v>
      </c>
      <c r="D1106" t="s">
        <v>528</v>
      </c>
      <c r="P1106">
        <v>98</v>
      </c>
      <c r="Q1106" t="s">
        <v>2477</v>
      </c>
    </row>
    <row r="1107" spans="1:17" x14ac:dyDescent="0.3">
      <c r="A1107" t="s">
        <v>17</v>
      </c>
      <c r="B1107" t="str">
        <f>"603042"</f>
        <v>603042</v>
      </c>
      <c r="C1107" t="s">
        <v>2478</v>
      </c>
      <c r="D1107" t="s">
        <v>250</v>
      </c>
      <c r="P1107">
        <v>122</v>
      </c>
      <c r="Q1107" t="s">
        <v>2479</v>
      </c>
    </row>
    <row r="1108" spans="1:17" x14ac:dyDescent="0.3">
      <c r="A1108" t="s">
        <v>17</v>
      </c>
      <c r="B1108" t="str">
        <f>"603043"</f>
        <v>603043</v>
      </c>
      <c r="C1108" t="s">
        <v>2480</v>
      </c>
      <c r="D1108" t="s">
        <v>2481</v>
      </c>
      <c r="P1108">
        <v>1509</v>
      </c>
      <c r="Q1108" t="s">
        <v>2482</v>
      </c>
    </row>
    <row r="1109" spans="1:17" x14ac:dyDescent="0.3">
      <c r="A1109" t="s">
        <v>17</v>
      </c>
      <c r="B1109" t="str">
        <f>"603045"</f>
        <v>603045</v>
      </c>
      <c r="C1109" t="s">
        <v>2483</v>
      </c>
      <c r="D1109" t="s">
        <v>581</v>
      </c>
      <c r="P1109">
        <v>54</v>
      </c>
      <c r="Q1109" t="s">
        <v>2484</v>
      </c>
    </row>
    <row r="1110" spans="1:17" x14ac:dyDescent="0.3">
      <c r="A1110" t="s">
        <v>17</v>
      </c>
      <c r="B1110" t="str">
        <f>"603048"</f>
        <v>603048</v>
      </c>
      <c r="C1110" t="s">
        <v>2485</v>
      </c>
      <c r="D1110" t="s">
        <v>985</v>
      </c>
      <c r="P1110">
        <v>16</v>
      </c>
      <c r="Q1110" t="s">
        <v>2486</v>
      </c>
    </row>
    <row r="1111" spans="1:17" x14ac:dyDescent="0.3">
      <c r="A1111" t="s">
        <v>17</v>
      </c>
      <c r="B1111" t="str">
        <f>"603050"</f>
        <v>603050</v>
      </c>
      <c r="C1111" t="s">
        <v>2487</v>
      </c>
      <c r="D1111" t="s">
        <v>610</v>
      </c>
      <c r="P1111">
        <v>124</v>
      </c>
      <c r="Q1111" t="s">
        <v>2488</v>
      </c>
    </row>
    <row r="1112" spans="1:17" x14ac:dyDescent="0.3">
      <c r="A1112" t="s">
        <v>17</v>
      </c>
      <c r="B1112" t="str">
        <f>"603051"</f>
        <v>603051</v>
      </c>
      <c r="C1112" t="s">
        <v>2489</v>
      </c>
      <c r="P1112">
        <v>3</v>
      </c>
      <c r="Q1112" t="s">
        <v>2490</v>
      </c>
    </row>
    <row r="1113" spans="1:17" x14ac:dyDescent="0.3">
      <c r="A1113" t="s">
        <v>17</v>
      </c>
      <c r="B1113" t="str">
        <f>"603053"</f>
        <v>603053</v>
      </c>
      <c r="C1113" t="s">
        <v>2491</v>
      </c>
      <c r="D1113" t="s">
        <v>749</v>
      </c>
      <c r="P1113">
        <v>118</v>
      </c>
      <c r="Q1113" t="s">
        <v>2492</v>
      </c>
    </row>
    <row r="1114" spans="1:17" x14ac:dyDescent="0.3">
      <c r="A1114" t="s">
        <v>17</v>
      </c>
      <c r="B1114" t="str">
        <f>"603055"</f>
        <v>603055</v>
      </c>
      <c r="C1114" t="s">
        <v>2493</v>
      </c>
      <c r="D1114" t="s">
        <v>366</v>
      </c>
      <c r="P1114">
        <v>145</v>
      </c>
      <c r="Q1114" t="s">
        <v>2494</v>
      </c>
    </row>
    <row r="1115" spans="1:17" x14ac:dyDescent="0.3">
      <c r="A1115" t="s">
        <v>17</v>
      </c>
      <c r="B1115" t="str">
        <f>"603056"</f>
        <v>603056</v>
      </c>
      <c r="C1115" t="s">
        <v>2495</v>
      </c>
      <c r="D1115" t="s">
        <v>2496</v>
      </c>
      <c r="P1115">
        <v>412</v>
      </c>
      <c r="Q1115" t="s">
        <v>2497</v>
      </c>
    </row>
    <row r="1116" spans="1:17" x14ac:dyDescent="0.3">
      <c r="A1116" t="s">
        <v>17</v>
      </c>
      <c r="B1116" t="str">
        <f>"603058"</f>
        <v>603058</v>
      </c>
      <c r="C1116" t="s">
        <v>2498</v>
      </c>
      <c r="D1116" t="s">
        <v>2158</v>
      </c>
      <c r="P1116">
        <v>121</v>
      </c>
      <c r="Q1116" t="s">
        <v>2499</v>
      </c>
    </row>
    <row r="1117" spans="1:17" x14ac:dyDescent="0.3">
      <c r="A1117" t="s">
        <v>17</v>
      </c>
      <c r="B1117" t="str">
        <f>"603059"</f>
        <v>603059</v>
      </c>
      <c r="C1117" t="s">
        <v>2500</v>
      </c>
      <c r="D1117" t="s">
        <v>569</v>
      </c>
      <c r="P1117">
        <v>99</v>
      </c>
      <c r="Q1117" t="s">
        <v>2501</v>
      </c>
    </row>
    <row r="1118" spans="1:17" x14ac:dyDescent="0.3">
      <c r="A1118" t="s">
        <v>17</v>
      </c>
      <c r="B1118" t="str">
        <f>"603060"</f>
        <v>603060</v>
      </c>
      <c r="C1118" t="s">
        <v>2502</v>
      </c>
      <c r="D1118" t="s">
        <v>2503</v>
      </c>
      <c r="P1118">
        <v>507</v>
      </c>
      <c r="Q1118" t="s">
        <v>2504</v>
      </c>
    </row>
    <row r="1119" spans="1:17" x14ac:dyDescent="0.3">
      <c r="A1119" t="s">
        <v>17</v>
      </c>
      <c r="B1119" t="str">
        <f>"603063"</f>
        <v>603063</v>
      </c>
      <c r="C1119" t="s">
        <v>2505</v>
      </c>
      <c r="D1119" t="s">
        <v>950</v>
      </c>
      <c r="P1119">
        <v>212</v>
      </c>
      <c r="Q1119" t="s">
        <v>2506</v>
      </c>
    </row>
    <row r="1120" spans="1:17" x14ac:dyDescent="0.3">
      <c r="A1120" t="s">
        <v>17</v>
      </c>
      <c r="B1120" t="str">
        <f>"603066"</f>
        <v>603066</v>
      </c>
      <c r="C1120" t="s">
        <v>2507</v>
      </c>
      <c r="D1120" t="s">
        <v>537</v>
      </c>
      <c r="P1120">
        <v>116</v>
      </c>
      <c r="Q1120" t="s">
        <v>2508</v>
      </c>
    </row>
    <row r="1121" spans="1:17" x14ac:dyDescent="0.3">
      <c r="A1121" t="s">
        <v>17</v>
      </c>
      <c r="B1121" t="str">
        <f>"603067"</f>
        <v>603067</v>
      </c>
      <c r="C1121" t="s">
        <v>2509</v>
      </c>
      <c r="D1121" t="s">
        <v>736</v>
      </c>
      <c r="P1121">
        <v>136</v>
      </c>
      <c r="Q1121" t="s">
        <v>2510</v>
      </c>
    </row>
    <row r="1122" spans="1:17" x14ac:dyDescent="0.3">
      <c r="A1122" t="s">
        <v>17</v>
      </c>
      <c r="B1122" t="str">
        <f>"603068"</f>
        <v>603068</v>
      </c>
      <c r="C1122" t="s">
        <v>2511</v>
      </c>
      <c r="D1122" t="s">
        <v>401</v>
      </c>
      <c r="P1122">
        <v>345</v>
      </c>
      <c r="Q1122" t="s">
        <v>2512</v>
      </c>
    </row>
    <row r="1123" spans="1:17" x14ac:dyDescent="0.3">
      <c r="A1123" t="s">
        <v>17</v>
      </c>
      <c r="B1123" t="str">
        <f>"603069"</f>
        <v>603069</v>
      </c>
      <c r="C1123" t="s">
        <v>2513</v>
      </c>
      <c r="D1123" t="s">
        <v>1133</v>
      </c>
      <c r="P1123">
        <v>98</v>
      </c>
      <c r="Q1123" t="s">
        <v>2514</v>
      </c>
    </row>
    <row r="1124" spans="1:17" x14ac:dyDescent="0.3">
      <c r="A1124" t="s">
        <v>17</v>
      </c>
      <c r="B1124" t="str">
        <f>"603070"</f>
        <v>603070</v>
      </c>
      <c r="C1124" t="s">
        <v>2515</v>
      </c>
      <c r="P1124">
        <v>10</v>
      </c>
      <c r="Q1124" t="s">
        <v>2516</v>
      </c>
    </row>
    <row r="1125" spans="1:17" x14ac:dyDescent="0.3">
      <c r="A1125" t="s">
        <v>17</v>
      </c>
      <c r="B1125" t="str">
        <f>"603071"</f>
        <v>603071</v>
      </c>
      <c r="C1125" t="s">
        <v>2517</v>
      </c>
      <c r="D1125" t="s">
        <v>351</v>
      </c>
      <c r="P1125">
        <v>19</v>
      </c>
      <c r="Q1125" t="s">
        <v>2518</v>
      </c>
    </row>
    <row r="1126" spans="1:17" x14ac:dyDescent="0.3">
      <c r="A1126" t="s">
        <v>17</v>
      </c>
      <c r="B1126" t="str">
        <f>"603076"</f>
        <v>603076</v>
      </c>
      <c r="C1126" t="s">
        <v>2519</v>
      </c>
      <c r="D1126" t="s">
        <v>741</v>
      </c>
      <c r="P1126">
        <v>87</v>
      </c>
      <c r="Q1126" t="s">
        <v>2520</v>
      </c>
    </row>
    <row r="1127" spans="1:17" x14ac:dyDescent="0.3">
      <c r="A1127" t="s">
        <v>17</v>
      </c>
      <c r="B1127" t="str">
        <f>"603077"</f>
        <v>603077</v>
      </c>
      <c r="C1127" t="s">
        <v>2521</v>
      </c>
      <c r="D1127" t="s">
        <v>2522</v>
      </c>
      <c r="P1127">
        <v>265</v>
      </c>
      <c r="Q1127" t="s">
        <v>2523</v>
      </c>
    </row>
    <row r="1128" spans="1:17" x14ac:dyDescent="0.3">
      <c r="A1128" t="s">
        <v>17</v>
      </c>
      <c r="B1128" t="str">
        <f>"603078"</f>
        <v>603078</v>
      </c>
      <c r="C1128" t="s">
        <v>2524</v>
      </c>
      <c r="D1128" t="s">
        <v>2401</v>
      </c>
      <c r="P1128">
        <v>226</v>
      </c>
      <c r="Q1128" t="s">
        <v>2525</v>
      </c>
    </row>
    <row r="1129" spans="1:17" x14ac:dyDescent="0.3">
      <c r="A1129" t="s">
        <v>17</v>
      </c>
      <c r="B1129" t="str">
        <f>"603079"</f>
        <v>603079</v>
      </c>
      <c r="C1129" t="s">
        <v>2526</v>
      </c>
      <c r="D1129" t="s">
        <v>496</v>
      </c>
      <c r="P1129">
        <v>239</v>
      </c>
      <c r="Q1129" t="s">
        <v>2527</v>
      </c>
    </row>
    <row r="1130" spans="1:17" x14ac:dyDescent="0.3">
      <c r="A1130" t="s">
        <v>17</v>
      </c>
      <c r="B1130" t="str">
        <f>"603080"</f>
        <v>603080</v>
      </c>
      <c r="C1130" t="s">
        <v>2528</v>
      </c>
      <c r="D1130" t="s">
        <v>749</v>
      </c>
      <c r="P1130">
        <v>93</v>
      </c>
      <c r="Q1130" t="s">
        <v>2529</v>
      </c>
    </row>
    <row r="1131" spans="1:17" x14ac:dyDescent="0.3">
      <c r="A1131" t="s">
        <v>17</v>
      </c>
      <c r="B1131" t="str">
        <f>"603081"</f>
        <v>603081</v>
      </c>
      <c r="C1131" t="s">
        <v>2530</v>
      </c>
      <c r="D1131" t="s">
        <v>450</v>
      </c>
      <c r="P1131">
        <v>144</v>
      </c>
      <c r="Q1131" t="s">
        <v>2531</v>
      </c>
    </row>
    <row r="1132" spans="1:17" x14ac:dyDescent="0.3">
      <c r="A1132" t="s">
        <v>17</v>
      </c>
      <c r="B1132" t="str">
        <f>"603083"</f>
        <v>603083</v>
      </c>
      <c r="C1132" t="s">
        <v>2532</v>
      </c>
      <c r="D1132" t="s">
        <v>786</v>
      </c>
      <c r="P1132">
        <v>272</v>
      </c>
      <c r="Q1132" t="s">
        <v>2533</v>
      </c>
    </row>
    <row r="1133" spans="1:17" x14ac:dyDescent="0.3">
      <c r="A1133" t="s">
        <v>17</v>
      </c>
      <c r="B1133" t="str">
        <f>"603085"</f>
        <v>603085</v>
      </c>
      <c r="C1133" t="s">
        <v>2534</v>
      </c>
      <c r="D1133" t="s">
        <v>191</v>
      </c>
      <c r="P1133">
        <v>81</v>
      </c>
      <c r="Q1133" t="s">
        <v>2535</v>
      </c>
    </row>
    <row r="1134" spans="1:17" x14ac:dyDescent="0.3">
      <c r="A1134" t="s">
        <v>17</v>
      </c>
      <c r="B1134" t="str">
        <f>"603086"</f>
        <v>603086</v>
      </c>
      <c r="C1134" t="s">
        <v>2536</v>
      </c>
      <c r="D1134" t="s">
        <v>853</v>
      </c>
      <c r="P1134">
        <v>124</v>
      </c>
      <c r="Q1134" t="s">
        <v>2537</v>
      </c>
    </row>
    <row r="1135" spans="1:17" x14ac:dyDescent="0.3">
      <c r="A1135" t="s">
        <v>17</v>
      </c>
      <c r="B1135" t="str">
        <f>"603087"</f>
        <v>603087</v>
      </c>
      <c r="C1135" t="s">
        <v>2538</v>
      </c>
      <c r="D1135" t="s">
        <v>1379</v>
      </c>
      <c r="P1135">
        <v>677</v>
      </c>
      <c r="Q1135" t="s">
        <v>2539</v>
      </c>
    </row>
    <row r="1136" spans="1:17" x14ac:dyDescent="0.3">
      <c r="A1136" t="s">
        <v>17</v>
      </c>
      <c r="B1136" t="str">
        <f>"603088"</f>
        <v>603088</v>
      </c>
      <c r="C1136" t="s">
        <v>2540</v>
      </c>
      <c r="D1136" t="s">
        <v>2314</v>
      </c>
      <c r="P1136">
        <v>106</v>
      </c>
      <c r="Q1136" t="s">
        <v>2541</v>
      </c>
    </row>
    <row r="1137" spans="1:17" x14ac:dyDescent="0.3">
      <c r="A1137" t="s">
        <v>17</v>
      </c>
      <c r="B1137" t="str">
        <f>"603089"</f>
        <v>603089</v>
      </c>
      <c r="C1137" t="s">
        <v>2542</v>
      </c>
      <c r="D1137" t="s">
        <v>348</v>
      </c>
      <c r="P1137">
        <v>111</v>
      </c>
      <c r="Q1137" t="s">
        <v>2543</v>
      </c>
    </row>
    <row r="1138" spans="1:17" x14ac:dyDescent="0.3">
      <c r="A1138" t="s">
        <v>17</v>
      </c>
      <c r="B1138" t="str">
        <f>"603090"</f>
        <v>603090</v>
      </c>
      <c r="C1138" t="s">
        <v>2544</v>
      </c>
      <c r="D1138" t="s">
        <v>560</v>
      </c>
      <c r="P1138">
        <v>51</v>
      </c>
      <c r="Q1138" t="s">
        <v>2545</v>
      </c>
    </row>
    <row r="1139" spans="1:17" x14ac:dyDescent="0.3">
      <c r="A1139" t="s">
        <v>17</v>
      </c>
      <c r="B1139" t="str">
        <f>"603093"</f>
        <v>603093</v>
      </c>
      <c r="C1139" t="s">
        <v>2546</v>
      </c>
      <c r="D1139" t="s">
        <v>1843</v>
      </c>
      <c r="P1139">
        <v>84</v>
      </c>
      <c r="Q1139" t="s">
        <v>2547</v>
      </c>
    </row>
    <row r="1140" spans="1:17" x14ac:dyDescent="0.3">
      <c r="A1140" t="s">
        <v>17</v>
      </c>
      <c r="B1140" t="str">
        <f>"603095"</f>
        <v>603095</v>
      </c>
      <c r="C1140" t="s">
        <v>2548</v>
      </c>
      <c r="D1140" t="s">
        <v>534</v>
      </c>
      <c r="P1140">
        <v>64</v>
      </c>
      <c r="Q1140" t="s">
        <v>2549</v>
      </c>
    </row>
    <row r="1141" spans="1:17" x14ac:dyDescent="0.3">
      <c r="A1141" t="s">
        <v>17</v>
      </c>
      <c r="B1141" t="str">
        <f>"603096"</f>
        <v>603096</v>
      </c>
      <c r="C1141" t="s">
        <v>2550</v>
      </c>
      <c r="D1141" t="s">
        <v>525</v>
      </c>
      <c r="P1141">
        <v>222</v>
      </c>
      <c r="Q1141" t="s">
        <v>2551</v>
      </c>
    </row>
    <row r="1142" spans="1:17" x14ac:dyDescent="0.3">
      <c r="A1142" t="s">
        <v>17</v>
      </c>
      <c r="B1142" t="str">
        <f>"603098"</f>
        <v>603098</v>
      </c>
      <c r="C1142" t="s">
        <v>2552</v>
      </c>
      <c r="D1142" t="s">
        <v>978</v>
      </c>
      <c r="P1142">
        <v>158</v>
      </c>
      <c r="Q1142" t="s">
        <v>2553</v>
      </c>
    </row>
    <row r="1143" spans="1:17" x14ac:dyDescent="0.3">
      <c r="A1143" t="s">
        <v>17</v>
      </c>
      <c r="B1143" t="str">
        <f>"603099"</f>
        <v>603099</v>
      </c>
      <c r="C1143" t="s">
        <v>2554</v>
      </c>
      <c r="D1143" t="s">
        <v>119</v>
      </c>
      <c r="P1143">
        <v>97</v>
      </c>
      <c r="Q1143" t="s">
        <v>2555</v>
      </c>
    </row>
    <row r="1144" spans="1:17" x14ac:dyDescent="0.3">
      <c r="A1144" t="s">
        <v>17</v>
      </c>
      <c r="B1144" t="str">
        <f>"603100"</f>
        <v>603100</v>
      </c>
      <c r="C1144" t="s">
        <v>2556</v>
      </c>
      <c r="D1144" t="s">
        <v>2557</v>
      </c>
      <c r="P1144">
        <v>194</v>
      </c>
      <c r="Q1144" t="s">
        <v>2558</v>
      </c>
    </row>
    <row r="1145" spans="1:17" x14ac:dyDescent="0.3">
      <c r="A1145" t="s">
        <v>17</v>
      </c>
      <c r="B1145" t="str">
        <f>"603101"</f>
        <v>603101</v>
      </c>
      <c r="C1145" t="s">
        <v>2559</v>
      </c>
      <c r="D1145" t="s">
        <v>633</v>
      </c>
      <c r="P1145">
        <v>69</v>
      </c>
      <c r="Q1145" t="s">
        <v>2560</v>
      </c>
    </row>
    <row r="1146" spans="1:17" x14ac:dyDescent="0.3">
      <c r="A1146" t="s">
        <v>17</v>
      </c>
      <c r="B1146" t="str">
        <f>"603102"</f>
        <v>603102</v>
      </c>
      <c r="C1146" t="s">
        <v>2561</v>
      </c>
      <c r="P1146">
        <v>13</v>
      </c>
      <c r="Q1146" t="s">
        <v>2562</v>
      </c>
    </row>
    <row r="1147" spans="1:17" x14ac:dyDescent="0.3">
      <c r="A1147" t="s">
        <v>17</v>
      </c>
      <c r="B1147" t="str">
        <f>"603103"</f>
        <v>603103</v>
      </c>
      <c r="C1147" t="s">
        <v>2563</v>
      </c>
      <c r="D1147" t="s">
        <v>2564</v>
      </c>
      <c r="P1147">
        <v>240</v>
      </c>
      <c r="Q1147" t="s">
        <v>2565</v>
      </c>
    </row>
    <row r="1148" spans="1:17" x14ac:dyDescent="0.3">
      <c r="A1148" t="s">
        <v>17</v>
      </c>
      <c r="B1148" t="str">
        <f>"603105"</f>
        <v>603105</v>
      </c>
      <c r="C1148" t="s">
        <v>2566</v>
      </c>
      <c r="D1148" t="s">
        <v>86</v>
      </c>
      <c r="P1148">
        <v>144</v>
      </c>
      <c r="Q1148" t="s">
        <v>2567</v>
      </c>
    </row>
    <row r="1149" spans="1:17" x14ac:dyDescent="0.3">
      <c r="A1149" t="s">
        <v>17</v>
      </c>
      <c r="B1149" t="str">
        <f>"603106"</f>
        <v>603106</v>
      </c>
      <c r="C1149" t="s">
        <v>2568</v>
      </c>
      <c r="D1149" t="s">
        <v>236</v>
      </c>
      <c r="P1149">
        <v>2938</v>
      </c>
      <c r="Q1149" t="s">
        <v>2569</v>
      </c>
    </row>
    <row r="1150" spans="1:17" x14ac:dyDescent="0.3">
      <c r="A1150" t="s">
        <v>17</v>
      </c>
      <c r="B1150" t="str">
        <f>"603108"</f>
        <v>603108</v>
      </c>
      <c r="C1150" t="s">
        <v>2570</v>
      </c>
      <c r="D1150" t="s">
        <v>2571</v>
      </c>
      <c r="P1150">
        <v>336</v>
      </c>
      <c r="Q1150" t="s">
        <v>2572</v>
      </c>
    </row>
    <row r="1151" spans="1:17" x14ac:dyDescent="0.3">
      <c r="A1151" t="s">
        <v>17</v>
      </c>
      <c r="B1151" t="str">
        <f>"603109"</f>
        <v>603109</v>
      </c>
      <c r="C1151" t="s">
        <v>2573</v>
      </c>
      <c r="D1151" t="s">
        <v>985</v>
      </c>
      <c r="P1151">
        <v>80</v>
      </c>
      <c r="Q1151" t="s">
        <v>2574</v>
      </c>
    </row>
    <row r="1152" spans="1:17" x14ac:dyDescent="0.3">
      <c r="A1152" t="s">
        <v>17</v>
      </c>
      <c r="B1152" t="str">
        <f>"603110"</f>
        <v>603110</v>
      </c>
      <c r="C1152" t="s">
        <v>2575</v>
      </c>
      <c r="D1152" t="s">
        <v>2576</v>
      </c>
      <c r="P1152">
        <v>71</v>
      </c>
      <c r="Q1152" t="s">
        <v>2577</v>
      </c>
    </row>
    <row r="1153" spans="1:17" x14ac:dyDescent="0.3">
      <c r="A1153" t="s">
        <v>17</v>
      </c>
      <c r="B1153" t="str">
        <f>"603111"</f>
        <v>603111</v>
      </c>
      <c r="C1153" t="s">
        <v>2578</v>
      </c>
      <c r="D1153" t="s">
        <v>1012</v>
      </c>
      <c r="P1153">
        <v>440</v>
      </c>
      <c r="Q1153" t="s">
        <v>2579</v>
      </c>
    </row>
    <row r="1154" spans="1:17" x14ac:dyDescent="0.3">
      <c r="A1154" t="s">
        <v>17</v>
      </c>
      <c r="B1154" t="str">
        <f>"603112"</f>
        <v>603112</v>
      </c>
      <c r="C1154" t="s">
        <v>2580</v>
      </c>
      <c r="D1154" t="s">
        <v>1253</v>
      </c>
      <c r="P1154">
        <v>48</v>
      </c>
      <c r="Q1154" t="s">
        <v>2581</v>
      </c>
    </row>
    <row r="1155" spans="1:17" x14ac:dyDescent="0.3">
      <c r="A1155" t="s">
        <v>17</v>
      </c>
      <c r="B1155" t="str">
        <f>"603113"</f>
        <v>603113</v>
      </c>
      <c r="C1155" t="s">
        <v>2582</v>
      </c>
      <c r="D1155" t="s">
        <v>885</v>
      </c>
      <c r="P1155">
        <v>302</v>
      </c>
      <c r="Q1155" t="s">
        <v>2583</v>
      </c>
    </row>
    <row r="1156" spans="1:17" x14ac:dyDescent="0.3">
      <c r="A1156" t="s">
        <v>17</v>
      </c>
      <c r="B1156" t="str">
        <f>"603115"</f>
        <v>603115</v>
      </c>
      <c r="C1156" t="s">
        <v>2584</v>
      </c>
      <c r="D1156" t="s">
        <v>504</v>
      </c>
      <c r="P1156">
        <v>88</v>
      </c>
      <c r="Q1156" t="s">
        <v>2585</v>
      </c>
    </row>
    <row r="1157" spans="1:17" x14ac:dyDescent="0.3">
      <c r="A1157" t="s">
        <v>17</v>
      </c>
      <c r="B1157" t="str">
        <f>"603116"</f>
        <v>603116</v>
      </c>
      <c r="C1157" t="s">
        <v>2586</v>
      </c>
      <c r="D1157" t="s">
        <v>330</v>
      </c>
      <c r="P1157">
        <v>102</v>
      </c>
      <c r="Q1157" t="s">
        <v>2587</v>
      </c>
    </row>
    <row r="1158" spans="1:17" x14ac:dyDescent="0.3">
      <c r="A1158" t="s">
        <v>17</v>
      </c>
      <c r="B1158" t="str">
        <f>"603117"</f>
        <v>603117</v>
      </c>
      <c r="C1158" t="s">
        <v>2588</v>
      </c>
      <c r="D1158" t="s">
        <v>287</v>
      </c>
      <c r="P1158">
        <v>64</v>
      </c>
      <c r="Q1158" t="s">
        <v>2589</v>
      </c>
    </row>
    <row r="1159" spans="1:17" x14ac:dyDescent="0.3">
      <c r="A1159" t="s">
        <v>17</v>
      </c>
      <c r="B1159" t="str">
        <f>"603118"</f>
        <v>603118</v>
      </c>
      <c r="C1159" t="s">
        <v>2590</v>
      </c>
      <c r="D1159" t="s">
        <v>786</v>
      </c>
      <c r="P1159">
        <v>243</v>
      </c>
      <c r="Q1159" t="s">
        <v>2591</v>
      </c>
    </row>
    <row r="1160" spans="1:17" x14ac:dyDescent="0.3">
      <c r="A1160" t="s">
        <v>17</v>
      </c>
      <c r="B1160" t="str">
        <f>"603121"</f>
        <v>603121</v>
      </c>
      <c r="C1160" t="s">
        <v>2592</v>
      </c>
      <c r="D1160" t="s">
        <v>348</v>
      </c>
      <c r="P1160">
        <v>77</v>
      </c>
      <c r="Q1160" t="s">
        <v>2593</v>
      </c>
    </row>
    <row r="1161" spans="1:17" x14ac:dyDescent="0.3">
      <c r="A1161" t="s">
        <v>17</v>
      </c>
      <c r="B1161" t="str">
        <f>"603122"</f>
        <v>603122</v>
      </c>
      <c r="C1161" t="s">
        <v>2594</v>
      </c>
      <c r="P1161">
        <v>12</v>
      </c>
      <c r="Q1161" t="s">
        <v>2595</v>
      </c>
    </row>
    <row r="1162" spans="1:17" x14ac:dyDescent="0.3">
      <c r="A1162" t="s">
        <v>17</v>
      </c>
      <c r="B1162" t="str">
        <f>"603123"</f>
        <v>603123</v>
      </c>
      <c r="C1162" t="s">
        <v>2596</v>
      </c>
      <c r="D1162" t="s">
        <v>633</v>
      </c>
      <c r="P1162">
        <v>100</v>
      </c>
      <c r="Q1162" t="s">
        <v>2597</v>
      </c>
    </row>
    <row r="1163" spans="1:17" x14ac:dyDescent="0.3">
      <c r="A1163" t="s">
        <v>17</v>
      </c>
      <c r="B1163" t="str">
        <f>"603126"</f>
        <v>603126</v>
      </c>
      <c r="C1163" t="s">
        <v>2598</v>
      </c>
      <c r="D1163" t="s">
        <v>499</v>
      </c>
      <c r="P1163">
        <v>196</v>
      </c>
      <c r="Q1163" t="s">
        <v>2599</v>
      </c>
    </row>
    <row r="1164" spans="1:17" x14ac:dyDescent="0.3">
      <c r="A1164" t="s">
        <v>17</v>
      </c>
      <c r="B1164" t="str">
        <f>"603127"</f>
        <v>603127</v>
      </c>
      <c r="C1164" t="s">
        <v>2600</v>
      </c>
      <c r="D1164" t="s">
        <v>1461</v>
      </c>
      <c r="P1164">
        <v>1812</v>
      </c>
      <c r="Q1164" t="s">
        <v>2601</v>
      </c>
    </row>
    <row r="1165" spans="1:17" x14ac:dyDescent="0.3">
      <c r="A1165" t="s">
        <v>17</v>
      </c>
      <c r="B1165" t="str">
        <f>"603128"</f>
        <v>603128</v>
      </c>
      <c r="C1165" t="s">
        <v>2602</v>
      </c>
      <c r="D1165" t="s">
        <v>287</v>
      </c>
      <c r="P1165">
        <v>273</v>
      </c>
      <c r="Q1165" t="s">
        <v>2603</v>
      </c>
    </row>
    <row r="1166" spans="1:17" x14ac:dyDescent="0.3">
      <c r="A1166" t="s">
        <v>17</v>
      </c>
      <c r="B1166" t="str">
        <f>"603129"</f>
        <v>603129</v>
      </c>
      <c r="C1166" t="s">
        <v>2604</v>
      </c>
      <c r="D1166" t="s">
        <v>1654</v>
      </c>
      <c r="P1166">
        <v>625</v>
      </c>
      <c r="Q1166" t="s">
        <v>2605</v>
      </c>
    </row>
    <row r="1167" spans="1:17" x14ac:dyDescent="0.3">
      <c r="A1167" t="s">
        <v>17</v>
      </c>
      <c r="B1167" t="str">
        <f>"603131"</f>
        <v>603131</v>
      </c>
      <c r="C1167" t="s">
        <v>2606</v>
      </c>
      <c r="D1167" t="s">
        <v>560</v>
      </c>
      <c r="P1167">
        <v>143</v>
      </c>
      <c r="Q1167" t="s">
        <v>2607</v>
      </c>
    </row>
    <row r="1168" spans="1:17" x14ac:dyDescent="0.3">
      <c r="A1168" t="s">
        <v>17</v>
      </c>
      <c r="B1168" t="str">
        <f>"603132"</f>
        <v>603132</v>
      </c>
      <c r="C1168" t="s">
        <v>2608</v>
      </c>
      <c r="P1168">
        <v>10</v>
      </c>
      <c r="Q1168" t="s">
        <v>2609</v>
      </c>
    </row>
    <row r="1169" spans="1:17" x14ac:dyDescent="0.3">
      <c r="A1169" t="s">
        <v>17</v>
      </c>
      <c r="B1169" t="str">
        <f>"603133"</f>
        <v>603133</v>
      </c>
      <c r="C1169" t="s">
        <v>2610</v>
      </c>
      <c r="D1169" t="s">
        <v>313</v>
      </c>
      <c r="P1169">
        <v>138</v>
      </c>
      <c r="Q1169" t="s">
        <v>2611</v>
      </c>
    </row>
    <row r="1170" spans="1:17" x14ac:dyDescent="0.3">
      <c r="A1170" t="s">
        <v>17</v>
      </c>
      <c r="B1170" t="str">
        <f>"603136"</f>
        <v>603136</v>
      </c>
      <c r="C1170" t="s">
        <v>2612</v>
      </c>
      <c r="D1170" t="s">
        <v>333</v>
      </c>
      <c r="P1170">
        <v>194</v>
      </c>
      <c r="Q1170" t="s">
        <v>2613</v>
      </c>
    </row>
    <row r="1171" spans="1:17" x14ac:dyDescent="0.3">
      <c r="A1171" t="s">
        <v>17</v>
      </c>
      <c r="B1171" t="str">
        <f>"603138"</f>
        <v>603138</v>
      </c>
      <c r="C1171" t="s">
        <v>2614</v>
      </c>
      <c r="D1171" t="s">
        <v>316</v>
      </c>
      <c r="P1171">
        <v>147</v>
      </c>
      <c r="Q1171" t="s">
        <v>2615</v>
      </c>
    </row>
    <row r="1172" spans="1:17" x14ac:dyDescent="0.3">
      <c r="A1172" t="s">
        <v>17</v>
      </c>
      <c r="B1172" t="str">
        <f>"603139"</f>
        <v>603139</v>
      </c>
      <c r="C1172" t="s">
        <v>2616</v>
      </c>
      <c r="D1172" t="s">
        <v>188</v>
      </c>
      <c r="P1172">
        <v>97</v>
      </c>
      <c r="Q1172" t="s">
        <v>2617</v>
      </c>
    </row>
    <row r="1173" spans="1:17" x14ac:dyDescent="0.3">
      <c r="A1173" t="s">
        <v>17</v>
      </c>
      <c r="B1173" t="str">
        <f>"603150"</f>
        <v>603150</v>
      </c>
      <c r="C1173" t="s">
        <v>2618</v>
      </c>
      <c r="P1173">
        <v>5</v>
      </c>
      <c r="Q1173" t="s">
        <v>2619</v>
      </c>
    </row>
    <row r="1174" spans="1:17" x14ac:dyDescent="0.3">
      <c r="A1174" t="s">
        <v>17</v>
      </c>
      <c r="B1174" t="str">
        <f>"603155"</f>
        <v>603155</v>
      </c>
      <c r="C1174" t="s">
        <v>2620</v>
      </c>
      <c r="D1174" t="s">
        <v>1205</v>
      </c>
      <c r="P1174">
        <v>76</v>
      </c>
      <c r="Q1174" t="s">
        <v>2621</v>
      </c>
    </row>
    <row r="1175" spans="1:17" x14ac:dyDescent="0.3">
      <c r="A1175" t="s">
        <v>17</v>
      </c>
      <c r="B1175" t="str">
        <f>"603156"</f>
        <v>603156</v>
      </c>
      <c r="C1175" t="s">
        <v>2622</v>
      </c>
      <c r="D1175" t="s">
        <v>440</v>
      </c>
      <c r="P1175">
        <v>1235</v>
      </c>
      <c r="Q1175" t="s">
        <v>2623</v>
      </c>
    </row>
    <row r="1176" spans="1:17" x14ac:dyDescent="0.3">
      <c r="A1176" t="s">
        <v>17</v>
      </c>
      <c r="B1176" t="str">
        <f>"603157"</f>
        <v>603157</v>
      </c>
      <c r="C1176" t="s">
        <v>2624</v>
      </c>
      <c r="D1176" t="s">
        <v>255</v>
      </c>
      <c r="P1176">
        <v>88</v>
      </c>
      <c r="Q1176" t="s">
        <v>2625</v>
      </c>
    </row>
    <row r="1177" spans="1:17" x14ac:dyDescent="0.3">
      <c r="A1177" t="s">
        <v>17</v>
      </c>
      <c r="B1177" t="str">
        <f>"603158"</f>
        <v>603158</v>
      </c>
      <c r="C1177" t="s">
        <v>2626</v>
      </c>
      <c r="D1177" t="s">
        <v>348</v>
      </c>
      <c r="P1177">
        <v>145</v>
      </c>
      <c r="Q1177" t="s">
        <v>2627</v>
      </c>
    </row>
    <row r="1178" spans="1:17" x14ac:dyDescent="0.3">
      <c r="A1178" t="s">
        <v>17</v>
      </c>
      <c r="B1178" t="str">
        <f>"603159"</f>
        <v>603159</v>
      </c>
      <c r="C1178" t="s">
        <v>2628</v>
      </c>
      <c r="D1178" t="s">
        <v>741</v>
      </c>
      <c r="P1178">
        <v>62</v>
      </c>
      <c r="Q1178" t="s">
        <v>2629</v>
      </c>
    </row>
    <row r="1179" spans="1:17" x14ac:dyDescent="0.3">
      <c r="A1179" t="s">
        <v>17</v>
      </c>
      <c r="B1179" t="str">
        <f>"603160"</f>
        <v>603160</v>
      </c>
      <c r="C1179" t="s">
        <v>2630</v>
      </c>
      <c r="D1179" t="s">
        <v>401</v>
      </c>
      <c r="P1179">
        <v>2243</v>
      </c>
      <c r="Q1179" t="s">
        <v>2631</v>
      </c>
    </row>
    <row r="1180" spans="1:17" x14ac:dyDescent="0.3">
      <c r="A1180" t="s">
        <v>17</v>
      </c>
      <c r="B1180" t="str">
        <f>"603161"</f>
        <v>603161</v>
      </c>
      <c r="C1180" t="s">
        <v>2632</v>
      </c>
      <c r="D1180" t="s">
        <v>348</v>
      </c>
      <c r="P1180">
        <v>81</v>
      </c>
      <c r="Q1180" t="s">
        <v>2633</v>
      </c>
    </row>
    <row r="1181" spans="1:17" x14ac:dyDescent="0.3">
      <c r="A1181" t="s">
        <v>17</v>
      </c>
      <c r="B1181" t="str">
        <f>"603165"</f>
        <v>603165</v>
      </c>
      <c r="C1181" t="s">
        <v>2634</v>
      </c>
      <c r="D1181" t="s">
        <v>694</v>
      </c>
      <c r="P1181">
        <v>587</v>
      </c>
      <c r="Q1181" t="s">
        <v>2635</v>
      </c>
    </row>
    <row r="1182" spans="1:17" x14ac:dyDescent="0.3">
      <c r="A1182" t="s">
        <v>17</v>
      </c>
      <c r="B1182" t="str">
        <f>"603166"</f>
        <v>603166</v>
      </c>
      <c r="C1182" t="s">
        <v>2636</v>
      </c>
      <c r="D1182" t="s">
        <v>348</v>
      </c>
      <c r="P1182">
        <v>141</v>
      </c>
      <c r="Q1182" t="s">
        <v>2637</v>
      </c>
    </row>
    <row r="1183" spans="1:17" x14ac:dyDescent="0.3">
      <c r="A1183" t="s">
        <v>17</v>
      </c>
      <c r="B1183" t="str">
        <f>"603167"</f>
        <v>603167</v>
      </c>
      <c r="C1183" t="s">
        <v>2638</v>
      </c>
      <c r="D1183" t="s">
        <v>69</v>
      </c>
      <c r="P1183">
        <v>239</v>
      </c>
      <c r="Q1183" t="s">
        <v>2639</v>
      </c>
    </row>
    <row r="1184" spans="1:17" x14ac:dyDescent="0.3">
      <c r="A1184" t="s">
        <v>17</v>
      </c>
      <c r="B1184" t="str">
        <f>"603168"</f>
        <v>603168</v>
      </c>
      <c r="C1184" t="s">
        <v>2640</v>
      </c>
      <c r="D1184" t="s">
        <v>143</v>
      </c>
      <c r="P1184">
        <v>528</v>
      </c>
      <c r="Q1184" t="s">
        <v>2641</v>
      </c>
    </row>
    <row r="1185" spans="1:17" x14ac:dyDescent="0.3">
      <c r="A1185" t="s">
        <v>17</v>
      </c>
      <c r="B1185" t="str">
        <f>"603169"</f>
        <v>603169</v>
      </c>
      <c r="C1185" t="s">
        <v>2642</v>
      </c>
      <c r="D1185" t="s">
        <v>395</v>
      </c>
      <c r="P1185">
        <v>81</v>
      </c>
      <c r="Q1185" t="s">
        <v>2643</v>
      </c>
    </row>
    <row r="1186" spans="1:17" x14ac:dyDescent="0.3">
      <c r="A1186" t="s">
        <v>17</v>
      </c>
      <c r="B1186" t="str">
        <f>"603171"</f>
        <v>603171</v>
      </c>
      <c r="C1186" t="s">
        <v>2644</v>
      </c>
      <c r="D1186" t="s">
        <v>316</v>
      </c>
      <c r="P1186">
        <v>54</v>
      </c>
      <c r="Q1186" t="s">
        <v>2645</v>
      </c>
    </row>
    <row r="1187" spans="1:17" x14ac:dyDescent="0.3">
      <c r="A1187" t="s">
        <v>17</v>
      </c>
      <c r="B1187" t="str">
        <f>"603176"</f>
        <v>603176</v>
      </c>
      <c r="C1187" t="s">
        <v>2646</v>
      </c>
      <c r="D1187" t="s">
        <v>101</v>
      </c>
      <c r="P1187">
        <v>17</v>
      </c>
      <c r="Q1187" t="s">
        <v>2647</v>
      </c>
    </row>
    <row r="1188" spans="1:17" x14ac:dyDescent="0.3">
      <c r="A1188" t="s">
        <v>17</v>
      </c>
      <c r="B1188" t="str">
        <f>"603177"</f>
        <v>603177</v>
      </c>
      <c r="C1188" t="s">
        <v>2648</v>
      </c>
      <c r="D1188" t="s">
        <v>663</v>
      </c>
      <c r="P1188">
        <v>68</v>
      </c>
      <c r="Q1188" t="s">
        <v>2649</v>
      </c>
    </row>
    <row r="1189" spans="1:17" x14ac:dyDescent="0.3">
      <c r="A1189" t="s">
        <v>17</v>
      </c>
      <c r="B1189" t="str">
        <f>"603178"</f>
        <v>603178</v>
      </c>
      <c r="C1189" t="s">
        <v>2650</v>
      </c>
      <c r="D1189" t="s">
        <v>348</v>
      </c>
      <c r="P1189">
        <v>80</v>
      </c>
      <c r="Q1189" t="s">
        <v>2651</v>
      </c>
    </row>
    <row r="1190" spans="1:17" x14ac:dyDescent="0.3">
      <c r="A1190" t="s">
        <v>17</v>
      </c>
      <c r="B1190" t="str">
        <f>"603179"</f>
        <v>603179</v>
      </c>
      <c r="C1190" t="s">
        <v>2652</v>
      </c>
      <c r="D1190" t="s">
        <v>1415</v>
      </c>
      <c r="P1190">
        <v>302</v>
      </c>
      <c r="Q1190" t="s">
        <v>2653</v>
      </c>
    </row>
    <row r="1191" spans="1:17" x14ac:dyDescent="0.3">
      <c r="A1191" t="s">
        <v>17</v>
      </c>
      <c r="B1191" t="str">
        <f>"603180"</f>
        <v>603180</v>
      </c>
      <c r="C1191" t="s">
        <v>2654</v>
      </c>
      <c r="D1191" t="s">
        <v>2655</v>
      </c>
      <c r="P1191">
        <v>1304</v>
      </c>
      <c r="Q1191" t="s">
        <v>2656</v>
      </c>
    </row>
    <row r="1192" spans="1:17" x14ac:dyDescent="0.3">
      <c r="A1192" t="s">
        <v>17</v>
      </c>
      <c r="B1192" t="str">
        <f>"603181"</f>
        <v>603181</v>
      </c>
      <c r="C1192" t="s">
        <v>2657</v>
      </c>
      <c r="D1192" t="s">
        <v>1192</v>
      </c>
      <c r="P1192">
        <v>160</v>
      </c>
      <c r="Q1192" t="s">
        <v>2658</v>
      </c>
    </row>
    <row r="1193" spans="1:17" x14ac:dyDescent="0.3">
      <c r="A1193" t="s">
        <v>17</v>
      </c>
      <c r="B1193" t="str">
        <f>"603183"</f>
        <v>603183</v>
      </c>
      <c r="C1193" t="s">
        <v>2659</v>
      </c>
      <c r="D1193" t="s">
        <v>2503</v>
      </c>
      <c r="P1193">
        <v>92</v>
      </c>
      <c r="Q1193" t="s">
        <v>2660</v>
      </c>
    </row>
    <row r="1194" spans="1:17" x14ac:dyDescent="0.3">
      <c r="A1194" t="s">
        <v>17</v>
      </c>
      <c r="B1194" t="str">
        <f>"603185"</f>
        <v>603185</v>
      </c>
      <c r="C1194" t="s">
        <v>2661</v>
      </c>
      <c r="D1194" t="s">
        <v>2662</v>
      </c>
      <c r="P1194">
        <v>516</v>
      </c>
      <c r="Q1194" t="s">
        <v>2663</v>
      </c>
    </row>
    <row r="1195" spans="1:17" x14ac:dyDescent="0.3">
      <c r="A1195" t="s">
        <v>17</v>
      </c>
      <c r="B1195" t="str">
        <f>"603186"</f>
        <v>603186</v>
      </c>
      <c r="C1195" t="s">
        <v>2664</v>
      </c>
      <c r="D1195" t="s">
        <v>425</v>
      </c>
      <c r="P1195">
        <v>328</v>
      </c>
      <c r="Q1195" t="s">
        <v>2665</v>
      </c>
    </row>
    <row r="1196" spans="1:17" x14ac:dyDescent="0.3">
      <c r="A1196" t="s">
        <v>17</v>
      </c>
      <c r="B1196" t="str">
        <f>"603187"</f>
        <v>603187</v>
      </c>
      <c r="C1196" t="s">
        <v>2666</v>
      </c>
      <c r="D1196" t="s">
        <v>988</v>
      </c>
      <c r="P1196">
        <v>704</v>
      </c>
      <c r="Q1196" t="s">
        <v>2667</v>
      </c>
    </row>
    <row r="1197" spans="1:17" x14ac:dyDescent="0.3">
      <c r="A1197" t="s">
        <v>17</v>
      </c>
      <c r="B1197" t="str">
        <f>"603188"</f>
        <v>603188</v>
      </c>
      <c r="C1197" t="s">
        <v>2668</v>
      </c>
      <c r="D1197" t="s">
        <v>779</v>
      </c>
      <c r="P1197">
        <v>206</v>
      </c>
      <c r="Q1197" t="s">
        <v>2669</v>
      </c>
    </row>
    <row r="1198" spans="1:17" x14ac:dyDescent="0.3">
      <c r="A1198" t="s">
        <v>17</v>
      </c>
      <c r="B1198" t="str">
        <f>"603189"</f>
        <v>603189</v>
      </c>
      <c r="C1198" t="s">
        <v>2670</v>
      </c>
      <c r="D1198" t="s">
        <v>945</v>
      </c>
      <c r="P1198">
        <v>166</v>
      </c>
      <c r="Q1198" t="s">
        <v>2671</v>
      </c>
    </row>
    <row r="1199" spans="1:17" x14ac:dyDescent="0.3">
      <c r="A1199" t="s">
        <v>17</v>
      </c>
      <c r="B1199" t="str">
        <f>"603191"</f>
        <v>603191</v>
      </c>
      <c r="C1199" t="s">
        <v>2672</v>
      </c>
      <c r="P1199">
        <v>5</v>
      </c>
      <c r="Q1199" t="s">
        <v>2673</v>
      </c>
    </row>
    <row r="1200" spans="1:17" x14ac:dyDescent="0.3">
      <c r="A1200" t="s">
        <v>17</v>
      </c>
      <c r="B1200" t="str">
        <f>"603192"</f>
        <v>603192</v>
      </c>
      <c r="C1200" t="s">
        <v>2674</v>
      </c>
      <c r="D1200" t="s">
        <v>528</v>
      </c>
      <c r="P1200">
        <v>82</v>
      </c>
      <c r="Q1200" t="s">
        <v>2675</v>
      </c>
    </row>
    <row r="1201" spans="1:17" x14ac:dyDescent="0.3">
      <c r="A1201" t="s">
        <v>17</v>
      </c>
      <c r="B1201" t="str">
        <f>"603195"</f>
        <v>603195</v>
      </c>
      <c r="C1201" t="s">
        <v>2676</v>
      </c>
      <c r="D1201" t="s">
        <v>2438</v>
      </c>
      <c r="P1201">
        <v>1473</v>
      </c>
      <c r="Q1201" t="s">
        <v>2677</v>
      </c>
    </row>
    <row r="1202" spans="1:17" x14ac:dyDescent="0.3">
      <c r="A1202" t="s">
        <v>17</v>
      </c>
      <c r="B1202" t="str">
        <f>"603196"</f>
        <v>603196</v>
      </c>
      <c r="C1202" t="s">
        <v>2678</v>
      </c>
      <c r="D1202" t="s">
        <v>255</v>
      </c>
      <c r="P1202">
        <v>70</v>
      </c>
      <c r="Q1202" t="s">
        <v>2679</v>
      </c>
    </row>
    <row r="1203" spans="1:17" x14ac:dyDescent="0.3">
      <c r="A1203" t="s">
        <v>17</v>
      </c>
      <c r="B1203" t="str">
        <f>"603197"</f>
        <v>603197</v>
      </c>
      <c r="C1203" t="s">
        <v>2680</v>
      </c>
      <c r="D1203" t="s">
        <v>985</v>
      </c>
      <c r="P1203">
        <v>357</v>
      </c>
      <c r="Q1203" t="s">
        <v>2681</v>
      </c>
    </row>
    <row r="1204" spans="1:17" x14ac:dyDescent="0.3">
      <c r="A1204" t="s">
        <v>17</v>
      </c>
      <c r="B1204" t="str">
        <f>"603198"</f>
        <v>603198</v>
      </c>
      <c r="C1204" t="s">
        <v>2682</v>
      </c>
      <c r="D1204" t="s">
        <v>458</v>
      </c>
      <c r="P1204">
        <v>5968</v>
      </c>
      <c r="Q1204" t="s">
        <v>2683</v>
      </c>
    </row>
    <row r="1205" spans="1:17" x14ac:dyDescent="0.3">
      <c r="A1205" t="s">
        <v>17</v>
      </c>
      <c r="B1205" t="str">
        <f>"603199"</f>
        <v>603199</v>
      </c>
      <c r="C1205" t="s">
        <v>2684</v>
      </c>
      <c r="D1205" t="s">
        <v>119</v>
      </c>
      <c r="P1205">
        <v>144</v>
      </c>
      <c r="Q1205" t="s">
        <v>2685</v>
      </c>
    </row>
    <row r="1206" spans="1:17" x14ac:dyDescent="0.3">
      <c r="A1206" t="s">
        <v>17</v>
      </c>
      <c r="B1206" t="str">
        <f>"603200"</f>
        <v>603200</v>
      </c>
      <c r="C1206" t="s">
        <v>2686</v>
      </c>
      <c r="D1206" t="s">
        <v>33</v>
      </c>
      <c r="P1206">
        <v>101</v>
      </c>
      <c r="Q1206" t="s">
        <v>2687</v>
      </c>
    </row>
    <row r="1207" spans="1:17" x14ac:dyDescent="0.3">
      <c r="A1207" t="s">
        <v>17</v>
      </c>
      <c r="B1207" t="str">
        <f>"603203"</f>
        <v>603203</v>
      </c>
      <c r="C1207" t="s">
        <v>2688</v>
      </c>
      <c r="D1207" t="s">
        <v>2425</v>
      </c>
      <c r="P1207">
        <v>2649</v>
      </c>
      <c r="Q1207" t="s">
        <v>2689</v>
      </c>
    </row>
    <row r="1208" spans="1:17" x14ac:dyDescent="0.3">
      <c r="A1208" t="s">
        <v>17</v>
      </c>
      <c r="B1208" t="str">
        <f>"603208"</f>
        <v>603208</v>
      </c>
      <c r="C1208" t="s">
        <v>2690</v>
      </c>
      <c r="D1208" t="s">
        <v>2655</v>
      </c>
      <c r="P1208">
        <v>493</v>
      </c>
      <c r="Q1208" t="s">
        <v>2691</v>
      </c>
    </row>
    <row r="1209" spans="1:17" x14ac:dyDescent="0.3">
      <c r="A1209" t="s">
        <v>17</v>
      </c>
      <c r="B1209" t="str">
        <f>"603209"</f>
        <v>603209</v>
      </c>
      <c r="C1209" t="s">
        <v>2692</v>
      </c>
      <c r="P1209">
        <v>12</v>
      </c>
      <c r="Q1209" t="s">
        <v>2693</v>
      </c>
    </row>
    <row r="1210" spans="1:17" x14ac:dyDescent="0.3">
      <c r="A1210" t="s">
        <v>17</v>
      </c>
      <c r="B1210" t="str">
        <f>"603212"</f>
        <v>603212</v>
      </c>
      <c r="C1210" t="s">
        <v>2694</v>
      </c>
      <c r="D1210" t="s">
        <v>478</v>
      </c>
      <c r="P1210">
        <v>129</v>
      </c>
      <c r="Q1210" t="s">
        <v>2695</v>
      </c>
    </row>
    <row r="1211" spans="1:17" x14ac:dyDescent="0.3">
      <c r="A1211" t="s">
        <v>17</v>
      </c>
      <c r="B1211" t="str">
        <f>"603213"</f>
        <v>603213</v>
      </c>
      <c r="C1211" t="s">
        <v>2696</v>
      </c>
      <c r="D1211" t="s">
        <v>175</v>
      </c>
      <c r="P1211">
        <v>32</v>
      </c>
      <c r="Q1211" t="s">
        <v>2697</v>
      </c>
    </row>
    <row r="1212" spans="1:17" x14ac:dyDescent="0.3">
      <c r="A1212" t="s">
        <v>17</v>
      </c>
      <c r="B1212" t="str">
        <f>"603214"</f>
        <v>603214</v>
      </c>
      <c r="C1212" t="s">
        <v>2698</v>
      </c>
      <c r="D1212" t="s">
        <v>295</v>
      </c>
      <c r="P1212">
        <v>290</v>
      </c>
      <c r="Q1212" t="s">
        <v>2699</v>
      </c>
    </row>
    <row r="1213" spans="1:17" x14ac:dyDescent="0.3">
      <c r="A1213" t="s">
        <v>17</v>
      </c>
      <c r="B1213" t="str">
        <f>"603215"</f>
        <v>603215</v>
      </c>
      <c r="C1213" t="s">
        <v>2700</v>
      </c>
      <c r="P1213">
        <v>13</v>
      </c>
      <c r="Q1213" t="s">
        <v>2701</v>
      </c>
    </row>
    <row r="1214" spans="1:17" x14ac:dyDescent="0.3">
      <c r="A1214" t="s">
        <v>17</v>
      </c>
      <c r="B1214" t="str">
        <f>"603216"</f>
        <v>603216</v>
      </c>
      <c r="C1214" t="s">
        <v>2702</v>
      </c>
      <c r="D1214" t="s">
        <v>2655</v>
      </c>
      <c r="P1214">
        <v>22</v>
      </c>
      <c r="Q1214" t="s">
        <v>2703</v>
      </c>
    </row>
    <row r="1215" spans="1:17" x14ac:dyDescent="0.3">
      <c r="A1215" t="s">
        <v>17</v>
      </c>
      <c r="B1215" t="str">
        <f>"603217"</f>
        <v>603217</v>
      </c>
      <c r="C1215" t="s">
        <v>2704</v>
      </c>
      <c r="D1215" t="s">
        <v>386</v>
      </c>
      <c r="P1215">
        <v>71</v>
      </c>
      <c r="Q1215" t="s">
        <v>2705</v>
      </c>
    </row>
    <row r="1216" spans="1:17" x14ac:dyDescent="0.3">
      <c r="A1216" t="s">
        <v>17</v>
      </c>
      <c r="B1216" t="str">
        <f>"603218"</f>
        <v>603218</v>
      </c>
      <c r="C1216" t="s">
        <v>2706</v>
      </c>
      <c r="D1216" t="s">
        <v>950</v>
      </c>
      <c r="P1216">
        <v>566</v>
      </c>
      <c r="Q1216" t="s">
        <v>2707</v>
      </c>
    </row>
    <row r="1217" spans="1:17" x14ac:dyDescent="0.3">
      <c r="A1217" t="s">
        <v>17</v>
      </c>
      <c r="B1217" t="str">
        <f>"603219"</f>
        <v>603219</v>
      </c>
      <c r="C1217" t="s">
        <v>2708</v>
      </c>
      <c r="D1217" t="s">
        <v>2709</v>
      </c>
      <c r="P1217">
        <v>23</v>
      </c>
      <c r="Q1217" t="s">
        <v>2710</v>
      </c>
    </row>
    <row r="1218" spans="1:17" x14ac:dyDescent="0.3">
      <c r="A1218" t="s">
        <v>17</v>
      </c>
      <c r="B1218" t="str">
        <f>"603220"</f>
        <v>603220</v>
      </c>
      <c r="C1218" t="s">
        <v>2711</v>
      </c>
      <c r="D1218" t="s">
        <v>654</v>
      </c>
      <c r="P1218">
        <v>146</v>
      </c>
      <c r="Q1218" t="s">
        <v>2712</v>
      </c>
    </row>
    <row r="1219" spans="1:17" x14ac:dyDescent="0.3">
      <c r="A1219" t="s">
        <v>17</v>
      </c>
      <c r="B1219" t="str">
        <f>"603221"</f>
        <v>603221</v>
      </c>
      <c r="C1219" t="s">
        <v>2713</v>
      </c>
      <c r="D1219" t="s">
        <v>178</v>
      </c>
      <c r="P1219">
        <v>79</v>
      </c>
      <c r="Q1219" t="s">
        <v>2714</v>
      </c>
    </row>
    <row r="1220" spans="1:17" x14ac:dyDescent="0.3">
      <c r="A1220" t="s">
        <v>17</v>
      </c>
      <c r="B1220" t="str">
        <f>"603222"</f>
        <v>603222</v>
      </c>
      <c r="C1220" t="s">
        <v>2715</v>
      </c>
      <c r="D1220" t="s">
        <v>1077</v>
      </c>
      <c r="P1220">
        <v>171</v>
      </c>
      <c r="Q1220" t="s">
        <v>2716</v>
      </c>
    </row>
    <row r="1221" spans="1:17" x14ac:dyDescent="0.3">
      <c r="A1221" t="s">
        <v>17</v>
      </c>
      <c r="B1221" t="str">
        <f>"603223"</f>
        <v>603223</v>
      </c>
      <c r="C1221" t="s">
        <v>2717</v>
      </c>
      <c r="D1221" t="s">
        <v>2496</v>
      </c>
      <c r="P1221">
        <v>98</v>
      </c>
      <c r="Q1221" t="s">
        <v>2718</v>
      </c>
    </row>
    <row r="1222" spans="1:17" x14ac:dyDescent="0.3">
      <c r="A1222" t="s">
        <v>17</v>
      </c>
      <c r="B1222" t="str">
        <f>"603225"</f>
        <v>603225</v>
      </c>
      <c r="C1222" t="s">
        <v>2719</v>
      </c>
      <c r="D1222" t="s">
        <v>2720</v>
      </c>
      <c r="P1222">
        <v>388</v>
      </c>
      <c r="Q1222" t="s">
        <v>2721</v>
      </c>
    </row>
    <row r="1223" spans="1:17" x14ac:dyDescent="0.3">
      <c r="A1223" t="s">
        <v>17</v>
      </c>
      <c r="B1223" t="str">
        <f>"603226"</f>
        <v>603226</v>
      </c>
      <c r="C1223" t="s">
        <v>2722</v>
      </c>
      <c r="D1223" t="s">
        <v>178</v>
      </c>
      <c r="P1223">
        <v>113</v>
      </c>
      <c r="Q1223" t="s">
        <v>2723</v>
      </c>
    </row>
    <row r="1224" spans="1:17" x14ac:dyDescent="0.3">
      <c r="A1224" t="s">
        <v>17</v>
      </c>
      <c r="B1224" t="str">
        <f>"603227"</f>
        <v>603227</v>
      </c>
      <c r="C1224" t="s">
        <v>2724</v>
      </c>
      <c r="D1224" t="s">
        <v>2725</v>
      </c>
      <c r="P1224">
        <v>80</v>
      </c>
      <c r="Q1224" t="s">
        <v>2726</v>
      </c>
    </row>
    <row r="1225" spans="1:17" x14ac:dyDescent="0.3">
      <c r="A1225" t="s">
        <v>17</v>
      </c>
      <c r="B1225" t="str">
        <f>"603228"</f>
        <v>603228</v>
      </c>
      <c r="C1225" t="s">
        <v>2727</v>
      </c>
      <c r="D1225" t="s">
        <v>425</v>
      </c>
      <c r="P1225">
        <v>1624</v>
      </c>
      <c r="Q1225" t="s">
        <v>2728</v>
      </c>
    </row>
    <row r="1226" spans="1:17" x14ac:dyDescent="0.3">
      <c r="A1226" t="s">
        <v>17</v>
      </c>
      <c r="B1226" t="str">
        <f>"603229"</f>
        <v>603229</v>
      </c>
      <c r="C1226" t="s">
        <v>2729</v>
      </c>
      <c r="D1226" t="s">
        <v>496</v>
      </c>
      <c r="P1226">
        <v>164</v>
      </c>
      <c r="Q1226" t="s">
        <v>2730</v>
      </c>
    </row>
    <row r="1227" spans="1:17" x14ac:dyDescent="0.3">
      <c r="A1227" t="s">
        <v>17</v>
      </c>
      <c r="B1227" t="str">
        <f>"603230"</f>
        <v>603230</v>
      </c>
      <c r="C1227" t="s">
        <v>2731</v>
      </c>
      <c r="D1227" t="s">
        <v>1536</v>
      </c>
      <c r="P1227">
        <v>17</v>
      </c>
      <c r="Q1227" t="s">
        <v>2732</v>
      </c>
    </row>
    <row r="1228" spans="1:17" x14ac:dyDescent="0.3">
      <c r="A1228" t="s">
        <v>17</v>
      </c>
      <c r="B1228" t="str">
        <f>"603232"</f>
        <v>603232</v>
      </c>
      <c r="C1228" t="s">
        <v>2733</v>
      </c>
      <c r="D1228" t="s">
        <v>945</v>
      </c>
      <c r="P1228">
        <v>159</v>
      </c>
      <c r="Q1228" t="s">
        <v>2734</v>
      </c>
    </row>
    <row r="1229" spans="1:17" x14ac:dyDescent="0.3">
      <c r="A1229" t="s">
        <v>17</v>
      </c>
      <c r="B1229" t="str">
        <f>"603233"</f>
        <v>603233</v>
      </c>
      <c r="C1229" t="s">
        <v>2735</v>
      </c>
      <c r="D1229" t="s">
        <v>1684</v>
      </c>
      <c r="P1229">
        <v>1786</v>
      </c>
      <c r="Q1229" t="s">
        <v>2736</v>
      </c>
    </row>
    <row r="1230" spans="1:17" x14ac:dyDescent="0.3">
      <c r="A1230" t="s">
        <v>17</v>
      </c>
      <c r="B1230" t="str">
        <f>"603236"</f>
        <v>603236</v>
      </c>
      <c r="C1230" t="s">
        <v>2737</v>
      </c>
      <c r="D1230" t="s">
        <v>786</v>
      </c>
      <c r="P1230">
        <v>589</v>
      </c>
      <c r="Q1230" t="s">
        <v>2738</v>
      </c>
    </row>
    <row r="1231" spans="1:17" x14ac:dyDescent="0.3">
      <c r="A1231" t="s">
        <v>17</v>
      </c>
      <c r="B1231" t="str">
        <f>"603238"</f>
        <v>603238</v>
      </c>
      <c r="C1231" t="s">
        <v>2739</v>
      </c>
      <c r="D1231" t="s">
        <v>2740</v>
      </c>
      <c r="P1231">
        <v>240</v>
      </c>
      <c r="Q1231" t="s">
        <v>2741</v>
      </c>
    </row>
    <row r="1232" spans="1:17" x14ac:dyDescent="0.3">
      <c r="A1232" t="s">
        <v>17</v>
      </c>
      <c r="B1232" t="str">
        <f>"603239"</f>
        <v>603239</v>
      </c>
      <c r="C1232" t="s">
        <v>2742</v>
      </c>
      <c r="D1232" t="s">
        <v>985</v>
      </c>
      <c r="P1232">
        <v>166</v>
      </c>
      <c r="Q1232" t="s">
        <v>2743</v>
      </c>
    </row>
    <row r="1233" spans="1:17" x14ac:dyDescent="0.3">
      <c r="A1233" t="s">
        <v>17</v>
      </c>
      <c r="B1233" t="str">
        <f>"603256"</f>
        <v>603256</v>
      </c>
      <c r="C1233" t="s">
        <v>2744</v>
      </c>
      <c r="D1233" t="s">
        <v>411</v>
      </c>
      <c r="P1233">
        <v>340</v>
      </c>
      <c r="Q1233" t="s">
        <v>2745</v>
      </c>
    </row>
    <row r="1234" spans="1:17" x14ac:dyDescent="0.3">
      <c r="A1234" t="s">
        <v>17</v>
      </c>
      <c r="B1234" t="str">
        <f>"603258"</f>
        <v>603258</v>
      </c>
      <c r="C1234" t="s">
        <v>2746</v>
      </c>
      <c r="D1234" t="s">
        <v>517</v>
      </c>
      <c r="P1234">
        <v>770</v>
      </c>
      <c r="Q1234" t="s">
        <v>2747</v>
      </c>
    </row>
    <row r="1235" spans="1:17" x14ac:dyDescent="0.3">
      <c r="A1235" t="s">
        <v>17</v>
      </c>
      <c r="B1235" t="str">
        <f>"603259"</f>
        <v>603259</v>
      </c>
      <c r="C1235" t="s">
        <v>2748</v>
      </c>
      <c r="D1235" t="s">
        <v>1461</v>
      </c>
      <c r="P1235">
        <v>3986</v>
      </c>
      <c r="Q1235" t="s">
        <v>2749</v>
      </c>
    </row>
    <row r="1236" spans="1:17" x14ac:dyDescent="0.3">
      <c r="A1236" t="s">
        <v>17</v>
      </c>
      <c r="B1236" t="str">
        <f>"603260"</f>
        <v>603260</v>
      </c>
      <c r="C1236" t="s">
        <v>2750</v>
      </c>
      <c r="D1236" t="s">
        <v>2751</v>
      </c>
      <c r="P1236">
        <v>700</v>
      </c>
      <c r="Q1236" t="s">
        <v>2752</v>
      </c>
    </row>
    <row r="1237" spans="1:17" x14ac:dyDescent="0.3">
      <c r="A1237" t="s">
        <v>17</v>
      </c>
      <c r="B1237" t="str">
        <f>"603261"</f>
        <v>603261</v>
      </c>
      <c r="C1237" t="s">
        <v>2753</v>
      </c>
      <c r="P1237">
        <v>7</v>
      </c>
      <c r="Q1237" t="s">
        <v>2754</v>
      </c>
    </row>
    <row r="1238" spans="1:17" x14ac:dyDescent="0.3">
      <c r="A1238" t="s">
        <v>17</v>
      </c>
      <c r="B1238" t="str">
        <f>"603266"</f>
        <v>603266</v>
      </c>
      <c r="C1238" t="s">
        <v>2755</v>
      </c>
      <c r="D1238" t="s">
        <v>1192</v>
      </c>
      <c r="P1238">
        <v>95</v>
      </c>
      <c r="Q1238" t="s">
        <v>2756</v>
      </c>
    </row>
    <row r="1239" spans="1:17" x14ac:dyDescent="0.3">
      <c r="A1239" t="s">
        <v>17</v>
      </c>
      <c r="B1239" t="str">
        <f>"603267"</f>
        <v>603267</v>
      </c>
      <c r="C1239" t="s">
        <v>2757</v>
      </c>
      <c r="D1239" t="s">
        <v>1136</v>
      </c>
      <c r="P1239">
        <v>469</v>
      </c>
      <c r="Q1239" t="s">
        <v>2758</v>
      </c>
    </row>
    <row r="1240" spans="1:17" x14ac:dyDescent="0.3">
      <c r="A1240" t="s">
        <v>17</v>
      </c>
      <c r="B1240" t="str">
        <f>"603268"</f>
        <v>603268</v>
      </c>
      <c r="C1240" t="s">
        <v>2759</v>
      </c>
      <c r="D1240" t="s">
        <v>2438</v>
      </c>
      <c r="P1240">
        <v>70</v>
      </c>
      <c r="Q1240" t="s">
        <v>2760</v>
      </c>
    </row>
    <row r="1241" spans="1:17" x14ac:dyDescent="0.3">
      <c r="A1241" t="s">
        <v>17</v>
      </c>
      <c r="B1241" t="str">
        <f>"603269"</f>
        <v>603269</v>
      </c>
      <c r="C1241" t="s">
        <v>2761</v>
      </c>
      <c r="D1241" t="s">
        <v>560</v>
      </c>
      <c r="P1241">
        <v>63</v>
      </c>
      <c r="Q1241" t="s">
        <v>2762</v>
      </c>
    </row>
    <row r="1242" spans="1:17" x14ac:dyDescent="0.3">
      <c r="A1242" t="s">
        <v>17</v>
      </c>
      <c r="B1242" t="str">
        <f>"603277"</f>
        <v>603277</v>
      </c>
      <c r="C1242" t="s">
        <v>2763</v>
      </c>
      <c r="D1242" t="s">
        <v>988</v>
      </c>
      <c r="P1242">
        <v>136</v>
      </c>
      <c r="Q1242" t="s">
        <v>2764</v>
      </c>
    </row>
    <row r="1243" spans="1:17" x14ac:dyDescent="0.3">
      <c r="A1243" t="s">
        <v>17</v>
      </c>
      <c r="B1243" t="str">
        <f>"603278"</f>
        <v>603278</v>
      </c>
      <c r="C1243" t="s">
        <v>2765</v>
      </c>
      <c r="D1243" t="s">
        <v>274</v>
      </c>
      <c r="P1243">
        <v>122</v>
      </c>
      <c r="Q1243" t="s">
        <v>2766</v>
      </c>
    </row>
    <row r="1244" spans="1:17" x14ac:dyDescent="0.3">
      <c r="A1244" t="s">
        <v>17</v>
      </c>
      <c r="B1244" t="str">
        <f>"603279"</f>
        <v>603279</v>
      </c>
      <c r="C1244" t="s">
        <v>2767</v>
      </c>
      <c r="D1244" t="s">
        <v>1070</v>
      </c>
      <c r="P1244">
        <v>231</v>
      </c>
      <c r="Q1244" t="s">
        <v>2768</v>
      </c>
    </row>
    <row r="1245" spans="1:17" x14ac:dyDescent="0.3">
      <c r="A1245" t="s">
        <v>17</v>
      </c>
      <c r="B1245" t="str">
        <f>"603283"</f>
        <v>603283</v>
      </c>
      <c r="C1245" t="s">
        <v>2769</v>
      </c>
      <c r="D1245" t="s">
        <v>2425</v>
      </c>
      <c r="P1245">
        <v>216</v>
      </c>
      <c r="Q1245" t="s">
        <v>2770</v>
      </c>
    </row>
    <row r="1246" spans="1:17" x14ac:dyDescent="0.3">
      <c r="A1246" t="s">
        <v>17</v>
      </c>
      <c r="B1246" t="str">
        <f>"603286"</f>
        <v>603286</v>
      </c>
      <c r="C1246" t="s">
        <v>2771</v>
      </c>
      <c r="D1246" t="s">
        <v>348</v>
      </c>
      <c r="P1246">
        <v>66</v>
      </c>
      <c r="Q1246" t="s">
        <v>2772</v>
      </c>
    </row>
    <row r="1247" spans="1:17" x14ac:dyDescent="0.3">
      <c r="A1247" t="s">
        <v>17</v>
      </c>
      <c r="B1247" t="str">
        <f>"603288"</f>
        <v>603288</v>
      </c>
      <c r="C1247" t="s">
        <v>2773</v>
      </c>
      <c r="D1247" t="s">
        <v>433</v>
      </c>
      <c r="P1247">
        <v>54149</v>
      </c>
      <c r="Q1247" t="s">
        <v>2774</v>
      </c>
    </row>
    <row r="1248" spans="1:17" x14ac:dyDescent="0.3">
      <c r="A1248" t="s">
        <v>17</v>
      </c>
      <c r="B1248" t="str">
        <f>"603289"</f>
        <v>603289</v>
      </c>
      <c r="C1248" t="s">
        <v>2775</v>
      </c>
      <c r="D1248" t="s">
        <v>741</v>
      </c>
      <c r="P1248">
        <v>115</v>
      </c>
      <c r="Q1248" t="s">
        <v>2776</v>
      </c>
    </row>
    <row r="1249" spans="1:17" x14ac:dyDescent="0.3">
      <c r="A1249" t="s">
        <v>17</v>
      </c>
      <c r="B1249" t="str">
        <f>"603290"</f>
        <v>603290</v>
      </c>
      <c r="C1249" t="s">
        <v>2777</v>
      </c>
      <c r="D1249" t="s">
        <v>795</v>
      </c>
      <c r="P1249">
        <v>635</v>
      </c>
      <c r="Q1249" t="s">
        <v>2778</v>
      </c>
    </row>
    <row r="1250" spans="1:17" x14ac:dyDescent="0.3">
      <c r="A1250" t="s">
        <v>17</v>
      </c>
      <c r="B1250" t="str">
        <f>"603297"</f>
        <v>603297</v>
      </c>
      <c r="C1250" t="s">
        <v>2779</v>
      </c>
      <c r="D1250" t="s">
        <v>164</v>
      </c>
      <c r="P1250">
        <v>238</v>
      </c>
      <c r="Q1250" t="s">
        <v>2780</v>
      </c>
    </row>
    <row r="1251" spans="1:17" x14ac:dyDescent="0.3">
      <c r="A1251" t="s">
        <v>17</v>
      </c>
      <c r="B1251" t="str">
        <f>"603298"</f>
        <v>603298</v>
      </c>
      <c r="C1251" t="s">
        <v>2781</v>
      </c>
      <c r="D1251" t="s">
        <v>83</v>
      </c>
      <c r="P1251">
        <v>451</v>
      </c>
      <c r="Q1251" t="s">
        <v>2782</v>
      </c>
    </row>
    <row r="1252" spans="1:17" x14ac:dyDescent="0.3">
      <c r="A1252" t="s">
        <v>17</v>
      </c>
      <c r="B1252" t="str">
        <f>"603299"</f>
        <v>603299</v>
      </c>
      <c r="C1252" t="s">
        <v>2783</v>
      </c>
      <c r="D1252" t="s">
        <v>736</v>
      </c>
      <c r="P1252">
        <v>139</v>
      </c>
      <c r="Q1252" t="s">
        <v>2784</v>
      </c>
    </row>
    <row r="1253" spans="1:17" x14ac:dyDescent="0.3">
      <c r="A1253" t="s">
        <v>17</v>
      </c>
      <c r="B1253" t="str">
        <f>"603300"</f>
        <v>603300</v>
      </c>
      <c r="C1253" t="s">
        <v>2785</v>
      </c>
      <c r="D1253" t="s">
        <v>336</v>
      </c>
      <c r="P1253">
        <v>123</v>
      </c>
      <c r="Q1253" t="s">
        <v>2786</v>
      </c>
    </row>
    <row r="1254" spans="1:17" x14ac:dyDescent="0.3">
      <c r="A1254" t="s">
        <v>17</v>
      </c>
      <c r="B1254" t="str">
        <f>"603301"</f>
        <v>603301</v>
      </c>
      <c r="C1254" t="s">
        <v>2787</v>
      </c>
      <c r="D1254" t="s">
        <v>1077</v>
      </c>
      <c r="P1254">
        <v>1533</v>
      </c>
      <c r="Q1254" t="s">
        <v>2788</v>
      </c>
    </row>
    <row r="1255" spans="1:17" x14ac:dyDescent="0.3">
      <c r="A1255" t="s">
        <v>17</v>
      </c>
      <c r="B1255" t="str">
        <f>"603303"</f>
        <v>603303</v>
      </c>
      <c r="C1255" t="s">
        <v>2789</v>
      </c>
      <c r="D1255" t="s">
        <v>598</v>
      </c>
      <c r="P1255">
        <v>180</v>
      </c>
      <c r="Q1255" t="s">
        <v>2790</v>
      </c>
    </row>
    <row r="1256" spans="1:17" x14ac:dyDescent="0.3">
      <c r="A1256" t="s">
        <v>17</v>
      </c>
      <c r="B1256" t="str">
        <f>"603305"</f>
        <v>603305</v>
      </c>
      <c r="C1256" t="s">
        <v>2791</v>
      </c>
      <c r="D1256" t="s">
        <v>348</v>
      </c>
      <c r="P1256">
        <v>506</v>
      </c>
      <c r="Q1256" t="s">
        <v>2792</v>
      </c>
    </row>
    <row r="1257" spans="1:17" x14ac:dyDescent="0.3">
      <c r="A1257" t="s">
        <v>17</v>
      </c>
      <c r="B1257" t="str">
        <f>"603306"</f>
        <v>603306</v>
      </c>
      <c r="C1257" t="s">
        <v>2793</v>
      </c>
      <c r="D1257" t="s">
        <v>191</v>
      </c>
      <c r="P1257">
        <v>631</v>
      </c>
      <c r="Q1257" t="s">
        <v>2794</v>
      </c>
    </row>
    <row r="1258" spans="1:17" x14ac:dyDescent="0.3">
      <c r="A1258" t="s">
        <v>17</v>
      </c>
      <c r="B1258" t="str">
        <f>"603308"</f>
        <v>603308</v>
      </c>
      <c r="C1258" t="s">
        <v>2795</v>
      </c>
      <c r="D1258" t="s">
        <v>274</v>
      </c>
      <c r="P1258">
        <v>233</v>
      </c>
      <c r="Q1258" t="s">
        <v>2796</v>
      </c>
    </row>
    <row r="1259" spans="1:17" x14ac:dyDescent="0.3">
      <c r="A1259" t="s">
        <v>17</v>
      </c>
      <c r="B1259" t="str">
        <f>"603309"</f>
        <v>603309</v>
      </c>
      <c r="C1259" t="s">
        <v>2797</v>
      </c>
      <c r="D1259" t="s">
        <v>1077</v>
      </c>
      <c r="P1259">
        <v>147</v>
      </c>
      <c r="Q1259" t="s">
        <v>2798</v>
      </c>
    </row>
    <row r="1260" spans="1:17" x14ac:dyDescent="0.3">
      <c r="A1260" t="s">
        <v>17</v>
      </c>
      <c r="B1260" t="str">
        <f>"603311"</f>
        <v>603311</v>
      </c>
      <c r="C1260" t="s">
        <v>2799</v>
      </c>
      <c r="D1260" t="s">
        <v>1253</v>
      </c>
      <c r="P1260">
        <v>96</v>
      </c>
      <c r="Q1260" t="s">
        <v>2800</v>
      </c>
    </row>
    <row r="1261" spans="1:17" x14ac:dyDescent="0.3">
      <c r="A1261" t="s">
        <v>17</v>
      </c>
      <c r="B1261" t="str">
        <f>"603313"</f>
        <v>603313</v>
      </c>
      <c r="C1261" t="s">
        <v>2801</v>
      </c>
      <c r="D1261" t="s">
        <v>757</v>
      </c>
      <c r="P1261">
        <v>580</v>
      </c>
      <c r="Q1261" t="s">
        <v>2802</v>
      </c>
    </row>
    <row r="1262" spans="1:17" x14ac:dyDescent="0.3">
      <c r="A1262" t="s">
        <v>17</v>
      </c>
      <c r="B1262" t="str">
        <f>"603315"</f>
        <v>603315</v>
      </c>
      <c r="C1262" t="s">
        <v>2803</v>
      </c>
      <c r="D1262" t="s">
        <v>274</v>
      </c>
      <c r="P1262">
        <v>57</v>
      </c>
      <c r="Q1262" t="s">
        <v>2804</v>
      </c>
    </row>
    <row r="1263" spans="1:17" x14ac:dyDescent="0.3">
      <c r="A1263" t="s">
        <v>17</v>
      </c>
      <c r="B1263" t="str">
        <f>"603316"</f>
        <v>603316</v>
      </c>
      <c r="C1263" t="s">
        <v>2805</v>
      </c>
      <c r="D1263" t="s">
        <v>2410</v>
      </c>
      <c r="P1263">
        <v>59</v>
      </c>
      <c r="Q1263" t="s">
        <v>2806</v>
      </c>
    </row>
    <row r="1264" spans="1:17" x14ac:dyDescent="0.3">
      <c r="A1264" t="s">
        <v>17</v>
      </c>
      <c r="B1264" t="str">
        <f>"603317"</f>
        <v>603317</v>
      </c>
      <c r="C1264" t="s">
        <v>2807</v>
      </c>
      <c r="D1264" t="s">
        <v>433</v>
      </c>
      <c r="P1264">
        <v>1436</v>
      </c>
      <c r="Q1264" t="s">
        <v>2808</v>
      </c>
    </row>
    <row r="1265" spans="1:17" x14ac:dyDescent="0.3">
      <c r="A1265" t="s">
        <v>17</v>
      </c>
      <c r="B1265" t="str">
        <f>"603318"</f>
        <v>603318</v>
      </c>
      <c r="C1265" t="s">
        <v>2809</v>
      </c>
      <c r="D1265" t="s">
        <v>749</v>
      </c>
      <c r="P1265">
        <v>63</v>
      </c>
      <c r="Q1265" t="s">
        <v>2810</v>
      </c>
    </row>
    <row r="1266" spans="1:17" x14ac:dyDescent="0.3">
      <c r="A1266" t="s">
        <v>17</v>
      </c>
      <c r="B1266" t="str">
        <f>"603319"</f>
        <v>603319</v>
      </c>
      <c r="C1266" t="s">
        <v>2811</v>
      </c>
      <c r="D1266" t="s">
        <v>348</v>
      </c>
      <c r="P1266">
        <v>171</v>
      </c>
      <c r="Q1266" t="s">
        <v>2812</v>
      </c>
    </row>
    <row r="1267" spans="1:17" x14ac:dyDescent="0.3">
      <c r="A1267" t="s">
        <v>17</v>
      </c>
      <c r="B1267" t="str">
        <f>"603320"</f>
        <v>603320</v>
      </c>
      <c r="C1267" t="s">
        <v>2813</v>
      </c>
      <c r="D1267" t="s">
        <v>1171</v>
      </c>
      <c r="P1267">
        <v>94</v>
      </c>
      <c r="Q1267" t="s">
        <v>2814</v>
      </c>
    </row>
    <row r="1268" spans="1:17" x14ac:dyDescent="0.3">
      <c r="A1268" t="s">
        <v>17</v>
      </c>
      <c r="B1268" t="str">
        <f>"603321"</f>
        <v>603321</v>
      </c>
      <c r="C1268" t="s">
        <v>2815</v>
      </c>
      <c r="D1268" t="s">
        <v>1689</v>
      </c>
      <c r="P1268">
        <v>59</v>
      </c>
      <c r="Q1268" t="s">
        <v>2816</v>
      </c>
    </row>
    <row r="1269" spans="1:17" x14ac:dyDescent="0.3">
      <c r="A1269" t="s">
        <v>17</v>
      </c>
      <c r="B1269" t="str">
        <f>"603322"</f>
        <v>603322</v>
      </c>
      <c r="C1269" t="s">
        <v>2817</v>
      </c>
      <c r="D1269" t="s">
        <v>654</v>
      </c>
      <c r="P1269">
        <v>184</v>
      </c>
      <c r="Q1269" t="s">
        <v>2818</v>
      </c>
    </row>
    <row r="1270" spans="1:17" x14ac:dyDescent="0.3">
      <c r="A1270" t="s">
        <v>17</v>
      </c>
      <c r="B1270" t="str">
        <f>"603323"</f>
        <v>603323</v>
      </c>
      <c r="C1270" t="s">
        <v>2819</v>
      </c>
      <c r="D1270" t="s">
        <v>1827</v>
      </c>
      <c r="P1270">
        <v>498</v>
      </c>
      <c r="Q1270" t="s">
        <v>2820</v>
      </c>
    </row>
    <row r="1271" spans="1:17" x14ac:dyDescent="0.3">
      <c r="A1271" t="s">
        <v>17</v>
      </c>
      <c r="B1271" t="str">
        <f>"603324"</f>
        <v>603324</v>
      </c>
      <c r="C1271" t="s">
        <v>2821</v>
      </c>
      <c r="D1271" t="s">
        <v>1070</v>
      </c>
      <c r="P1271">
        <v>29</v>
      </c>
      <c r="Q1271" t="s">
        <v>2822</v>
      </c>
    </row>
    <row r="1272" spans="1:17" x14ac:dyDescent="0.3">
      <c r="A1272" t="s">
        <v>17</v>
      </c>
      <c r="B1272" t="str">
        <f>"603326"</f>
        <v>603326</v>
      </c>
      <c r="C1272" t="s">
        <v>2823</v>
      </c>
      <c r="D1272" t="s">
        <v>2655</v>
      </c>
      <c r="P1272">
        <v>247</v>
      </c>
      <c r="Q1272" t="s">
        <v>2824</v>
      </c>
    </row>
    <row r="1273" spans="1:17" x14ac:dyDescent="0.3">
      <c r="A1273" t="s">
        <v>17</v>
      </c>
      <c r="B1273" t="str">
        <f>"603327"</f>
        <v>603327</v>
      </c>
      <c r="C1273" t="s">
        <v>2825</v>
      </c>
      <c r="D1273" t="s">
        <v>313</v>
      </c>
      <c r="P1273">
        <v>347</v>
      </c>
      <c r="Q1273" t="s">
        <v>2826</v>
      </c>
    </row>
    <row r="1274" spans="1:17" x14ac:dyDescent="0.3">
      <c r="A1274" t="s">
        <v>17</v>
      </c>
      <c r="B1274" t="str">
        <f>"603328"</f>
        <v>603328</v>
      </c>
      <c r="C1274" t="s">
        <v>2827</v>
      </c>
      <c r="D1274" t="s">
        <v>425</v>
      </c>
      <c r="P1274">
        <v>590</v>
      </c>
      <c r="Q1274" t="s">
        <v>2828</v>
      </c>
    </row>
    <row r="1275" spans="1:17" x14ac:dyDescent="0.3">
      <c r="A1275" t="s">
        <v>17</v>
      </c>
      <c r="B1275" t="str">
        <f>"603329"</f>
        <v>603329</v>
      </c>
      <c r="C1275" t="s">
        <v>2829</v>
      </c>
      <c r="D1275" t="s">
        <v>128</v>
      </c>
      <c r="P1275">
        <v>62</v>
      </c>
      <c r="Q1275" t="s">
        <v>2830</v>
      </c>
    </row>
    <row r="1276" spans="1:17" x14ac:dyDescent="0.3">
      <c r="A1276" t="s">
        <v>17</v>
      </c>
      <c r="B1276" t="str">
        <f>"603330"</f>
        <v>603330</v>
      </c>
      <c r="C1276" t="s">
        <v>2831</v>
      </c>
      <c r="D1276" t="s">
        <v>1192</v>
      </c>
      <c r="P1276">
        <v>136</v>
      </c>
      <c r="Q1276" t="s">
        <v>2832</v>
      </c>
    </row>
    <row r="1277" spans="1:17" x14ac:dyDescent="0.3">
      <c r="A1277" t="s">
        <v>17</v>
      </c>
      <c r="B1277" t="str">
        <f>"603331"</f>
        <v>603331</v>
      </c>
      <c r="C1277" t="s">
        <v>2833</v>
      </c>
      <c r="D1277" t="s">
        <v>560</v>
      </c>
      <c r="P1277">
        <v>83</v>
      </c>
      <c r="Q1277" t="s">
        <v>2834</v>
      </c>
    </row>
    <row r="1278" spans="1:17" x14ac:dyDescent="0.3">
      <c r="A1278" t="s">
        <v>17</v>
      </c>
      <c r="B1278" t="str">
        <f>"603332"</f>
        <v>603332</v>
      </c>
      <c r="C1278" t="s">
        <v>2835</v>
      </c>
      <c r="D1278" t="s">
        <v>2720</v>
      </c>
      <c r="P1278">
        <v>59</v>
      </c>
      <c r="Q1278" t="s">
        <v>2836</v>
      </c>
    </row>
    <row r="1279" spans="1:17" x14ac:dyDescent="0.3">
      <c r="A1279" t="s">
        <v>17</v>
      </c>
      <c r="B1279" t="str">
        <f>"603333"</f>
        <v>603333</v>
      </c>
      <c r="C1279" t="s">
        <v>2837</v>
      </c>
      <c r="D1279" t="s">
        <v>1164</v>
      </c>
      <c r="P1279">
        <v>134</v>
      </c>
      <c r="Q1279" t="s">
        <v>2838</v>
      </c>
    </row>
    <row r="1280" spans="1:17" x14ac:dyDescent="0.3">
      <c r="A1280" t="s">
        <v>17</v>
      </c>
      <c r="B1280" t="str">
        <f>"603335"</f>
        <v>603335</v>
      </c>
      <c r="C1280" t="s">
        <v>2839</v>
      </c>
      <c r="D1280" t="s">
        <v>422</v>
      </c>
      <c r="P1280">
        <v>66</v>
      </c>
      <c r="Q1280" t="s">
        <v>2840</v>
      </c>
    </row>
    <row r="1281" spans="1:17" x14ac:dyDescent="0.3">
      <c r="A1281" t="s">
        <v>17</v>
      </c>
      <c r="B1281" t="str">
        <f>"603336"</f>
        <v>603336</v>
      </c>
      <c r="C1281" t="s">
        <v>2841</v>
      </c>
      <c r="D1281" t="s">
        <v>258</v>
      </c>
      <c r="P1281">
        <v>179</v>
      </c>
      <c r="Q1281" t="s">
        <v>2842</v>
      </c>
    </row>
    <row r="1282" spans="1:17" x14ac:dyDescent="0.3">
      <c r="A1282" t="s">
        <v>17</v>
      </c>
      <c r="B1282" t="str">
        <f>"603337"</f>
        <v>603337</v>
      </c>
      <c r="C1282" t="s">
        <v>2843</v>
      </c>
      <c r="D1282" t="s">
        <v>534</v>
      </c>
      <c r="P1282">
        <v>370</v>
      </c>
      <c r="Q1282" t="s">
        <v>2844</v>
      </c>
    </row>
    <row r="1283" spans="1:17" x14ac:dyDescent="0.3">
      <c r="A1283" t="s">
        <v>17</v>
      </c>
      <c r="B1283" t="str">
        <f>"603338"</f>
        <v>603338</v>
      </c>
      <c r="C1283" t="s">
        <v>2845</v>
      </c>
      <c r="D1283" t="s">
        <v>83</v>
      </c>
      <c r="P1283">
        <v>12811</v>
      </c>
      <c r="Q1283" t="s">
        <v>2846</v>
      </c>
    </row>
    <row r="1284" spans="1:17" x14ac:dyDescent="0.3">
      <c r="A1284" t="s">
        <v>17</v>
      </c>
      <c r="B1284" t="str">
        <f>"603339"</f>
        <v>603339</v>
      </c>
      <c r="C1284" t="s">
        <v>2847</v>
      </c>
      <c r="D1284" t="s">
        <v>988</v>
      </c>
      <c r="P1284">
        <v>163</v>
      </c>
      <c r="Q1284" t="s">
        <v>2848</v>
      </c>
    </row>
    <row r="1285" spans="1:17" x14ac:dyDescent="0.3">
      <c r="A1285" t="s">
        <v>17</v>
      </c>
      <c r="B1285" t="str">
        <f>"603345"</f>
        <v>603345</v>
      </c>
      <c r="C1285" t="s">
        <v>2849</v>
      </c>
      <c r="D1285" t="s">
        <v>2850</v>
      </c>
      <c r="P1285">
        <v>1174</v>
      </c>
      <c r="Q1285" t="s">
        <v>2851</v>
      </c>
    </row>
    <row r="1286" spans="1:17" x14ac:dyDescent="0.3">
      <c r="A1286" t="s">
        <v>17</v>
      </c>
      <c r="B1286" t="str">
        <f>"603348"</f>
        <v>603348</v>
      </c>
      <c r="C1286" t="s">
        <v>2852</v>
      </c>
      <c r="D1286" t="s">
        <v>985</v>
      </c>
      <c r="P1286">
        <v>193</v>
      </c>
      <c r="Q1286" t="s">
        <v>2853</v>
      </c>
    </row>
    <row r="1287" spans="1:17" x14ac:dyDescent="0.3">
      <c r="A1287" t="s">
        <v>17</v>
      </c>
      <c r="B1287" t="str">
        <f>"603351"</f>
        <v>603351</v>
      </c>
      <c r="C1287" t="s">
        <v>2854</v>
      </c>
      <c r="D1287" t="s">
        <v>496</v>
      </c>
      <c r="P1287">
        <v>87</v>
      </c>
      <c r="Q1287" t="s">
        <v>2855</v>
      </c>
    </row>
    <row r="1288" spans="1:17" x14ac:dyDescent="0.3">
      <c r="A1288" t="s">
        <v>17</v>
      </c>
      <c r="B1288" t="str">
        <f>"603353"</f>
        <v>603353</v>
      </c>
      <c r="C1288" t="s">
        <v>2856</v>
      </c>
      <c r="D1288" t="s">
        <v>584</v>
      </c>
      <c r="P1288">
        <v>103</v>
      </c>
      <c r="Q1288" t="s">
        <v>2857</v>
      </c>
    </row>
    <row r="1289" spans="1:17" x14ac:dyDescent="0.3">
      <c r="A1289" t="s">
        <v>17</v>
      </c>
      <c r="B1289" t="str">
        <f>"603355"</f>
        <v>603355</v>
      </c>
      <c r="C1289" t="s">
        <v>2858</v>
      </c>
      <c r="D1289" t="s">
        <v>2709</v>
      </c>
      <c r="P1289">
        <v>557</v>
      </c>
      <c r="Q1289" t="s">
        <v>2859</v>
      </c>
    </row>
    <row r="1290" spans="1:17" x14ac:dyDescent="0.3">
      <c r="A1290" t="s">
        <v>17</v>
      </c>
      <c r="B1290" t="str">
        <f>"603356"</f>
        <v>603356</v>
      </c>
      <c r="C1290" t="s">
        <v>2860</v>
      </c>
      <c r="D1290" t="s">
        <v>1689</v>
      </c>
      <c r="P1290">
        <v>65</v>
      </c>
      <c r="Q1290" t="s">
        <v>2861</v>
      </c>
    </row>
    <row r="1291" spans="1:17" x14ac:dyDescent="0.3">
      <c r="A1291" t="s">
        <v>17</v>
      </c>
      <c r="B1291" t="str">
        <f>"603357"</f>
        <v>603357</v>
      </c>
      <c r="C1291" t="s">
        <v>2862</v>
      </c>
      <c r="D1291" t="s">
        <v>1272</v>
      </c>
      <c r="P1291">
        <v>361</v>
      </c>
      <c r="Q1291" t="s">
        <v>2863</v>
      </c>
    </row>
    <row r="1292" spans="1:17" x14ac:dyDescent="0.3">
      <c r="A1292" t="s">
        <v>17</v>
      </c>
      <c r="B1292" t="str">
        <f>"603358"</f>
        <v>603358</v>
      </c>
      <c r="C1292" t="s">
        <v>2864</v>
      </c>
      <c r="D1292" t="s">
        <v>985</v>
      </c>
      <c r="P1292">
        <v>131</v>
      </c>
      <c r="Q1292" t="s">
        <v>2865</v>
      </c>
    </row>
    <row r="1293" spans="1:17" x14ac:dyDescent="0.3">
      <c r="A1293" t="s">
        <v>17</v>
      </c>
      <c r="B1293" t="str">
        <f>"603359"</f>
        <v>603359</v>
      </c>
      <c r="C1293" t="s">
        <v>2866</v>
      </c>
      <c r="D1293" t="s">
        <v>2410</v>
      </c>
      <c r="P1293">
        <v>187</v>
      </c>
      <c r="Q1293" t="s">
        <v>2867</v>
      </c>
    </row>
    <row r="1294" spans="1:17" x14ac:dyDescent="0.3">
      <c r="A1294" t="s">
        <v>17</v>
      </c>
      <c r="B1294" t="str">
        <f>"603360"</f>
        <v>603360</v>
      </c>
      <c r="C1294" t="s">
        <v>2868</v>
      </c>
      <c r="D1294" t="s">
        <v>853</v>
      </c>
      <c r="P1294">
        <v>402</v>
      </c>
      <c r="Q1294" t="s">
        <v>2869</v>
      </c>
    </row>
    <row r="1295" spans="1:17" x14ac:dyDescent="0.3">
      <c r="A1295" t="s">
        <v>17</v>
      </c>
      <c r="B1295" t="str">
        <f>"603363"</f>
        <v>603363</v>
      </c>
      <c r="C1295" t="s">
        <v>2870</v>
      </c>
      <c r="D1295" t="s">
        <v>2871</v>
      </c>
      <c r="P1295">
        <v>310</v>
      </c>
      <c r="Q1295" t="s">
        <v>2872</v>
      </c>
    </row>
    <row r="1296" spans="1:17" x14ac:dyDescent="0.3">
      <c r="A1296" t="s">
        <v>17</v>
      </c>
      <c r="B1296" t="str">
        <f>"603365"</f>
        <v>603365</v>
      </c>
      <c r="C1296" t="s">
        <v>2873</v>
      </c>
      <c r="D1296" t="s">
        <v>2874</v>
      </c>
      <c r="P1296">
        <v>243</v>
      </c>
      <c r="Q1296" t="s">
        <v>2875</v>
      </c>
    </row>
    <row r="1297" spans="1:17" x14ac:dyDescent="0.3">
      <c r="A1297" t="s">
        <v>17</v>
      </c>
      <c r="B1297" t="str">
        <f>"603366"</f>
        <v>603366</v>
      </c>
      <c r="C1297" t="s">
        <v>2876</v>
      </c>
      <c r="D1297" t="s">
        <v>2877</v>
      </c>
      <c r="P1297">
        <v>121</v>
      </c>
      <c r="Q1297" t="s">
        <v>2878</v>
      </c>
    </row>
    <row r="1298" spans="1:17" x14ac:dyDescent="0.3">
      <c r="A1298" t="s">
        <v>17</v>
      </c>
      <c r="B1298" t="str">
        <f>"603367"</f>
        <v>603367</v>
      </c>
      <c r="C1298" t="s">
        <v>2879</v>
      </c>
      <c r="D1298" t="s">
        <v>143</v>
      </c>
      <c r="P1298">
        <v>245</v>
      </c>
      <c r="Q1298" t="s">
        <v>2880</v>
      </c>
    </row>
    <row r="1299" spans="1:17" x14ac:dyDescent="0.3">
      <c r="A1299" t="s">
        <v>17</v>
      </c>
      <c r="B1299" t="str">
        <f>"603368"</f>
        <v>603368</v>
      </c>
      <c r="C1299" t="s">
        <v>2881</v>
      </c>
      <c r="D1299" t="s">
        <v>125</v>
      </c>
      <c r="P1299">
        <v>532</v>
      </c>
      <c r="Q1299" t="s">
        <v>2882</v>
      </c>
    </row>
    <row r="1300" spans="1:17" x14ac:dyDescent="0.3">
      <c r="A1300" t="s">
        <v>17</v>
      </c>
      <c r="B1300" t="str">
        <f>"603369"</f>
        <v>603369</v>
      </c>
      <c r="C1300" t="s">
        <v>2883</v>
      </c>
      <c r="D1300" t="s">
        <v>458</v>
      </c>
      <c r="P1300">
        <v>35436</v>
      </c>
      <c r="Q1300" t="s">
        <v>2884</v>
      </c>
    </row>
    <row r="1301" spans="1:17" x14ac:dyDescent="0.3">
      <c r="A1301" t="s">
        <v>17</v>
      </c>
      <c r="B1301" t="str">
        <f>"603377"</f>
        <v>603377</v>
      </c>
      <c r="C1301" t="s">
        <v>2885</v>
      </c>
      <c r="D1301" t="s">
        <v>1336</v>
      </c>
      <c r="P1301">
        <v>171</v>
      </c>
      <c r="Q1301" t="s">
        <v>2886</v>
      </c>
    </row>
    <row r="1302" spans="1:17" x14ac:dyDescent="0.3">
      <c r="A1302" t="s">
        <v>17</v>
      </c>
      <c r="B1302" t="str">
        <f>"603378"</f>
        <v>603378</v>
      </c>
      <c r="C1302" t="s">
        <v>2887</v>
      </c>
      <c r="D1302" t="s">
        <v>2888</v>
      </c>
      <c r="P1302">
        <v>203</v>
      </c>
      <c r="Q1302" t="s">
        <v>2889</v>
      </c>
    </row>
    <row r="1303" spans="1:17" x14ac:dyDescent="0.3">
      <c r="A1303" t="s">
        <v>17</v>
      </c>
      <c r="B1303" t="str">
        <f>"603379"</f>
        <v>603379</v>
      </c>
      <c r="C1303" t="s">
        <v>2890</v>
      </c>
      <c r="D1303" t="s">
        <v>375</v>
      </c>
      <c r="P1303">
        <v>140</v>
      </c>
      <c r="Q1303" t="s">
        <v>2891</v>
      </c>
    </row>
    <row r="1304" spans="1:17" x14ac:dyDescent="0.3">
      <c r="A1304" t="s">
        <v>17</v>
      </c>
      <c r="B1304" t="str">
        <f>"603380"</f>
        <v>603380</v>
      </c>
      <c r="C1304" t="s">
        <v>2892</v>
      </c>
      <c r="D1304" t="s">
        <v>313</v>
      </c>
      <c r="P1304">
        <v>209</v>
      </c>
      <c r="Q1304" t="s">
        <v>2893</v>
      </c>
    </row>
    <row r="1305" spans="1:17" x14ac:dyDescent="0.3">
      <c r="A1305" t="s">
        <v>17</v>
      </c>
      <c r="B1305" t="str">
        <f>"603383"</f>
        <v>603383</v>
      </c>
      <c r="C1305" t="s">
        <v>2894</v>
      </c>
      <c r="D1305" t="s">
        <v>945</v>
      </c>
      <c r="P1305">
        <v>190</v>
      </c>
      <c r="Q1305" t="s">
        <v>2895</v>
      </c>
    </row>
    <row r="1306" spans="1:17" x14ac:dyDescent="0.3">
      <c r="A1306" t="s">
        <v>17</v>
      </c>
      <c r="B1306" t="str">
        <f>"603385"</f>
        <v>603385</v>
      </c>
      <c r="C1306" t="s">
        <v>2896</v>
      </c>
      <c r="D1306" t="s">
        <v>2897</v>
      </c>
      <c r="P1306">
        <v>192</v>
      </c>
      <c r="Q1306" t="s">
        <v>2898</v>
      </c>
    </row>
    <row r="1307" spans="1:17" x14ac:dyDescent="0.3">
      <c r="A1307" t="s">
        <v>17</v>
      </c>
      <c r="B1307" t="str">
        <f>"603386"</f>
        <v>603386</v>
      </c>
      <c r="C1307" t="s">
        <v>2899</v>
      </c>
      <c r="D1307" t="s">
        <v>425</v>
      </c>
      <c r="P1307">
        <v>180</v>
      </c>
      <c r="Q1307" t="s">
        <v>2900</v>
      </c>
    </row>
    <row r="1308" spans="1:17" x14ac:dyDescent="0.3">
      <c r="A1308" t="s">
        <v>17</v>
      </c>
      <c r="B1308" t="str">
        <f>"603387"</f>
        <v>603387</v>
      </c>
      <c r="C1308" t="s">
        <v>2901</v>
      </c>
      <c r="D1308" t="s">
        <v>1305</v>
      </c>
      <c r="P1308">
        <v>1500</v>
      </c>
      <c r="Q1308" t="s">
        <v>2902</v>
      </c>
    </row>
    <row r="1309" spans="1:17" x14ac:dyDescent="0.3">
      <c r="A1309" t="s">
        <v>17</v>
      </c>
      <c r="B1309" t="str">
        <f>"603388"</f>
        <v>603388</v>
      </c>
      <c r="C1309" t="s">
        <v>2903</v>
      </c>
      <c r="D1309" t="s">
        <v>2410</v>
      </c>
      <c r="P1309">
        <v>63</v>
      </c>
      <c r="Q1309" t="s">
        <v>2904</v>
      </c>
    </row>
    <row r="1310" spans="1:17" x14ac:dyDescent="0.3">
      <c r="A1310" t="s">
        <v>17</v>
      </c>
      <c r="B1310" t="str">
        <f>"603389"</f>
        <v>603389</v>
      </c>
      <c r="C1310" t="s">
        <v>2905</v>
      </c>
      <c r="D1310" t="s">
        <v>757</v>
      </c>
      <c r="P1310">
        <v>80</v>
      </c>
      <c r="Q1310" t="s">
        <v>2906</v>
      </c>
    </row>
    <row r="1311" spans="1:17" x14ac:dyDescent="0.3">
      <c r="A1311" t="s">
        <v>17</v>
      </c>
      <c r="B1311" t="str">
        <f>"603390"</f>
        <v>603390</v>
      </c>
      <c r="C1311" t="s">
        <v>2907</v>
      </c>
      <c r="D1311" t="s">
        <v>1415</v>
      </c>
      <c r="P1311">
        <v>89</v>
      </c>
      <c r="Q1311" t="s">
        <v>2908</v>
      </c>
    </row>
    <row r="1312" spans="1:17" x14ac:dyDescent="0.3">
      <c r="A1312" t="s">
        <v>17</v>
      </c>
      <c r="B1312" t="str">
        <f>"603392"</f>
        <v>603392</v>
      </c>
      <c r="C1312" t="s">
        <v>2909</v>
      </c>
      <c r="D1312" t="s">
        <v>1305</v>
      </c>
      <c r="P1312">
        <v>552</v>
      </c>
      <c r="Q1312" t="s">
        <v>2910</v>
      </c>
    </row>
    <row r="1313" spans="1:17" x14ac:dyDescent="0.3">
      <c r="A1313" t="s">
        <v>17</v>
      </c>
      <c r="B1313" t="str">
        <f>"603393"</f>
        <v>603393</v>
      </c>
      <c r="C1313" t="s">
        <v>2911</v>
      </c>
      <c r="D1313" t="s">
        <v>749</v>
      </c>
      <c r="P1313">
        <v>498</v>
      </c>
      <c r="Q1313" t="s">
        <v>2912</v>
      </c>
    </row>
    <row r="1314" spans="1:17" x14ac:dyDescent="0.3">
      <c r="A1314" t="s">
        <v>17</v>
      </c>
      <c r="B1314" t="str">
        <f>"603396"</f>
        <v>603396</v>
      </c>
      <c r="C1314" t="s">
        <v>2913</v>
      </c>
      <c r="D1314" t="s">
        <v>2662</v>
      </c>
      <c r="P1314">
        <v>217</v>
      </c>
      <c r="Q1314" t="s">
        <v>2914</v>
      </c>
    </row>
    <row r="1315" spans="1:17" x14ac:dyDescent="0.3">
      <c r="A1315" t="s">
        <v>17</v>
      </c>
      <c r="B1315" t="str">
        <f>"603398"</f>
        <v>603398</v>
      </c>
      <c r="C1315" t="s">
        <v>2915</v>
      </c>
      <c r="D1315" t="s">
        <v>2916</v>
      </c>
      <c r="P1315">
        <v>89</v>
      </c>
      <c r="Q1315" t="s">
        <v>2917</v>
      </c>
    </row>
    <row r="1316" spans="1:17" x14ac:dyDescent="0.3">
      <c r="A1316" t="s">
        <v>17</v>
      </c>
      <c r="B1316" t="str">
        <f>"603399"</f>
        <v>603399</v>
      </c>
      <c r="C1316" t="s">
        <v>2918</v>
      </c>
      <c r="D1316" t="s">
        <v>2356</v>
      </c>
      <c r="P1316">
        <v>72</v>
      </c>
      <c r="Q1316" t="s">
        <v>2919</v>
      </c>
    </row>
    <row r="1317" spans="1:17" x14ac:dyDescent="0.3">
      <c r="A1317" t="s">
        <v>17</v>
      </c>
      <c r="B1317" t="str">
        <f>"603408"</f>
        <v>603408</v>
      </c>
      <c r="C1317" t="s">
        <v>2920</v>
      </c>
      <c r="D1317" t="s">
        <v>2897</v>
      </c>
      <c r="P1317">
        <v>98</v>
      </c>
      <c r="Q1317" t="s">
        <v>2921</v>
      </c>
    </row>
    <row r="1318" spans="1:17" x14ac:dyDescent="0.3">
      <c r="A1318" t="s">
        <v>17</v>
      </c>
      <c r="B1318" t="str">
        <f>"603416"</f>
        <v>603416</v>
      </c>
      <c r="C1318" t="s">
        <v>2922</v>
      </c>
      <c r="D1318" t="s">
        <v>2923</v>
      </c>
      <c r="P1318">
        <v>325</v>
      </c>
      <c r="Q1318" t="s">
        <v>2924</v>
      </c>
    </row>
    <row r="1319" spans="1:17" x14ac:dyDescent="0.3">
      <c r="A1319" t="s">
        <v>17</v>
      </c>
      <c r="B1319" t="str">
        <f>"603421"</f>
        <v>603421</v>
      </c>
      <c r="C1319" t="s">
        <v>2925</v>
      </c>
      <c r="D1319" t="s">
        <v>1019</v>
      </c>
      <c r="P1319">
        <v>138</v>
      </c>
      <c r="Q1319" t="s">
        <v>2926</v>
      </c>
    </row>
    <row r="1320" spans="1:17" x14ac:dyDescent="0.3">
      <c r="A1320" t="s">
        <v>17</v>
      </c>
      <c r="B1320" t="str">
        <f>"603429"</f>
        <v>603429</v>
      </c>
      <c r="C1320" t="s">
        <v>2927</v>
      </c>
      <c r="D1320" t="s">
        <v>2158</v>
      </c>
      <c r="P1320">
        <v>368</v>
      </c>
      <c r="Q1320" t="s">
        <v>2928</v>
      </c>
    </row>
    <row r="1321" spans="1:17" x14ac:dyDescent="0.3">
      <c r="A1321" t="s">
        <v>17</v>
      </c>
      <c r="B1321" t="str">
        <f>"603439"</f>
        <v>603439</v>
      </c>
      <c r="C1321" t="s">
        <v>2929</v>
      </c>
      <c r="D1321" t="s">
        <v>188</v>
      </c>
      <c r="P1321">
        <v>293</v>
      </c>
      <c r="Q1321" t="s">
        <v>2930</v>
      </c>
    </row>
    <row r="1322" spans="1:17" x14ac:dyDescent="0.3">
      <c r="A1322" t="s">
        <v>17</v>
      </c>
      <c r="B1322" t="str">
        <f>"603444"</f>
        <v>603444</v>
      </c>
      <c r="C1322" t="s">
        <v>2931</v>
      </c>
      <c r="D1322" t="s">
        <v>517</v>
      </c>
      <c r="P1322">
        <v>4237</v>
      </c>
      <c r="Q1322" t="s">
        <v>2932</v>
      </c>
    </row>
    <row r="1323" spans="1:17" x14ac:dyDescent="0.3">
      <c r="A1323" t="s">
        <v>17</v>
      </c>
      <c r="B1323" t="str">
        <f>"603456"</f>
        <v>603456</v>
      </c>
      <c r="C1323" t="s">
        <v>2933</v>
      </c>
      <c r="D1323" t="s">
        <v>1461</v>
      </c>
      <c r="P1323">
        <v>453</v>
      </c>
      <c r="Q1323" t="s">
        <v>2934</v>
      </c>
    </row>
    <row r="1324" spans="1:17" x14ac:dyDescent="0.3">
      <c r="A1324" t="s">
        <v>17</v>
      </c>
      <c r="B1324" t="str">
        <f>"603458"</f>
        <v>603458</v>
      </c>
      <c r="C1324" t="s">
        <v>2935</v>
      </c>
      <c r="D1324" t="s">
        <v>1272</v>
      </c>
      <c r="P1324">
        <v>474</v>
      </c>
      <c r="Q1324" t="s">
        <v>2936</v>
      </c>
    </row>
    <row r="1325" spans="1:17" x14ac:dyDescent="0.3">
      <c r="A1325" t="s">
        <v>17</v>
      </c>
      <c r="B1325" t="str">
        <f>"603466"</f>
        <v>603466</v>
      </c>
      <c r="C1325" t="s">
        <v>2937</v>
      </c>
      <c r="D1325" t="s">
        <v>2938</v>
      </c>
      <c r="P1325">
        <v>406</v>
      </c>
      <c r="Q1325" t="s">
        <v>2939</v>
      </c>
    </row>
    <row r="1326" spans="1:17" x14ac:dyDescent="0.3">
      <c r="A1326" t="s">
        <v>17</v>
      </c>
      <c r="B1326" t="str">
        <f>"603477"</f>
        <v>603477</v>
      </c>
      <c r="C1326" t="s">
        <v>2940</v>
      </c>
      <c r="D1326" t="s">
        <v>2941</v>
      </c>
      <c r="P1326">
        <v>134</v>
      </c>
      <c r="Q1326" t="s">
        <v>2942</v>
      </c>
    </row>
    <row r="1327" spans="1:17" x14ac:dyDescent="0.3">
      <c r="A1327" t="s">
        <v>17</v>
      </c>
      <c r="B1327" t="str">
        <f>"603486"</f>
        <v>603486</v>
      </c>
      <c r="C1327" t="s">
        <v>2943</v>
      </c>
      <c r="D1327" t="s">
        <v>2709</v>
      </c>
      <c r="P1327">
        <v>833</v>
      </c>
      <c r="Q1327" t="s">
        <v>2944</v>
      </c>
    </row>
    <row r="1328" spans="1:17" x14ac:dyDescent="0.3">
      <c r="A1328" t="s">
        <v>17</v>
      </c>
      <c r="B1328" t="str">
        <f>"603488"</f>
        <v>603488</v>
      </c>
      <c r="C1328" t="s">
        <v>2945</v>
      </c>
      <c r="D1328" t="s">
        <v>1689</v>
      </c>
      <c r="P1328">
        <v>64</v>
      </c>
      <c r="Q1328" t="s">
        <v>2946</v>
      </c>
    </row>
    <row r="1329" spans="1:17" x14ac:dyDescent="0.3">
      <c r="A1329" t="s">
        <v>17</v>
      </c>
      <c r="B1329" t="str">
        <f>"603489"</f>
        <v>603489</v>
      </c>
      <c r="C1329" t="s">
        <v>2947</v>
      </c>
      <c r="D1329" t="s">
        <v>1171</v>
      </c>
      <c r="P1329">
        <v>490</v>
      </c>
      <c r="Q1329" t="s">
        <v>2948</v>
      </c>
    </row>
    <row r="1330" spans="1:17" x14ac:dyDescent="0.3">
      <c r="A1330" t="s">
        <v>17</v>
      </c>
      <c r="B1330" t="str">
        <f>"603496"</f>
        <v>603496</v>
      </c>
      <c r="C1330" t="s">
        <v>2949</v>
      </c>
      <c r="D1330" t="s">
        <v>236</v>
      </c>
      <c r="P1330">
        <v>194</v>
      </c>
      <c r="Q1330" t="s">
        <v>2950</v>
      </c>
    </row>
    <row r="1331" spans="1:17" x14ac:dyDescent="0.3">
      <c r="A1331" t="s">
        <v>17</v>
      </c>
      <c r="B1331" t="str">
        <f>"603499"</f>
        <v>603499</v>
      </c>
      <c r="C1331" t="s">
        <v>2951</v>
      </c>
      <c r="D1331" t="s">
        <v>2158</v>
      </c>
      <c r="P1331">
        <v>83</v>
      </c>
      <c r="Q1331" t="s">
        <v>2952</v>
      </c>
    </row>
    <row r="1332" spans="1:17" x14ac:dyDescent="0.3">
      <c r="A1332" t="s">
        <v>17</v>
      </c>
      <c r="B1332" t="str">
        <f>"603500"</f>
        <v>603500</v>
      </c>
      <c r="C1332" t="s">
        <v>2953</v>
      </c>
      <c r="D1332" t="s">
        <v>1012</v>
      </c>
      <c r="P1332">
        <v>91</v>
      </c>
      <c r="Q1332" t="s">
        <v>2954</v>
      </c>
    </row>
    <row r="1333" spans="1:17" x14ac:dyDescent="0.3">
      <c r="A1333" t="s">
        <v>17</v>
      </c>
      <c r="B1333" t="str">
        <f>"603501"</f>
        <v>603501</v>
      </c>
      <c r="C1333" t="s">
        <v>2955</v>
      </c>
      <c r="D1333" t="s">
        <v>461</v>
      </c>
      <c r="P1333">
        <v>2200</v>
      </c>
      <c r="Q1333" t="s">
        <v>2956</v>
      </c>
    </row>
    <row r="1334" spans="1:17" x14ac:dyDescent="0.3">
      <c r="A1334" t="s">
        <v>17</v>
      </c>
      <c r="B1334" t="str">
        <f>"603505"</f>
        <v>603505</v>
      </c>
      <c r="C1334" t="s">
        <v>2957</v>
      </c>
      <c r="D1334" t="s">
        <v>375</v>
      </c>
      <c r="P1334">
        <v>325</v>
      </c>
      <c r="Q1334" t="s">
        <v>2958</v>
      </c>
    </row>
    <row r="1335" spans="1:17" x14ac:dyDescent="0.3">
      <c r="A1335" t="s">
        <v>17</v>
      </c>
      <c r="B1335" t="str">
        <f>"603506"</f>
        <v>603506</v>
      </c>
      <c r="C1335" t="s">
        <v>2959</v>
      </c>
      <c r="D1335" t="s">
        <v>2960</v>
      </c>
      <c r="P1335">
        <v>355</v>
      </c>
      <c r="Q1335" t="s">
        <v>2961</v>
      </c>
    </row>
    <row r="1336" spans="1:17" x14ac:dyDescent="0.3">
      <c r="A1336" t="s">
        <v>17</v>
      </c>
      <c r="B1336" t="str">
        <f>"603507"</f>
        <v>603507</v>
      </c>
      <c r="C1336" t="s">
        <v>2962</v>
      </c>
      <c r="D1336" t="s">
        <v>950</v>
      </c>
      <c r="P1336">
        <v>135</v>
      </c>
      <c r="Q1336" t="s">
        <v>2963</v>
      </c>
    </row>
    <row r="1337" spans="1:17" x14ac:dyDescent="0.3">
      <c r="A1337" t="s">
        <v>17</v>
      </c>
      <c r="B1337" t="str">
        <f>"603508"</f>
        <v>603508</v>
      </c>
      <c r="C1337" t="s">
        <v>2964</v>
      </c>
      <c r="D1337" t="s">
        <v>2965</v>
      </c>
      <c r="P1337">
        <v>219</v>
      </c>
      <c r="Q1337" t="s">
        <v>2966</v>
      </c>
    </row>
    <row r="1338" spans="1:17" x14ac:dyDescent="0.3">
      <c r="A1338" t="s">
        <v>17</v>
      </c>
      <c r="B1338" t="str">
        <f>"603511"</f>
        <v>603511</v>
      </c>
      <c r="C1338" t="s">
        <v>2967</v>
      </c>
      <c r="D1338" t="s">
        <v>330</v>
      </c>
      <c r="P1338">
        <v>47</v>
      </c>
      <c r="Q1338" t="s">
        <v>2968</v>
      </c>
    </row>
    <row r="1339" spans="1:17" x14ac:dyDescent="0.3">
      <c r="A1339" t="s">
        <v>17</v>
      </c>
      <c r="B1339" t="str">
        <f>"603515"</f>
        <v>603515</v>
      </c>
      <c r="C1339" t="s">
        <v>2969</v>
      </c>
      <c r="D1339" t="s">
        <v>598</v>
      </c>
      <c r="P1339">
        <v>2557</v>
      </c>
      <c r="Q1339" t="s">
        <v>2970</v>
      </c>
    </row>
    <row r="1340" spans="1:17" x14ac:dyDescent="0.3">
      <c r="A1340" t="s">
        <v>17</v>
      </c>
      <c r="B1340" t="str">
        <f>"603516"</f>
        <v>603516</v>
      </c>
      <c r="C1340" t="s">
        <v>2971</v>
      </c>
      <c r="D1340" t="s">
        <v>236</v>
      </c>
      <c r="P1340">
        <v>202</v>
      </c>
      <c r="Q1340" t="s">
        <v>2972</v>
      </c>
    </row>
    <row r="1341" spans="1:17" x14ac:dyDescent="0.3">
      <c r="A1341" t="s">
        <v>17</v>
      </c>
      <c r="B1341" t="str">
        <f>"603517"</f>
        <v>603517</v>
      </c>
      <c r="C1341" t="s">
        <v>2973</v>
      </c>
      <c r="D1341" t="s">
        <v>2974</v>
      </c>
      <c r="P1341">
        <v>2367</v>
      </c>
      <c r="Q1341" t="s">
        <v>2975</v>
      </c>
    </row>
    <row r="1342" spans="1:17" x14ac:dyDescent="0.3">
      <c r="A1342" t="s">
        <v>17</v>
      </c>
      <c r="B1342" t="str">
        <f>"603518"</f>
        <v>603518</v>
      </c>
      <c r="C1342" t="s">
        <v>2976</v>
      </c>
      <c r="D1342" t="s">
        <v>255</v>
      </c>
      <c r="P1342">
        <v>204</v>
      </c>
      <c r="Q1342" t="s">
        <v>2977</v>
      </c>
    </row>
    <row r="1343" spans="1:17" x14ac:dyDescent="0.3">
      <c r="A1343" t="s">
        <v>17</v>
      </c>
      <c r="B1343" t="str">
        <f>"603519"</f>
        <v>603519</v>
      </c>
      <c r="C1343" t="s">
        <v>2978</v>
      </c>
      <c r="D1343" t="s">
        <v>1253</v>
      </c>
      <c r="P1343">
        <v>148</v>
      </c>
      <c r="Q1343" t="s">
        <v>2979</v>
      </c>
    </row>
    <row r="1344" spans="1:17" x14ac:dyDescent="0.3">
      <c r="A1344" t="s">
        <v>17</v>
      </c>
      <c r="B1344" t="str">
        <f>"603520"</f>
        <v>603520</v>
      </c>
      <c r="C1344" t="s">
        <v>2980</v>
      </c>
      <c r="D1344" t="s">
        <v>496</v>
      </c>
      <c r="P1344">
        <v>382</v>
      </c>
      <c r="Q1344" t="s">
        <v>2981</v>
      </c>
    </row>
    <row r="1345" spans="1:17" x14ac:dyDescent="0.3">
      <c r="A1345" t="s">
        <v>17</v>
      </c>
      <c r="B1345" t="str">
        <f>"603527"</f>
        <v>603527</v>
      </c>
      <c r="C1345" t="s">
        <v>2982</v>
      </c>
      <c r="D1345" t="s">
        <v>263</v>
      </c>
      <c r="P1345">
        <v>53</v>
      </c>
      <c r="Q1345" t="s">
        <v>2983</v>
      </c>
    </row>
    <row r="1346" spans="1:17" x14ac:dyDescent="0.3">
      <c r="A1346" t="s">
        <v>17</v>
      </c>
      <c r="B1346" t="str">
        <f>"603528"</f>
        <v>603528</v>
      </c>
      <c r="C1346" t="s">
        <v>2984</v>
      </c>
      <c r="D1346" t="s">
        <v>945</v>
      </c>
      <c r="P1346">
        <v>195</v>
      </c>
      <c r="Q1346" t="s">
        <v>2985</v>
      </c>
    </row>
    <row r="1347" spans="1:17" x14ac:dyDescent="0.3">
      <c r="A1347" t="s">
        <v>17</v>
      </c>
      <c r="B1347" t="str">
        <f>"603529"</f>
        <v>603529</v>
      </c>
      <c r="C1347" t="s">
        <v>2986</v>
      </c>
      <c r="D1347" t="s">
        <v>233</v>
      </c>
      <c r="P1347">
        <v>73</v>
      </c>
      <c r="Q1347" t="s">
        <v>2987</v>
      </c>
    </row>
    <row r="1348" spans="1:17" x14ac:dyDescent="0.3">
      <c r="A1348" t="s">
        <v>17</v>
      </c>
      <c r="B1348" t="str">
        <f>"603530"</f>
        <v>603530</v>
      </c>
      <c r="C1348" t="s">
        <v>2988</v>
      </c>
      <c r="D1348" t="s">
        <v>1164</v>
      </c>
      <c r="P1348">
        <v>88</v>
      </c>
      <c r="Q1348" t="s">
        <v>2989</v>
      </c>
    </row>
    <row r="1349" spans="1:17" x14ac:dyDescent="0.3">
      <c r="A1349" t="s">
        <v>17</v>
      </c>
      <c r="B1349" t="str">
        <f>"603533"</f>
        <v>603533</v>
      </c>
      <c r="C1349" t="s">
        <v>2990</v>
      </c>
      <c r="D1349" t="s">
        <v>2991</v>
      </c>
      <c r="P1349">
        <v>872</v>
      </c>
      <c r="Q1349" t="s">
        <v>2992</v>
      </c>
    </row>
    <row r="1350" spans="1:17" x14ac:dyDescent="0.3">
      <c r="A1350" t="s">
        <v>17</v>
      </c>
      <c r="B1350" t="str">
        <f>"603535"</f>
        <v>603535</v>
      </c>
      <c r="C1350" t="s">
        <v>2993</v>
      </c>
      <c r="D1350" t="s">
        <v>287</v>
      </c>
      <c r="P1350">
        <v>85</v>
      </c>
      <c r="Q1350" t="s">
        <v>2994</v>
      </c>
    </row>
    <row r="1351" spans="1:17" x14ac:dyDescent="0.3">
      <c r="A1351" t="s">
        <v>17</v>
      </c>
      <c r="B1351" t="str">
        <f>"603536"</f>
        <v>603536</v>
      </c>
      <c r="C1351" t="s">
        <v>2995</v>
      </c>
      <c r="D1351" t="s">
        <v>2850</v>
      </c>
      <c r="P1351">
        <v>125</v>
      </c>
      <c r="Q1351" t="s">
        <v>2996</v>
      </c>
    </row>
    <row r="1352" spans="1:17" x14ac:dyDescent="0.3">
      <c r="A1352" t="s">
        <v>17</v>
      </c>
      <c r="B1352" t="str">
        <f>"603538"</f>
        <v>603538</v>
      </c>
      <c r="C1352" t="s">
        <v>2997</v>
      </c>
      <c r="D1352" t="s">
        <v>496</v>
      </c>
      <c r="P1352">
        <v>265</v>
      </c>
      <c r="Q1352" t="s">
        <v>2998</v>
      </c>
    </row>
    <row r="1353" spans="1:17" x14ac:dyDescent="0.3">
      <c r="A1353" t="s">
        <v>17</v>
      </c>
      <c r="B1353" t="str">
        <f>"603551"</f>
        <v>603551</v>
      </c>
      <c r="C1353" t="s">
        <v>2999</v>
      </c>
      <c r="D1353" t="s">
        <v>2877</v>
      </c>
      <c r="P1353">
        <v>116</v>
      </c>
      <c r="Q1353" t="s">
        <v>3000</v>
      </c>
    </row>
    <row r="1354" spans="1:17" x14ac:dyDescent="0.3">
      <c r="A1354" t="s">
        <v>17</v>
      </c>
      <c r="B1354" t="str">
        <f>"603555"</f>
        <v>603555</v>
      </c>
      <c r="C1354" t="s">
        <v>3001</v>
      </c>
      <c r="D1354" t="s">
        <v>3002</v>
      </c>
      <c r="P1354">
        <v>81</v>
      </c>
      <c r="Q1354" t="s">
        <v>3003</v>
      </c>
    </row>
    <row r="1355" spans="1:17" x14ac:dyDescent="0.3">
      <c r="A1355" t="s">
        <v>17</v>
      </c>
      <c r="B1355" t="str">
        <f>"603556"</f>
        <v>603556</v>
      </c>
      <c r="C1355" t="s">
        <v>3004</v>
      </c>
      <c r="D1355" t="s">
        <v>2173</v>
      </c>
      <c r="P1355">
        <v>218</v>
      </c>
      <c r="Q1355" t="s">
        <v>3005</v>
      </c>
    </row>
    <row r="1356" spans="1:17" x14ac:dyDescent="0.3">
      <c r="A1356" t="s">
        <v>17</v>
      </c>
      <c r="B1356" t="str">
        <f>"603557"</f>
        <v>603557</v>
      </c>
      <c r="C1356" t="s">
        <v>3006</v>
      </c>
      <c r="D1356" t="s">
        <v>330</v>
      </c>
      <c r="P1356">
        <v>118</v>
      </c>
      <c r="Q1356" t="s">
        <v>3007</v>
      </c>
    </row>
    <row r="1357" spans="1:17" x14ac:dyDescent="0.3">
      <c r="A1357" t="s">
        <v>17</v>
      </c>
      <c r="B1357" t="str">
        <f>"603558"</f>
        <v>603558</v>
      </c>
      <c r="C1357" t="s">
        <v>3008</v>
      </c>
      <c r="D1357" t="s">
        <v>1009</v>
      </c>
      <c r="P1357">
        <v>136</v>
      </c>
      <c r="Q1357" t="s">
        <v>3009</v>
      </c>
    </row>
    <row r="1358" spans="1:17" x14ac:dyDescent="0.3">
      <c r="A1358" t="s">
        <v>17</v>
      </c>
      <c r="B1358" t="str">
        <f>"603559"</f>
        <v>603559</v>
      </c>
      <c r="C1358" t="s">
        <v>3010</v>
      </c>
      <c r="D1358" t="s">
        <v>654</v>
      </c>
      <c r="P1358">
        <v>159</v>
      </c>
      <c r="Q1358" t="s">
        <v>3011</v>
      </c>
    </row>
    <row r="1359" spans="1:17" x14ac:dyDescent="0.3">
      <c r="A1359" t="s">
        <v>17</v>
      </c>
      <c r="B1359" t="str">
        <f>"603565"</f>
        <v>603565</v>
      </c>
      <c r="C1359" t="s">
        <v>3012</v>
      </c>
      <c r="D1359" t="s">
        <v>69</v>
      </c>
      <c r="P1359">
        <v>225</v>
      </c>
      <c r="Q1359" t="s">
        <v>3013</v>
      </c>
    </row>
    <row r="1360" spans="1:17" x14ac:dyDescent="0.3">
      <c r="A1360" t="s">
        <v>17</v>
      </c>
      <c r="B1360" t="str">
        <f>"603566"</f>
        <v>603566</v>
      </c>
      <c r="C1360" t="s">
        <v>3014</v>
      </c>
      <c r="D1360" t="s">
        <v>453</v>
      </c>
      <c r="P1360">
        <v>233</v>
      </c>
      <c r="Q1360" t="s">
        <v>3015</v>
      </c>
    </row>
    <row r="1361" spans="1:17" x14ac:dyDescent="0.3">
      <c r="A1361" t="s">
        <v>17</v>
      </c>
      <c r="B1361" t="str">
        <f>"603567"</f>
        <v>603567</v>
      </c>
      <c r="C1361" t="s">
        <v>3016</v>
      </c>
      <c r="D1361" t="s">
        <v>188</v>
      </c>
      <c r="P1361">
        <v>134</v>
      </c>
      <c r="Q1361" t="s">
        <v>3017</v>
      </c>
    </row>
    <row r="1362" spans="1:17" x14ac:dyDescent="0.3">
      <c r="A1362" t="s">
        <v>17</v>
      </c>
      <c r="B1362" t="str">
        <f>"603568"</f>
        <v>603568</v>
      </c>
      <c r="C1362" t="s">
        <v>3018</v>
      </c>
      <c r="D1362" t="s">
        <v>499</v>
      </c>
      <c r="P1362">
        <v>16270</v>
      </c>
      <c r="Q1362" t="s">
        <v>3019</v>
      </c>
    </row>
    <row r="1363" spans="1:17" x14ac:dyDescent="0.3">
      <c r="A1363" t="s">
        <v>17</v>
      </c>
      <c r="B1363" t="str">
        <f>"603569"</f>
        <v>603569</v>
      </c>
      <c r="C1363" t="s">
        <v>3020</v>
      </c>
      <c r="D1363" t="s">
        <v>2496</v>
      </c>
      <c r="P1363">
        <v>198</v>
      </c>
      <c r="Q1363" t="s">
        <v>3021</v>
      </c>
    </row>
    <row r="1364" spans="1:17" x14ac:dyDescent="0.3">
      <c r="A1364" t="s">
        <v>17</v>
      </c>
      <c r="B1364" t="str">
        <f>"603577"</f>
        <v>603577</v>
      </c>
      <c r="C1364" t="s">
        <v>3022</v>
      </c>
      <c r="D1364" t="s">
        <v>1164</v>
      </c>
      <c r="P1364">
        <v>90</v>
      </c>
      <c r="Q1364" t="s">
        <v>3023</v>
      </c>
    </row>
    <row r="1365" spans="1:17" x14ac:dyDescent="0.3">
      <c r="A1365" t="s">
        <v>17</v>
      </c>
      <c r="B1365" t="str">
        <f>"603578"</f>
        <v>603578</v>
      </c>
      <c r="C1365" t="s">
        <v>3024</v>
      </c>
      <c r="D1365" t="s">
        <v>1253</v>
      </c>
      <c r="P1365">
        <v>131</v>
      </c>
      <c r="Q1365" t="s">
        <v>3025</v>
      </c>
    </row>
    <row r="1366" spans="1:17" x14ac:dyDescent="0.3">
      <c r="A1366" t="s">
        <v>17</v>
      </c>
      <c r="B1366" t="str">
        <f>"603579"</f>
        <v>603579</v>
      </c>
      <c r="C1366" t="s">
        <v>3026</v>
      </c>
      <c r="D1366" t="s">
        <v>3027</v>
      </c>
      <c r="P1366">
        <v>597</v>
      </c>
      <c r="Q1366" t="s">
        <v>3028</v>
      </c>
    </row>
    <row r="1367" spans="1:17" x14ac:dyDescent="0.3">
      <c r="A1367" t="s">
        <v>17</v>
      </c>
      <c r="B1367" t="str">
        <f>"603580"</f>
        <v>603580</v>
      </c>
      <c r="C1367" t="s">
        <v>3029</v>
      </c>
      <c r="D1367" t="s">
        <v>1192</v>
      </c>
      <c r="P1367">
        <v>57</v>
      </c>
      <c r="Q1367" t="s">
        <v>3030</v>
      </c>
    </row>
    <row r="1368" spans="1:17" x14ac:dyDescent="0.3">
      <c r="A1368" t="s">
        <v>17</v>
      </c>
      <c r="B1368" t="str">
        <f>"603583"</f>
        <v>603583</v>
      </c>
      <c r="C1368" t="s">
        <v>3031</v>
      </c>
      <c r="D1368" t="s">
        <v>2425</v>
      </c>
      <c r="P1368">
        <v>704</v>
      </c>
      <c r="Q1368" t="s">
        <v>3032</v>
      </c>
    </row>
    <row r="1369" spans="1:17" x14ac:dyDescent="0.3">
      <c r="A1369" t="s">
        <v>17</v>
      </c>
      <c r="B1369" t="str">
        <f>"603585"</f>
        <v>603585</v>
      </c>
      <c r="C1369" t="s">
        <v>3033</v>
      </c>
      <c r="D1369" t="s">
        <v>853</v>
      </c>
      <c r="P1369">
        <v>546</v>
      </c>
      <c r="Q1369" t="s">
        <v>3034</v>
      </c>
    </row>
    <row r="1370" spans="1:17" x14ac:dyDescent="0.3">
      <c r="A1370" t="s">
        <v>17</v>
      </c>
      <c r="B1370" t="str">
        <f>"603586"</f>
        <v>603586</v>
      </c>
      <c r="C1370" t="s">
        <v>3035</v>
      </c>
      <c r="D1370" t="s">
        <v>348</v>
      </c>
      <c r="P1370">
        <v>109</v>
      </c>
      <c r="Q1370" t="s">
        <v>3036</v>
      </c>
    </row>
    <row r="1371" spans="1:17" x14ac:dyDescent="0.3">
      <c r="A1371" t="s">
        <v>17</v>
      </c>
      <c r="B1371" t="str">
        <f>"603587"</f>
        <v>603587</v>
      </c>
      <c r="C1371" t="s">
        <v>3037</v>
      </c>
      <c r="D1371" t="s">
        <v>255</v>
      </c>
      <c r="P1371">
        <v>1011</v>
      </c>
      <c r="Q1371" t="s">
        <v>3038</v>
      </c>
    </row>
    <row r="1372" spans="1:17" x14ac:dyDescent="0.3">
      <c r="A1372" t="s">
        <v>17</v>
      </c>
      <c r="B1372" t="str">
        <f>"603588"</f>
        <v>603588</v>
      </c>
      <c r="C1372" t="s">
        <v>3039</v>
      </c>
      <c r="D1372" t="s">
        <v>499</v>
      </c>
      <c r="P1372">
        <v>580</v>
      </c>
      <c r="Q1372" t="s">
        <v>3040</v>
      </c>
    </row>
    <row r="1373" spans="1:17" x14ac:dyDescent="0.3">
      <c r="A1373" t="s">
        <v>17</v>
      </c>
      <c r="B1373" t="str">
        <f>"603589"</f>
        <v>603589</v>
      </c>
      <c r="C1373" t="s">
        <v>3041</v>
      </c>
      <c r="D1373" t="s">
        <v>458</v>
      </c>
      <c r="P1373">
        <v>6961</v>
      </c>
      <c r="Q1373" t="s">
        <v>3042</v>
      </c>
    </row>
    <row r="1374" spans="1:17" x14ac:dyDescent="0.3">
      <c r="A1374" t="s">
        <v>17</v>
      </c>
      <c r="B1374" t="str">
        <f>"603590"</f>
        <v>603590</v>
      </c>
      <c r="C1374" t="s">
        <v>3043</v>
      </c>
      <c r="D1374" t="s">
        <v>1379</v>
      </c>
      <c r="P1374">
        <v>158</v>
      </c>
      <c r="Q1374" t="s">
        <v>3044</v>
      </c>
    </row>
    <row r="1375" spans="1:17" x14ac:dyDescent="0.3">
      <c r="A1375" t="s">
        <v>17</v>
      </c>
      <c r="B1375" t="str">
        <f>"603595"</f>
        <v>603595</v>
      </c>
      <c r="C1375" t="s">
        <v>3045</v>
      </c>
      <c r="D1375" t="s">
        <v>313</v>
      </c>
      <c r="P1375">
        <v>184</v>
      </c>
      <c r="Q1375" t="s">
        <v>3046</v>
      </c>
    </row>
    <row r="1376" spans="1:17" x14ac:dyDescent="0.3">
      <c r="A1376" t="s">
        <v>17</v>
      </c>
      <c r="B1376" t="str">
        <f>"603596"</f>
        <v>603596</v>
      </c>
      <c r="C1376" t="s">
        <v>3047</v>
      </c>
      <c r="D1376" t="s">
        <v>348</v>
      </c>
      <c r="P1376">
        <v>369</v>
      </c>
      <c r="Q1376" t="s">
        <v>3048</v>
      </c>
    </row>
    <row r="1377" spans="1:17" x14ac:dyDescent="0.3">
      <c r="A1377" t="s">
        <v>17</v>
      </c>
      <c r="B1377" t="str">
        <f>"603598"</f>
        <v>603598</v>
      </c>
      <c r="C1377" t="s">
        <v>3049</v>
      </c>
      <c r="D1377" t="s">
        <v>207</v>
      </c>
      <c r="P1377">
        <v>113</v>
      </c>
      <c r="Q1377" t="s">
        <v>3050</v>
      </c>
    </row>
    <row r="1378" spans="1:17" x14ac:dyDescent="0.3">
      <c r="A1378" t="s">
        <v>17</v>
      </c>
      <c r="B1378" t="str">
        <f>"603599"</f>
        <v>603599</v>
      </c>
      <c r="C1378" t="s">
        <v>3051</v>
      </c>
      <c r="D1378" t="s">
        <v>853</v>
      </c>
      <c r="P1378">
        <v>304</v>
      </c>
      <c r="Q1378" t="s">
        <v>3052</v>
      </c>
    </row>
    <row r="1379" spans="1:17" x14ac:dyDescent="0.3">
      <c r="A1379" t="s">
        <v>17</v>
      </c>
      <c r="B1379" t="str">
        <f>"603600"</f>
        <v>603600</v>
      </c>
      <c r="C1379" t="s">
        <v>3053</v>
      </c>
      <c r="D1379" t="s">
        <v>757</v>
      </c>
      <c r="P1379">
        <v>290</v>
      </c>
      <c r="Q1379" t="s">
        <v>3054</v>
      </c>
    </row>
    <row r="1380" spans="1:17" x14ac:dyDescent="0.3">
      <c r="A1380" t="s">
        <v>17</v>
      </c>
      <c r="B1380" t="str">
        <f>"603601"</f>
        <v>603601</v>
      </c>
      <c r="C1380" t="s">
        <v>3055</v>
      </c>
      <c r="D1380" t="s">
        <v>411</v>
      </c>
      <c r="P1380">
        <v>500</v>
      </c>
      <c r="Q1380" t="s">
        <v>3056</v>
      </c>
    </row>
    <row r="1381" spans="1:17" x14ac:dyDescent="0.3">
      <c r="A1381" t="s">
        <v>17</v>
      </c>
      <c r="B1381" t="str">
        <f>"603602"</f>
        <v>603602</v>
      </c>
      <c r="C1381" t="s">
        <v>3057</v>
      </c>
      <c r="D1381" t="s">
        <v>654</v>
      </c>
      <c r="P1381">
        <v>193</v>
      </c>
      <c r="Q1381" t="s">
        <v>3058</v>
      </c>
    </row>
    <row r="1382" spans="1:17" x14ac:dyDescent="0.3">
      <c r="A1382" t="s">
        <v>17</v>
      </c>
      <c r="B1382" t="str">
        <f>"603603"</f>
        <v>603603</v>
      </c>
      <c r="C1382" t="s">
        <v>3059</v>
      </c>
      <c r="D1382" t="s">
        <v>33</v>
      </c>
      <c r="P1382">
        <v>118</v>
      </c>
      <c r="Q1382" t="s">
        <v>3060</v>
      </c>
    </row>
    <row r="1383" spans="1:17" x14ac:dyDescent="0.3">
      <c r="A1383" t="s">
        <v>17</v>
      </c>
      <c r="B1383" t="str">
        <f>"603605"</f>
        <v>603605</v>
      </c>
      <c r="C1383" t="s">
        <v>3061</v>
      </c>
      <c r="D1383" t="s">
        <v>709</v>
      </c>
      <c r="P1383">
        <v>1725</v>
      </c>
      <c r="Q1383" t="s">
        <v>3062</v>
      </c>
    </row>
    <row r="1384" spans="1:17" x14ac:dyDescent="0.3">
      <c r="A1384" t="s">
        <v>17</v>
      </c>
      <c r="B1384" t="str">
        <f>"603606"</f>
        <v>603606</v>
      </c>
      <c r="C1384" t="s">
        <v>3063</v>
      </c>
      <c r="D1384" t="s">
        <v>1164</v>
      </c>
      <c r="P1384">
        <v>1568</v>
      </c>
      <c r="Q1384" t="s">
        <v>3064</v>
      </c>
    </row>
    <row r="1385" spans="1:17" x14ac:dyDescent="0.3">
      <c r="A1385" t="s">
        <v>17</v>
      </c>
      <c r="B1385" t="str">
        <f>"603607"</f>
        <v>603607</v>
      </c>
      <c r="C1385" t="s">
        <v>3065</v>
      </c>
      <c r="D1385" t="s">
        <v>2441</v>
      </c>
      <c r="P1385">
        <v>109</v>
      </c>
      <c r="Q1385" t="s">
        <v>3066</v>
      </c>
    </row>
    <row r="1386" spans="1:17" x14ac:dyDescent="0.3">
      <c r="A1386" t="s">
        <v>17</v>
      </c>
      <c r="B1386" t="str">
        <f>"603608"</f>
        <v>603608</v>
      </c>
      <c r="C1386" t="s">
        <v>3067</v>
      </c>
      <c r="D1386" t="s">
        <v>330</v>
      </c>
      <c r="P1386">
        <v>138</v>
      </c>
      <c r="Q1386" t="s">
        <v>3068</v>
      </c>
    </row>
    <row r="1387" spans="1:17" x14ac:dyDescent="0.3">
      <c r="A1387" t="s">
        <v>17</v>
      </c>
      <c r="B1387" t="str">
        <f>"603609"</f>
        <v>603609</v>
      </c>
      <c r="C1387" t="s">
        <v>3069</v>
      </c>
      <c r="D1387" t="s">
        <v>2871</v>
      </c>
      <c r="P1387">
        <v>507</v>
      </c>
      <c r="Q1387" t="s">
        <v>3070</v>
      </c>
    </row>
    <row r="1388" spans="1:17" x14ac:dyDescent="0.3">
      <c r="A1388" t="s">
        <v>17</v>
      </c>
      <c r="B1388" t="str">
        <f>"603610"</f>
        <v>603610</v>
      </c>
      <c r="C1388" t="s">
        <v>3071</v>
      </c>
      <c r="D1388" t="s">
        <v>757</v>
      </c>
      <c r="P1388">
        <v>230</v>
      </c>
      <c r="Q1388" t="s">
        <v>3072</v>
      </c>
    </row>
    <row r="1389" spans="1:17" x14ac:dyDescent="0.3">
      <c r="A1389" t="s">
        <v>17</v>
      </c>
      <c r="B1389" t="str">
        <f>"603611"</f>
        <v>603611</v>
      </c>
      <c r="C1389" t="s">
        <v>3073</v>
      </c>
      <c r="D1389" t="s">
        <v>83</v>
      </c>
      <c r="P1389">
        <v>315</v>
      </c>
      <c r="Q1389" t="s">
        <v>3074</v>
      </c>
    </row>
    <row r="1390" spans="1:17" x14ac:dyDescent="0.3">
      <c r="A1390" t="s">
        <v>17</v>
      </c>
      <c r="B1390" t="str">
        <f>"603612"</f>
        <v>603612</v>
      </c>
      <c r="C1390" t="s">
        <v>3075</v>
      </c>
      <c r="D1390" t="s">
        <v>2751</v>
      </c>
      <c r="P1390">
        <v>162</v>
      </c>
      <c r="Q1390" t="s">
        <v>3076</v>
      </c>
    </row>
    <row r="1391" spans="1:17" x14ac:dyDescent="0.3">
      <c r="A1391" t="s">
        <v>17</v>
      </c>
      <c r="B1391" t="str">
        <f>"603613"</f>
        <v>603613</v>
      </c>
      <c r="C1391" t="s">
        <v>3077</v>
      </c>
      <c r="D1391" t="s">
        <v>3078</v>
      </c>
      <c r="P1391">
        <v>827</v>
      </c>
      <c r="Q1391" t="s">
        <v>3079</v>
      </c>
    </row>
    <row r="1392" spans="1:17" x14ac:dyDescent="0.3">
      <c r="A1392" t="s">
        <v>17</v>
      </c>
      <c r="B1392" t="str">
        <f>"603615"</f>
        <v>603615</v>
      </c>
      <c r="C1392" t="s">
        <v>3080</v>
      </c>
      <c r="D1392" t="s">
        <v>2438</v>
      </c>
      <c r="P1392">
        <v>107</v>
      </c>
      <c r="Q1392" t="s">
        <v>3081</v>
      </c>
    </row>
    <row r="1393" spans="1:17" x14ac:dyDescent="0.3">
      <c r="A1393" t="s">
        <v>17</v>
      </c>
      <c r="B1393" t="str">
        <f>"603616"</f>
        <v>603616</v>
      </c>
      <c r="C1393" t="s">
        <v>3082</v>
      </c>
      <c r="D1393" t="s">
        <v>3083</v>
      </c>
      <c r="P1393">
        <v>71</v>
      </c>
      <c r="Q1393" t="s">
        <v>3084</v>
      </c>
    </row>
    <row r="1394" spans="1:17" x14ac:dyDescent="0.3">
      <c r="A1394" t="s">
        <v>17</v>
      </c>
      <c r="B1394" t="str">
        <f>"603617"</f>
        <v>603617</v>
      </c>
      <c r="C1394" t="s">
        <v>3085</v>
      </c>
      <c r="D1394" t="s">
        <v>560</v>
      </c>
      <c r="P1394">
        <v>104</v>
      </c>
      <c r="Q1394" t="s">
        <v>3086</v>
      </c>
    </row>
    <row r="1395" spans="1:17" x14ac:dyDescent="0.3">
      <c r="A1395" t="s">
        <v>17</v>
      </c>
      <c r="B1395" t="str">
        <f>"603618"</f>
        <v>603618</v>
      </c>
      <c r="C1395" t="s">
        <v>3087</v>
      </c>
      <c r="D1395" t="s">
        <v>1164</v>
      </c>
      <c r="P1395">
        <v>169</v>
      </c>
      <c r="Q1395" t="s">
        <v>3088</v>
      </c>
    </row>
    <row r="1396" spans="1:17" x14ac:dyDescent="0.3">
      <c r="A1396" t="s">
        <v>17</v>
      </c>
      <c r="B1396" t="str">
        <f>"603619"</f>
        <v>603619</v>
      </c>
      <c r="C1396" t="s">
        <v>3089</v>
      </c>
      <c r="D1396" t="s">
        <v>1758</v>
      </c>
      <c r="P1396">
        <v>74</v>
      </c>
      <c r="Q1396" t="s">
        <v>3090</v>
      </c>
    </row>
    <row r="1397" spans="1:17" x14ac:dyDescent="0.3">
      <c r="A1397" t="s">
        <v>17</v>
      </c>
      <c r="B1397" t="str">
        <f>"603626"</f>
        <v>603626</v>
      </c>
      <c r="C1397" t="s">
        <v>3091</v>
      </c>
      <c r="D1397" t="s">
        <v>313</v>
      </c>
      <c r="P1397">
        <v>173</v>
      </c>
      <c r="Q1397" t="s">
        <v>3092</v>
      </c>
    </row>
    <row r="1398" spans="1:17" x14ac:dyDescent="0.3">
      <c r="A1398" t="s">
        <v>17</v>
      </c>
      <c r="B1398" t="str">
        <f>"603628"</f>
        <v>603628</v>
      </c>
      <c r="C1398" t="s">
        <v>3093</v>
      </c>
      <c r="D1398" t="s">
        <v>478</v>
      </c>
      <c r="P1398">
        <v>80</v>
      </c>
      <c r="Q1398" t="s">
        <v>3094</v>
      </c>
    </row>
    <row r="1399" spans="1:17" x14ac:dyDescent="0.3">
      <c r="A1399" t="s">
        <v>17</v>
      </c>
      <c r="B1399" t="str">
        <f>"603629"</f>
        <v>603629</v>
      </c>
      <c r="C1399" t="s">
        <v>3095</v>
      </c>
      <c r="D1399" t="s">
        <v>313</v>
      </c>
      <c r="P1399">
        <v>51</v>
      </c>
      <c r="Q1399" t="s">
        <v>3096</v>
      </c>
    </row>
    <row r="1400" spans="1:17" x14ac:dyDescent="0.3">
      <c r="A1400" t="s">
        <v>17</v>
      </c>
      <c r="B1400" t="str">
        <f>"603630"</f>
        <v>603630</v>
      </c>
      <c r="C1400" t="s">
        <v>3097</v>
      </c>
      <c r="D1400" t="s">
        <v>709</v>
      </c>
      <c r="P1400">
        <v>148</v>
      </c>
      <c r="Q1400" t="s">
        <v>3098</v>
      </c>
    </row>
    <row r="1401" spans="1:17" x14ac:dyDescent="0.3">
      <c r="A1401" t="s">
        <v>17</v>
      </c>
      <c r="B1401" t="str">
        <f>"603633"</f>
        <v>603633</v>
      </c>
      <c r="C1401" t="s">
        <v>3099</v>
      </c>
      <c r="D1401" t="s">
        <v>313</v>
      </c>
      <c r="P1401">
        <v>90</v>
      </c>
      <c r="Q1401" t="s">
        <v>3100</v>
      </c>
    </row>
    <row r="1402" spans="1:17" x14ac:dyDescent="0.3">
      <c r="A1402" t="s">
        <v>17</v>
      </c>
      <c r="B1402" t="str">
        <f>"603636"</f>
        <v>603636</v>
      </c>
      <c r="C1402" t="s">
        <v>3101</v>
      </c>
      <c r="D1402" t="s">
        <v>316</v>
      </c>
      <c r="P1402">
        <v>202</v>
      </c>
      <c r="Q1402" t="s">
        <v>3102</v>
      </c>
    </row>
    <row r="1403" spans="1:17" x14ac:dyDescent="0.3">
      <c r="A1403" t="s">
        <v>17</v>
      </c>
      <c r="B1403" t="str">
        <f>"603637"</f>
        <v>603637</v>
      </c>
      <c r="C1403" t="s">
        <v>3103</v>
      </c>
      <c r="D1403" t="s">
        <v>2021</v>
      </c>
      <c r="P1403">
        <v>70</v>
      </c>
      <c r="Q1403" t="s">
        <v>3104</v>
      </c>
    </row>
    <row r="1404" spans="1:17" x14ac:dyDescent="0.3">
      <c r="A1404" t="s">
        <v>17</v>
      </c>
      <c r="B1404" t="str">
        <f>"603638"</f>
        <v>603638</v>
      </c>
      <c r="C1404" t="s">
        <v>3105</v>
      </c>
      <c r="D1404" t="s">
        <v>2003</v>
      </c>
      <c r="P1404">
        <v>665</v>
      </c>
      <c r="Q1404" t="s">
        <v>3106</v>
      </c>
    </row>
    <row r="1405" spans="1:17" x14ac:dyDescent="0.3">
      <c r="A1405" t="s">
        <v>17</v>
      </c>
      <c r="B1405" t="str">
        <f>"603639"</f>
        <v>603639</v>
      </c>
      <c r="C1405" t="s">
        <v>3107</v>
      </c>
      <c r="D1405" t="s">
        <v>853</v>
      </c>
      <c r="P1405">
        <v>1565</v>
      </c>
      <c r="Q1405" t="s">
        <v>3108</v>
      </c>
    </row>
    <row r="1406" spans="1:17" x14ac:dyDescent="0.3">
      <c r="A1406" t="s">
        <v>17</v>
      </c>
      <c r="B1406" t="str">
        <f>"603648"</f>
        <v>603648</v>
      </c>
      <c r="C1406" t="s">
        <v>3109</v>
      </c>
      <c r="D1406" t="s">
        <v>3110</v>
      </c>
      <c r="P1406">
        <v>72</v>
      </c>
      <c r="Q1406" t="s">
        <v>3111</v>
      </c>
    </row>
    <row r="1407" spans="1:17" x14ac:dyDescent="0.3">
      <c r="A1407" t="s">
        <v>17</v>
      </c>
      <c r="B1407" t="str">
        <f>"603650"</f>
        <v>603650</v>
      </c>
      <c r="C1407" t="s">
        <v>3112</v>
      </c>
      <c r="D1407" t="s">
        <v>3113</v>
      </c>
      <c r="P1407">
        <v>258</v>
      </c>
      <c r="Q1407" t="s">
        <v>3114</v>
      </c>
    </row>
    <row r="1408" spans="1:17" x14ac:dyDescent="0.3">
      <c r="A1408" t="s">
        <v>17</v>
      </c>
      <c r="B1408" t="str">
        <f>"603655"</f>
        <v>603655</v>
      </c>
      <c r="C1408" t="s">
        <v>3115</v>
      </c>
      <c r="D1408" t="s">
        <v>985</v>
      </c>
      <c r="P1408">
        <v>88</v>
      </c>
      <c r="Q1408" t="s">
        <v>3116</v>
      </c>
    </row>
    <row r="1409" spans="1:17" x14ac:dyDescent="0.3">
      <c r="A1409" t="s">
        <v>17</v>
      </c>
      <c r="B1409" t="str">
        <f>"603656"</f>
        <v>603656</v>
      </c>
      <c r="C1409" t="s">
        <v>3117</v>
      </c>
      <c r="D1409" t="s">
        <v>741</v>
      </c>
      <c r="P1409">
        <v>80</v>
      </c>
      <c r="Q1409" t="s">
        <v>3118</v>
      </c>
    </row>
    <row r="1410" spans="1:17" x14ac:dyDescent="0.3">
      <c r="A1410" t="s">
        <v>17</v>
      </c>
      <c r="B1410" t="str">
        <f>"603657"</f>
        <v>603657</v>
      </c>
      <c r="C1410" t="s">
        <v>3119</v>
      </c>
      <c r="D1410" t="s">
        <v>1253</v>
      </c>
      <c r="P1410">
        <v>152</v>
      </c>
      <c r="Q1410" t="s">
        <v>3120</v>
      </c>
    </row>
    <row r="1411" spans="1:17" x14ac:dyDescent="0.3">
      <c r="A1411" t="s">
        <v>17</v>
      </c>
      <c r="B1411" t="str">
        <f>"603658"</f>
        <v>603658</v>
      </c>
      <c r="C1411" t="s">
        <v>3121</v>
      </c>
      <c r="D1411" t="s">
        <v>1305</v>
      </c>
      <c r="P1411">
        <v>2606</v>
      </c>
      <c r="Q1411" t="s">
        <v>3122</v>
      </c>
    </row>
    <row r="1412" spans="1:17" x14ac:dyDescent="0.3">
      <c r="A1412" t="s">
        <v>17</v>
      </c>
      <c r="B1412" t="str">
        <f>"603659"</f>
        <v>603659</v>
      </c>
      <c r="C1412" t="s">
        <v>3123</v>
      </c>
      <c r="D1412" t="s">
        <v>1786</v>
      </c>
      <c r="P1412">
        <v>1047</v>
      </c>
      <c r="Q1412" t="s">
        <v>3124</v>
      </c>
    </row>
    <row r="1413" spans="1:17" x14ac:dyDescent="0.3">
      <c r="A1413" t="s">
        <v>17</v>
      </c>
      <c r="B1413" t="str">
        <f>"603660"</f>
        <v>603660</v>
      </c>
      <c r="C1413" t="s">
        <v>3125</v>
      </c>
      <c r="D1413" t="s">
        <v>236</v>
      </c>
      <c r="P1413">
        <v>291</v>
      </c>
      <c r="Q1413" t="s">
        <v>3126</v>
      </c>
    </row>
    <row r="1414" spans="1:17" x14ac:dyDescent="0.3">
      <c r="A1414" t="s">
        <v>17</v>
      </c>
      <c r="B1414" t="str">
        <f>"603661"</f>
        <v>603661</v>
      </c>
      <c r="C1414" t="s">
        <v>3127</v>
      </c>
      <c r="D1414" t="s">
        <v>757</v>
      </c>
      <c r="P1414">
        <v>148</v>
      </c>
      <c r="Q1414" t="s">
        <v>3128</v>
      </c>
    </row>
    <row r="1415" spans="1:17" x14ac:dyDescent="0.3">
      <c r="A1415" t="s">
        <v>17</v>
      </c>
      <c r="B1415" t="str">
        <f>"603662"</f>
        <v>603662</v>
      </c>
      <c r="C1415" t="s">
        <v>3129</v>
      </c>
      <c r="D1415" t="s">
        <v>2557</v>
      </c>
      <c r="P1415">
        <v>125</v>
      </c>
      <c r="Q1415" t="s">
        <v>3130</v>
      </c>
    </row>
    <row r="1416" spans="1:17" x14ac:dyDescent="0.3">
      <c r="A1416" t="s">
        <v>17</v>
      </c>
      <c r="B1416" t="str">
        <f>"603663"</f>
        <v>603663</v>
      </c>
      <c r="C1416" t="s">
        <v>3131</v>
      </c>
      <c r="D1416" t="s">
        <v>736</v>
      </c>
      <c r="P1416">
        <v>143</v>
      </c>
      <c r="Q1416" t="s">
        <v>3132</v>
      </c>
    </row>
    <row r="1417" spans="1:17" x14ac:dyDescent="0.3">
      <c r="A1417" t="s">
        <v>17</v>
      </c>
      <c r="B1417" t="str">
        <f>"603665"</f>
        <v>603665</v>
      </c>
      <c r="C1417" t="s">
        <v>3133</v>
      </c>
      <c r="D1417" t="s">
        <v>330</v>
      </c>
      <c r="P1417">
        <v>89</v>
      </c>
      <c r="Q1417" t="s">
        <v>3134</v>
      </c>
    </row>
    <row r="1418" spans="1:17" x14ac:dyDescent="0.3">
      <c r="A1418" t="s">
        <v>17</v>
      </c>
      <c r="B1418" t="str">
        <f>"603666"</f>
        <v>603666</v>
      </c>
      <c r="C1418" t="s">
        <v>3135</v>
      </c>
      <c r="D1418" t="s">
        <v>2923</v>
      </c>
      <c r="P1418">
        <v>449</v>
      </c>
      <c r="Q1418" t="s">
        <v>3136</v>
      </c>
    </row>
    <row r="1419" spans="1:17" x14ac:dyDescent="0.3">
      <c r="A1419" t="s">
        <v>17</v>
      </c>
      <c r="B1419" t="str">
        <f>"603667"</f>
        <v>603667</v>
      </c>
      <c r="C1419" t="s">
        <v>3137</v>
      </c>
      <c r="D1419" t="s">
        <v>274</v>
      </c>
      <c r="P1419">
        <v>115</v>
      </c>
      <c r="Q1419" t="s">
        <v>3138</v>
      </c>
    </row>
    <row r="1420" spans="1:17" x14ac:dyDescent="0.3">
      <c r="A1420" t="s">
        <v>17</v>
      </c>
      <c r="B1420" t="str">
        <f>"603668"</f>
        <v>603668</v>
      </c>
      <c r="C1420" t="s">
        <v>3139</v>
      </c>
      <c r="D1420" t="s">
        <v>3140</v>
      </c>
      <c r="P1420">
        <v>126</v>
      </c>
      <c r="Q1420" t="s">
        <v>3141</v>
      </c>
    </row>
    <row r="1421" spans="1:17" x14ac:dyDescent="0.3">
      <c r="A1421" t="s">
        <v>17</v>
      </c>
      <c r="B1421" t="str">
        <f>"603669"</f>
        <v>603669</v>
      </c>
      <c r="C1421" t="s">
        <v>3142</v>
      </c>
      <c r="D1421" t="s">
        <v>143</v>
      </c>
      <c r="P1421">
        <v>194</v>
      </c>
      <c r="Q1421" t="s">
        <v>3143</v>
      </c>
    </row>
    <row r="1422" spans="1:17" x14ac:dyDescent="0.3">
      <c r="A1422" t="s">
        <v>17</v>
      </c>
      <c r="B1422" t="str">
        <f>"603676"</f>
        <v>603676</v>
      </c>
      <c r="C1422" t="s">
        <v>3144</v>
      </c>
      <c r="D1422" t="s">
        <v>143</v>
      </c>
      <c r="P1422">
        <v>108</v>
      </c>
      <c r="Q1422" t="s">
        <v>3145</v>
      </c>
    </row>
    <row r="1423" spans="1:17" x14ac:dyDescent="0.3">
      <c r="A1423" t="s">
        <v>17</v>
      </c>
      <c r="B1423" t="str">
        <f>"603677"</f>
        <v>603677</v>
      </c>
      <c r="C1423" t="s">
        <v>3146</v>
      </c>
      <c r="D1423" t="s">
        <v>1253</v>
      </c>
      <c r="P1423">
        <v>124</v>
      </c>
      <c r="Q1423" t="s">
        <v>3147</v>
      </c>
    </row>
    <row r="1424" spans="1:17" x14ac:dyDescent="0.3">
      <c r="A1424" t="s">
        <v>17</v>
      </c>
      <c r="B1424" t="str">
        <f>"603678"</f>
        <v>603678</v>
      </c>
      <c r="C1424" t="s">
        <v>3148</v>
      </c>
      <c r="D1424" t="s">
        <v>1136</v>
      </c>
      <c r="P1424">
        <v>639</v>
      </c>
      <c r="Q1424" t="s">
        <v>3149</v>
      </c>
    </row>
    <row r="1425" spans="1:17" x14ac:dyDescent="0.3">
      <c r="A1425" t="s">
        <v>17</v>
      </c>
      <c r="B1425" t="str">
        <f>"603679"</f>
        <v>603679</v>
      </c>
      <c r="C1425" t="s">
        <v>3150</v>
      </c>
      <c r="D1425" t="s">
        <v>803</v>
      </c>
      <c r="P1425">
        <v>164</v>
      </c>
      <c r="Q1425" t="s">
        <v>3151</v>
      </c>
    </row>
    <row r="1426" spans="1:17" x14ac:dyDescent="0.3">
      <c r="A1426" t="s">
        <v>17</v>
      </c>
      <c r="B1426" t="str">
        <f>"603680"</f>
        <v>603680</v>
      </c>
      <c r="C1426" t="s">
        <v>3152</v>
      </c>
      <c r="D1426" t="s">
        <v>1012</v>
      </c>
      <c r="P1426">
        <v>81</v>
      </c>
      <c r="Q1426" t="s">
        <v>3153</v>
      </c>
    </row>
    <row r="1427" spans="1:17" x14ac:dyDescent="0.3">
      <c r="A1427" t="s">
        <v>17</v>
      </c>
      <c r="B1427" t="str">
        <f>"603681"</f>
        <v>603681</v>
      </c>
      <c r="C1427" t="s">
        <v>3154</v>
      </c>
      <c r="D1427" t="s">
        <v>3155</v>
      </c>
      <c r="P1427">
        <v>113</v>
      </c>
      <c r="Q1427" t="s">
        <v>3156</v>
      </c>
    </row>
    <row r="1428" spans="1:17" x14ac:dyDescent="0.3">
      <c r="A1428" t="s">
        <v>17</v>
      </c>
      <c r="B1428" t="str">
        <f>"603682"</f>
        <v>603682</v>
      </c>
      <c r="C1428" t="s">
        <v>3157</v>
      </c>
      <c r="D1428" t="s">
        <v>271</v>
      </c>
      <c r="P1428">
        <v>156</v>
      </c>
      <c r="Q1428" t="s">
        <v>3158</v>
      </c>
    </row>
    <row r="1429" spans="1:17" x14ac:dyDescent="0.3">
      <c r="A1429" t="s">
        <v>17</v>
      </c>
      <c r="B1429" t="str">
        <f>"603683"</f>
        <v>603683</v>
      </c>
      <c r="C1429" t="s">
        <v>3159</v>
      </c>
      <c r="D1429" t="s">
        <v>3155</v>
      </c>
      <c r="P1429">
        <v>58</v>
      </c>
      <c r="Q1429" t="s">
        <v>3160</v>
      </c>
    </row>
    <row r="1430" spans="1:17" x14ac:dyDescent="0.3">
      <c r="A1430" t="s">
        <v>17</v>
      </c>
      <c r="B1430" t="str">
        <f>"603685"</f>
        <v>603685</v>
      </c>
      <c r="C1430" t="s">
        <v>3161</v>
      </c>
      <c r="D1430" t="s">
        <v>803</v>
      </c>
      <c r="P1430">
        <v>102</v>
      </c>
      <c r="Q1430" t="s">
        <v>3162</v>
      </c>
    </row>
    <row r="1431" spans="1:17" x14ac:dyDescent="0.3">
      <c r="A1431" t="s">
        <v>17</v>
      </c>
      <c r="B1431" t="str">
        <f>"603686"</f>
        <v>603686</v>
      </c>
      <c r="C1431" t="s">
        <v>3163</v>
      </c>
      <c r="D1431" t="s">
        <v>1070</v>
      </c>
      <c r="P1431">
        <v>760</v>
      </c>
      <c r="Q1431" t="s">
        <v>3164</v>
      </c>
    </row>
    <row r="1432" spans="1:17" x14ac:dyDescent="0.3">
      <c r="A1432" t="s">
        <v>17</v>
      </c>
      <c r="B1432" t="str">
        <f>"603687"</f>
        <v>603687</v>
      </c>
      <c r="C1432" t="s">
        <v>3165</v>
      </c>
      <c r="D1432" t="s">
        <v>2158</v>
      </c>
      <c r="P1432">
        <v>92</v>
      </c>
      <c r="Q1432" t="s">
        <v>3166</v>
      </c>
    </row>
    <row r="1433" spans="1:17" x14ac:dyDescent="0.3">
      <c r="A1433" t="s">
        <v>17</v>
      </c>
      <c r="B1433" t="str">
        <f>"603688"</f>
        <v>603688</v>
      </c>
      <c r="C1433" t="s">
        <v>3167</v>
      </c>
      <c r="D1433" t="s">
        <v>2751</v>
      </c>
      <c r="P1433">
        <v>219</v>
      </c>
      <c r="Q1433" t="s">
        <v>3168</v>
      </c>
    </row>
    <row r="1434" spans="1:17" x14ac:dyDescent="0.3">
      <c r="A1434" t="s">
        <v>17</v>
      </c>
      <c r="B1434" t="str">
        <f>"603689"</f>
        <v>603689</v>
      </c>
      <c r="C1434" t="s">
        <v>3169</v>
      </c>
      <c r="D1434" t="s">
        <v>749</v>
      </c>
      <c r="P1434">
        <v>117</v>
      </c>
      <c r="Q1434" t="s">
        <v>3170</v>
      </c>
    </row>
    <row r="1435" spans="1:17" x14ac:dyDescent="0.3">
      <c r="A1435" t="s">
        <v>17</v>
      </c>
      <c r="B1435" t="str">
        <f>"603690"</f>
        <v>603690</v>
      </c>
      <c r="C1435" t="s">
        <v>3171</v>
      </c>
      <c r="D1435" t="s">
        <v>3172</v>
      </c>
      <c r="P1435">
        <v>450</v>
      </c>
      <c r="Q1435" t="s">
        <v>3173</v>
      </c>
    </row>
    <row r="1436" spans="1:17" x14ac:dyDescent="0.3">
      <c r="A1436" t="s">
        <v>17</v>
      </c>
      <c r="B1436" t="str">
        <f>"603693"</f>
        <v>603693</v>
      </c>
      <c r="C1436" t="s">
        <v>3174</v>
      </c>
      <c r="D1436" t="s">
        <v>383</v>
      </c>
      <c r="P1436">
        <v>160</v>
      </c>
      <c r="Q1436" t="s">
        <v>3175</v>
      </c>
    </row>
    <row r="1437" spans="1:17" x14ac:dyDescent="0.3">
      <c r="A1437" t="s">
        <v>17</v>
      </c>
      <c r="B1437" t="str">
        <f>"603696"</f>
        <v>603696</v>
      </c>
      <c r="C1437" t="s">
        <v>3176</v>
      </c>
      <c r="D1437" t="s">
        <v>433</v>
      </c>
      <c r="P1437">
        <v>195</v>
      </c>
      <c r="Q1437" t="s">
        <v>3177</v>
      </c>
    </row>
    <row r="1438" spans="1:17" x14ac:dyDescent="0.3">
      <c r="A1438" t="s">
        <v>17</v>
      </c>
      <c r="B1438" t="str">
        <f>"603697"</f>
        <v>603697</v>
      </c>
      <c r="C1438" t="s">
        <v>3178</v>
      </c>
      <c r="D1438" t="s">
        <v>3179</v>
      </c>
      <c r="P1438">
        <v>394</v>
      </c>
      <c r="Q1438" t="s">
        <v>3180</v>
      </c>
    </row>
    <row r="1439" spans="1:17" x14ac:dyDescent="0.3">
      <c r="A1439" t="s">
        <v>17</v>
      </c>
      <c r="B1439" t="str">
        <f>"603698"</f>
        <v>603698</v>
      </c>
      <c r="C1439" t="s">
        <v>3181</v>
      </c>
      <c r="D1439" t="s">
        <v>395</v>
      </c>
      <c r="P1439">
        <v>108</v>
      </c>
      <c r="Q1439" t="s">
        <v>3182</v>
      </c>
    </row>
    <row r="1440" spans="1:17" x14ac:dyDescent="0.3">
      <c r="A1440" t="s">
        <v>17</v>
      </c>
      <c r="B1440" t="str">
        <f>"603699"</f>
        <v>603699</v>
      </c>
      <c r="C1440" t="s">
        <v>3183</v>
      </c>
      <c r="D1440" t="s">
        <v>274</v>
      </c>
      <c r="P1440">
        <v>271</v>
      </c>
      <c r="Q1440" t="s">
        <v>3184</v>
      </c>
    </row>
    <row r="1441" spans="1:17" x14ac:dyDescent="0.3">
      <c r="A1441" t="s">
        <v>17</v>
      </c>
      <c r="B1441" t="str">
        <f>"603700"</f>
        <v>603700</v>
      </c>
      <c r="C1441" t="s">
        <v>3185</v>
      </c>
      <c r="D1441" t="s">
        <v>2557</v>
      </c>
      <c r="P1441">
        <v>395</v>
      </c>
      <c r="Q1441" t="s">
        <v>3186</v>
      </c>
    </row>
    <row r="1442" spans="1:17" x14ac:dyDescent="0.3">
      <c r="A1442" t="s">
        <v>17</v>
      </c>
      <c r="B1442" t="str">
        <f>"603701"</f>
        <v>603701</v>
      </c>
      <c r="C1442" t="s">
        <v>3187</v>
      </c>
      <c r="D1442" t="s">
        <v>348</v>
      </c>
      <c r="P1442">
        <v>93</v>
      </c>
      <c r="Q1442" t="s">
        <v>3188</v>
      </c>
    </row>
    <row r="1443" spans="1:17" x14ac:dyDescent="0.3">
      <c r="A1443" t="s">
        <v>17</v>
      </c>
      <c r="B1443" t="str">
        <f>"603703"</f>
        <v>603703</v>
      </c>
      <c r="C1443" t="s">
        <v>3189</v>
      </c>
      <c r="D1443" t="s">
        <v>803</v>
      </c>
      <c r="P1443">
        <v>78</v>
      </c>
      <c r="Q1443" t="s">
        <v>3190</v>
      </c>
    </row>
    <row r="1444" spans="1:17" x14ac:dyDescent="0.3">
      <c r="A1444" t="s">
        <v>17</v>
      </c>
      <c r="B1444" t="str">
        <f>"603706"</f>
        <v>603706</v>
      </c>
      <c r="C1444" t="s">
        <v>3191</v>
      </c>
      <c r="D1444" t="s">
        <v>749</v>
      </c>
      <c r="P1444">
        <v>91</v>
      </c>
      <c r="Q1444" t="s">
        <v>3192</v>
      </c>
    </row>
    <row r="1445" spans="1:17" x14ac:dyDescent="0.3">
      <c r="A1445" t="s">
        <v>17</v>
      </c>
      <c r="B1445" t="str">
        <f>"603707"</f>
        <v>603707</v>
      </c>
      <c r="C1445" t="s">
        <v>3193</v>
      </c>
      <c r="D1445" t="s">
        <v>143</v>
      </c>
      <c r="P1445">
        <v>771</v>
      </c>
      <c r="Q1445" t="s">
        <v>3194</v>
      </c>
    </row>
    <row r="1446" spans="1:17" x14ac:dyDescent="0.3">
      <c r="A1446" t="s">
        <v>17</v>
      </c>
      <c r="B1446" t="str">
        <f>"603708"</f>
        <v>603708</v>
      </c>
      <c r="C1446" t="s">
        <v>3195</v>
      </c>
      <c r="D1446" t="s">
        <v>798</v>
      </c>
      <c r="P1446">
        <v>702</v>
      </c>
      <c r="Q1446" t="s">
        <v>3196</v>
      </c>
    </row>
    <row r="1447" spans="1:17" x14ac:dyDescent="0.3">
      <c r="A1447" t="s">
        <v>17</v>
      </c>
      <c r="B1447" t="str">
        <f>"603709"</f>
        <v>603709</v>
      </c>
      <c r="C1447" t="s">
        <v>3197</v>
      </c>
      <c r="D1447" t="s">
        <v>757</v>
      </c>
      <c r="P1447">
        <v>99</v>
      </c>
      <c r="Q1447" t="s">
        <v>3198</v>
      </c>
    </row>
    <row r="1448" spans="1:17" x14ac:dyDescent="0.3">
      <c r="A1448" t="s">
        <v>17</v>
      </c>
      <c r="B1448" t="str">
        <f>"603711"</f>
        <v>603711</v>
      </c>
      <c r="C1448" t="s">
        <v>3199</v>
      </c>
      <c r="D1448" t="s">
        <v>440</v>
      </c>
      <c r="P1448">
        <v>392</v>
      </c>
      <c r="Q1448" t="s">
        <v>3200</v>
      </c>
    </row>
    <row r="1449" spans="1:17" x14ac:dyDescent="0.3">
      <c r="A1449" t="s">
        <v>17</v>
      </c>
      <c r="B1449" t="str">
        <f>"603712"</f>
        <v>603712</v>
      </c>
      <c r="C1449" t="s">
        <v>3201</v>
      </c>
      <c r="D1449" t="s">
        <v>1136</v>
      </c>
      <c r="P1449">
        <v>325</v>
      </c>
      <c r="Q1449" t="s">
        <v>3202</v>
      </c>
    </row>
    <row r="1450" spans="1:17" x14ac:dyDescent="0.3">
      <c r="A1450" t="s">
        <v>17</v>
      </c>
      <c r="B1450" t="str">
        <f>"603713"</f>
        <v>603713</v>
      </c>
      <c r="C1450" t="s">
        <v>3203</v>
      </c>
      <c r="D1450" t="s">
        <v>1592</v>
      </c>
      <c r="P1450">
        <v>457</v>
      </c>
      <c r="Q1450" t="s">
        <v>3204</v>
      </c>
    </row>
    <row r="1451" spans="1:17" x14ac:dyDescent="0.3">
      <c r="A1451" t="s">
        <v>17</v>
      </c>
      <c r="B1451" t="str">
        <f>"603716"</f>
        <v>603716</v>
      </c>
      <c r="C1451" t="s">
        <v>3205</v>
      </c>
      <c r="D1451" t="s">
        <v>125</v>
      </c>
      <c r="P1451">
        <v>137</v>
      </c>
      <c r="Q1451" t="s">
        <v>3206</v>
      </c>
    </row>
    <row r="1452" spans="1:17" x14ac:dyDescent="0.3">
      <c r="A1452" t="s">
        <v>17</v>
      </c>
      <c r="B1452" t="str">
        <f>"603717"</f>
        <v>603717</v>
      </c>
      <c r="C1452" t="s">
        <v>3207</v>
      </c>
      <c r="D1452" t="s">
        <v>2410</v>
      </c>
      <c r="P1452">
        <v>55</v>
      </c>
      <c r="Q1452" t="s">
        <v>3208</v>
      </c>
    </row>
    <row r="1453" spans="1:17" x14ac:dyDescent="0.3">
      <c r="A1453" t="s">
        <v>17</v>
      </c>
      <c r="B1453" t="str">
        <f>"603718"</f>
        <v>603718</v>
      </c>
      <c r="C1453" t="s">
        <v>3209</v>
      </c>
      <c r="D1453" t="s">
        <v>453</v>
      </c>
      <c r="P1453">
        <v>166</v>
      </c>
      <c r="Q1453" t="s">
        <v>3210</v>
      </c>
    </row>
    <row r="1454" spans="1:17" x14ac:dyDescent="0.3">
      <c r="A1454" t="s">
        <v>17</v>
      </c>
      <c r="B1454" t="str">
        <f>"603719"</f>
        <v>603719</v>
      </c>
      <c r="C1454" t="s">
        <v>3211</v>
      </c>
      <c r="D1454" t="s">
        <v>3179</v>
      </c>
      <c r="P1454">
        <v>715</v>
      </c>
      <c r="Q1454" t="s">
        <v>3212</v>
      </c>
    </row>
    <row r="1455" spans="1:17" x14ac:dyDescent="0.3">
      <c r="A1455" t="s">
        <v>17</v>
      </c>
      <c r="B1455" t="str">
        <f>"603721"</f>
        <v>603721</v>
      </c>
      <c r="C1455" t="s">
        <v>3213</v>
      </c>
      <c r="D1455" t="s">
        <v>113</v>
      </c>
      <c r="P1455">
        <v>89</v>
      </c>
      <c r="Q1455" t="s">
        <v>3214</v>
      </c>
    </row>
    <row r="1456" spans="1:17" x14ac:dyDescent="0.3">
      <c r="A1456" t="s">
        <v>17</v>
      </c>
      <c r="B1456" t="str">
        <f>"603722"</f>
        <v>603722</v>
      </c>
      <c r="C1456" t="s">
        <v>3215</v>
      </c>
      <c r="D1456" t="s">
        <v>1192</v>
      </c>
      <c r="P1456">
        <v>83</v>
      </c>
      <c r="Q1456" t="s">
        <v>3216</v>
      </c>
    </row>
    <row r="1457" spans="1:17" x14ac:dyDescent="0.3">
      <c r="A1457" t="s">
        <v>17</v>
      </c>
      <c r="B1457" t="str">
        <f>"603725"</f>
        <v>603725</v>
      </c>
      <c r="C1457" t="s">
        <v>3217</v>
      </c>
      <c r="D1457" t="s">
        <v>386</v>
      </c>
      <c r="P1457">
        <v>74</v>
      </c>
      <c r="Q1457" t="s">
        <v>3218</v>
      </c>
    </row>
    <row r="1458" spans="1:17" x14ac:dyDescent="0.3">
      <c r="A1458" t="s">
        <v>17</v>
      </c>
      <c r="B1458" t="str">
        <f>"603726"</f>
        <v>603726</v>
      </c>
      <c r="C1458" t="s">
        <v>3219</v>
      </c>
      <c r="D1458" t="s">
        <v>1253</v>
      </c>
      <c r="P1458">
        <v>123</v>
      </c>
      <c r="Q1458" t="s">
        <v>3220</v>
      </c>
    </row>
    <row r="1459" spans="1:17" x14ac:dyDescent="0.3">
      <c r="A1459" t="s">
        <v>17</v>
      </c>
      <c r="B1459" t="str">
        <f>"603727"</f>
        <v>603727</v>
      </c>
      <c r="C1459" t="s">
        <v>3221</v>
      </c>
      <c r="D1459" t="s">
        <v>762</v>
      </c>
      <c r="P1459">
        <v>123</v>
      </c>
      <c r="Q1459" t="s">
        <v>3222</v>
      </c>
    </row>
    <row r="1460" spans="1:17" x14ac:dyDescent="0.3">
      <c r="A1460" t="s">
        <v>17</v>
      </c>
      <c r="B1460" t="str">
        <f>"603728"</f>
        <v>603728</v>
      </c>
      <c r="C1460" t="s">
        <v>3223</v>
      </c>
      <c r="D1460" t="s">
        <v>1171</v>
      </c>
      <c r="P1460">
        <v>310</v>
      </c>
      <c r="Q1460" t="s">
        <v>3224</v>
      </c>
    </row>
    <row r="1461" spans="1:17" x14ac:dyDescent="0.3">
      <c r="A1461" t="s">
        <v>17</v>
      </c>
      <c r="B1461" t="str">
        <f>"603729"</f>
        <v>603729</v>
      </c>
      <c r="C1461" t="s">
        <v>3225</v>
      </c>
      <c r="D1461" t="s">
        <v>207</v>
      </c>
      <c r="P1461">
        <v>51</v>
      </c>
      <c r="Q1461" t="s">
        <v>3226</v>
      </c>
    </row>
    <row r="1462" spans="1:17" x14ac:dyDescent="0.3">
      <c r="A1462" t="s">
        <v>17</v>
      </c>
      <c r="B1462" t="str">
        <f>"603730"</f>
        <v>603730</v>
      </c>
      <c r="C1462" t="s">
        <v>3227</v>
      </c>
      <c r="D1462" t="s">
        <v>191</v>
      </c>
      <c r="P1462">
        <v>522</v>
      </c>
      <c r="Q1462" t="s">
        <v>3228</v>
      </c>
    </row>
    <row r="1463" spans="1:17" x14ac:dyDescent="0.3">
      <c r="A1463" t="s">
        <v>17</v>
      </c>
      <c r="B1463" t="str">
        <f>"603733"</f>
        <v>603733</v>
      </c>
      <c r="C1463" t="s">
        <v>3229</v>
      </c>
      <c r="D1463" t="s">
        <v>244</v>
      </c>
      <c r="P1463">
        <v>233</v>
      </c>
      <c r="Q1463" t="s">
        <v>3230</v>
      </c>
    </row>
    <row r="1464" spans="1:17" x14ac:dyDescent="0.3">
      <c r="A1464" t="s">
        <v>17</v>
      </c>
      <c r="B1464" t="str">
        <f>"603737"</f>
        <v>603737</v>
      </c>
      <c r="C1464" t="s">
        <v>3231</v>
      </c>
      <c r="D1464" t="s">
        <v>2888</v>
      </c>
      <c r="P1464">
        <v>1048</v>
      </c>
      <c r="Q1464" t="s">
        <v>3232</v>
      </c>
    </row>
    <row r="1465" spans="1:17" x14ac:dyDescent="0.3">
      <c r="A1465" t="s">
        <v>17</v>
      </c>
      <c r="B1465" t="str">
        <f>"603738"</f>
        <v>603738</v>
      </c>
      <c r="C1465" t="s">
        <v>3233</v>
      </c>
      <c r="D1465" t="s">
        <v>546</v>
      </c>
      <c r="P1465">
        <v>246</v>
      </c>
      <c r="Q1465" t="s">
        <v>3234</v>
      </c>
    </row>
    <row r="1466" spans="1:17" x14ac:dyDescent="0.3">
      <c r="A1466" t="s">
        <v>17</v>
      </c>
      <c r="B1466" t="str">
        <f>"603739"</f>
        <v>603739</v>
      </c>
      <c r="C1466" t="s">
        <v>3235</v>
      </c>
      <c r="D1466" t="s">
        <v>453</v>
      </c>
      <c r="P1466">
        <v>123</v>
      </c>
      <c r="Q1466" t="s">
        <v>3236</v>
      </c>
    </row>
    <row r="1467" spans="1:17" x14ac:dyDescent="0.3">
      <c r="A1467" t="s">
        <v>17</v>
      </c>
      <c r="B1467" t="str">
        <f>"603755"</f>
        <v>603755</v>
      </c>
      <c r="C1467" t="s">
        <v>3237</v>
      </c>
      <c r="D1467" t="s">
        <v>433</v>
      </c>
      <c r="P1467">
        <v>370</v>
      </c>
      <c r="Q1467" t="s">
        <v>3238</v>
      </c>
    </row>
    <row r="1468" spans="1:17" x14ac:dyDescent="0.3">
      <c r="A1468" t="s">
        <v>17</v>
      </c>
      <c r="B1468" t="str">
        <f>"603757"</f>
        <v>603757</v>
      </c>
      <c r="C1468" t="s">
        <v>3239</v>
      </c>
      <c r="D1468" t="s">
        <v>560</v>
      </c>
      <c r="P1468">
        <v>523</v>
      </c>
      <c r="Q1468" t="s">
        <v>3240</v>
      </c>
    </row>
    <row r="1469" spans="1:17" x14ac:dyDescent="0.3">
      <c r="A1469" t="s">
        <v>17</v>
      </c>
      <c r="B1469" t="str">
        <f>"603758"</f>
        <v>603758</v>
      </c>
      <c r="C1469" t="s">
        <v>3241</v>
      </c>
      <c r="D1469" t="s">
        <v>348</v>
      </c>
      <c r="P1469">
        <v>133</v>
      </c>
      <c r="Q1469" t="s">
        <v>3242</v>
      </c>
    </row>
    <row r="1470" spans="1:17" x14ac:dyDescent="0.3">
      <c r="A1470" t="s">
        <v>17</v>
      </c>
      <c r="B1470" t="str">
        <f>"603759"</f>
        <v>603759</v>
      </c>
      <c r="C1470" t="s">
        <v>3243</v>
      </c>
      <c r="D1470" t="s">
        <v>33</v>
      </c>
      <c r="P1470">
        <v>48</v>
      </c>
      <c r="Q1470" t="s">
        <v>3244</v>
      </c>
    </row>
    <row r="1471" spans="1:17" x14ac:dyDescent="0.3">
      <c r="A1471" t="s">
        <v>17</v>
      </c>
      <c r="B1471" t="str">
        <f>"603766"</f>
        <v>603766</v>
      </c>
      <c r="C1471" t="s">
        <v>3245</v>
      </c>
      <c r="D1471" t="s">
        <v>1654</v>
      </c>
      <c r="P1471">
        <v>460</v>
      </c>
      <c r="Q1471" t="s">
        <v>3246</v>
      </c>
    </row>
    <row r="1472" spans="1:17" x14ac:dyDescent="0.3">
      <c r="A1472" t="s">
        <v>17</v>
      </c>
      <c r="B1472" t="str">
        <f>"603767"</f>
        <v>603767</v>
      </c>
      <c r="C1472" t="s">
        <v>3247</v>
      </c>
      <c r="D1472" t="s">
        <v>348</v>
      </c>
      <c r="P1472">
        <v>80</v>
      </c>
      <c r="Q1472" t="s">
        <v>3248</v>
      </c>
    </row>
    <row r="1473" spans="1:17" x14ac:dyDescent="0.3">
      <c r="A1473" t="s">
        <v>17</v>
      </c>
      <c r="B1473" t="str">
        <f>"603768"</f>
        <v>603768</v>
      </c>
      <c r="C1473" t="s">
        <v>3249</v>
      </c>
      <c r="D1473" t="s">
        <v>985</v>
      </c>
      <c r="P1473">
        <v>58</v>
      </c>
      <c r="Q1473" t="s">
        <v>3250</v>
      </c>
    </row>
    <row r="1474" spans="1:17" x14ac:dyDescent="0.3">
      <c r="A1474" t="s">
        <v>17</v>
      </c>
      <c r="B1474" t="str">
        <f>"603773"</f>
        <v>603773</v>
      </c>
      <c r="C1474" t="s">
        <v>3251</v>
      </c>
      <c r="D1474" t="s">
        <v>1117</v>
      </c>
      <c r="P1474">
        <v>141</v>
      </c>
      <c r="Q1474" t="s">
        <v>3252</v>
      </c>
    </row>
    <row r="1475" spans="1:17" x14ac:dyDescent="0.3">
      <c r="A1475" t="s">
        <v>17</v>
      </c>
      <c r="B1475" t="str">
        <f>"603776"</f>
        <v>603776</v>
      </c>
      <c r="C1475" t="s">
        <v>3253</v>
      </c>
      <c r="D1475" t="s">
        <v>1654</v>
      </c>
      <c r="P1475">
        <v>189</v>
      </c>
      <c r="Q1475" t="s">
        <v>3254</v>
      </c>
    </row>
    <row r="1476" spans="1:17" x14ac:dyDescent="0.3">
      <c r="A1476" t="s">
        <v>17</v>
      </c>
      <c r="B1476" t="str">
        <f>"603777"</f>
        <v>603777</v>
      </c>
      <c r="C1476" t="s">
        <v>3255</v>
      </c>
      <c r="D1476" t="s">
        <v>3179</v>
      </c>
      <c r="P1476">
        <v>259</v>
      </c>
      <c r="Q1476" t="s">
        <v>3256</v>
      </c>
    </row>
    <row r="1477" spans="1:17" x14ac:dyDescent="0.3">
      <c r="A1477" t="s">
        <v>17</v>
      </c>
      <c r="B1477" t="str">
        <f>"603778"</f>
        <v>603778</v>
      </c>
      <c r="C1477" t="s">
        <v>3257</v>
      </c>
      <c r="D1477" t="s">
        <v>2410</v>
      </c>
      <c r="P1477">
        <v>72</v>
      </c>
      <c r="Q1477" t="s">
        <v>3258</v>
      </c>
    </row>
    <row r="1478" spans="1:17" x14ac:dyDescent="0.3">
      <c r="A1478" t="s">
        <v>17</v>
      </c>
      <c r="B1478" t="str">
        <f>"603779"</f>
        <v>603779</v>
      </c>
      <c r="C1478" t="s">
        <v>3259</v>
      </c>
      <c r="D1478" t="s">
        <v>134</v>
      </c>
      <c r="P1478">
        <v>101</v>
      </c>
      <c r="Q1478" t="s">
        <v>3260</v>
      </c>
    </row>
    <row r="1479" spans="1:17" x14ac:dyDescent="0.3">
      <c r="A1479" t="s">
        <v>17</v>
      </c>
      <c r="B1479" t="str">
        <f>"603786"</f>
        <v>603786</v>
      </c>
      <c r="C1479" t="s">
        <v>3261</v>
      </c>
      <c r="D1479" t="s">
        <v>1415</v>
      </c>
      <c r="P1479">
        <v>345</v>
      </c>
      <c r="Q1479" t="s">
        <v>3262</v>
      </c>
    </row>
    <row r="1480" spans="1:17" x14ac:dyDescent="0.3">
      <c r="A1480" t="s">
        <v>17</v>
      </c>
      <c r="B1480" t="str">
        <f>"603787"</f>
        <v>603787</v>
      </c>
      <c r="C1480" t="s">
        <v>3263</v>
      </c>
      <c r="D1480" t="s">
        <v>1654</v>
      </c>
      <c r="P1480">
        <v>103</v>
      </c>
      <c r="Q1480" t="s">
        <v>3264</v>
      </c>
    </row>
    <row r="1481" spans="1:17" x14ac:dyDescent="0.3">
      <c r="A1481" t="s">
        <v>17</v>
      </c>
      <c r="B1481" t="str">
        <f>"603788"</f>
        <v>603788</v>
      </c>
      <c r="C1481" t="s">
        <v>3265</v>
      </c>
      <c r="D1481" t="s">
        <v>348</v>
      </c>
      <c r="P1481">
        <v>330</v>
      </c>
      <c r="Q1481" t="s">
        <v>3266</v>
      </c>
    </row>
    <row r="1482" spans="1:17" x14ac:dyDescent="0.3">
      <c r="A1482" t="s">
        <v>17</v>
      </c>
      <c r="B1482" t="str">
        <f>"603789"</f>
        <v>603789</v>
      </c>
      <c r="C1482" t="s">
        <v>3267</v>
      </c>
      <c r="D1482" t="s">
        <v>1981</v>
      </c>
      <c r="P1482">
        <v>64</v>
      </c>
      <c r="Q1482" t="s">
        <v>3268</v>
      </c>
    </row>
    <row r="1483" spans="1:17" x14ac:dyDescent="0.3">
      <c r="A1483" t="s">
        <v>17</v>
      </c>
      <c r="B1483" t="str">
        <f>"603790"</f>
        <v>603790</v>
      </c>
      <c r="C1483" t="s">
        <v>3269</v>
      </c>
      <c r="D1483" t="s">
        <v>779</v>
      </c>
      <c r="P1483">
        <v>64</v>
      </c>
      <c r="Q1483" t="s">
        <v>3270</v>
      </c>
    </row>
    <row r="1484" spans="1:17" x14ac:dyDescent="0.3">
      <c r="A1484" t="s">
        <v>17</v>
      </c>
      <c r="B1484" t="str">
        <f>"603797"</f>
        <v>603797</v>
      </c>
      <c r="C1484" t="s">
        <v>3271</v>
      </c>
      <c r="D1484" t="s">
        <v>33</v>
      </c>
      <c r="P1484">
        <v>243</v>
      </c>
      <c r="Q1484" t="s">
        <v>3272</v>
      </c>
    </row>
    <row r="1485" spans="1:17" x14ac:dyDescent="0.3">
      <c r="A1485" t="s">
        <v>17</v>
      </c>
      <c r="B1485" t="str">
        <f>"603798"</f>
        <v>603798</v>
      </c>
      <c r="C1485" t="s">
        <v>3273</v>
      </c>
      <c r="D1485" t="s">
        <v>1615</v>
      </c>
      <c r="P1485">
        <v>141</v>
      </c>
      <c r="Q1485" t="s">
        <v>3274</v>
      </c>
    </row>
    <row r="1486" spans="1:17" x14ac:dyDescent="0.3">
      <c r="A1486" t="s">
        <v>17</v>
      </c>
      <c r="B1486" t="str">
        <f>"603799"</f>
        <v>603799</v>
      </c>
      <c r="C1486" t="s">
        <v>3275</v>
      </c>
      <c r="D1486" t="s">
        <v>1440</v>
      </c>
      <c r="P1486">
        <v>1518</v>
      </c>
      <c r="Q1486" t="s">
        <v>3276</v>
      </c>
    </row>
    <row r="1487" spans="1:17" x14ac:dyDescent="0.3">
      <c r="A1487" t="s">
        <v>17</v>
      </c>
      <c r="B1487" t="str">
        <f>"603800"</f>
        <v>603800</v>
      </c>
      <c r="C1487" t="s">
        <v>3277</v>
      </c>
      <c r="D1487" t="s">
        <v>395</v>
      </c>
      <c r="P1487">
        <v>75</v>
      </c>
      <c r="Q1487" t="s">
        <v>3278</v>
      </c>
    </row>
    <row r="1488" spans="1:17" x14ac:dyDescent="0.3">
      <c r="A1488" t="s">
        <v>17</v>
      </c>
      <c r="B1488" t="str">
        <f>"603801"</f>
        <v>603801</v>
      </c>
      <c r="C1488" t="s">
        <v>3279</v>
      </c>
      <c r="D1488" t="s">
        <v>2655</v>
      </c>
      <c r="P1488">
        <v>768</v>
      </c>
      <c r="Q1488" t="s">
        <v>3280</v>
      </c>
    </row>
    <row r="1489" spans="1:17" x14ac:dyDescent="0.3">
      <c r="A1489" t="s">
        <v>17</v>
      </c>
      <c r="B1489" t="str">
        <f>"603803"</f>
        <v>603803</v>
      </c>
      <c r="C1489" t="s">
        <v>3281</v>
      </c>
      <c r="D1489" t="s">
        <v>786</v>
      </c>
      <c r="P1489">
        <v>153</v>
      </c>
      <c r="Q1489" t="s">
        <v>3282</v>
      </c>
    </row>
    <row r="1490" spans="1:17" x14ac:dyDescent="0.3">
      <c r="A1490" t="s">
        <v>17</v>
      </c>
      <c r="B1490" t="str">
        <f>"603806"</f>
        <v>603806</v>
      </c>
      <c r="C1490" t="s">
        <v>3283</v>
      </c>
      <c r="D1490" t="s">
        <v>478</v>
      </c>
      <c r="P1490">
        <v>1029</v>
      </c>
      <c r="Q1490" t="s">
        <v>3284</v>
      </c>
    </row>
    <row r="1491" spans="1:17" x14ac:dyDescent="0.3">
      <c r="A1491" t="s">
        <v>17</v>
      </c>
      <c r="B1491" t="str">
        <f>"603808"</f>
        <v>603808</v>
      </c>
      <c r="C1491" t="s">
        <v>3285</v>
      </c>
      <c r="D1491" t="s">
        <v>255</v>
      </c>
      <c r="P1491">
        <v>479</v>
      </c>
      <c r="Q1491" t="s">
        <v>3286</v>
      </c>
    </row>
    <row r="1492" spans="1:17" x14ac:dyDescent="0.3">
      <c r="A1492" t="s">
        <v>17</v>
      </c>
      <c r="B1492" t="str">
        <f>"603809"</f>
        <v>603809</v>
      </c>
      <c r="C1492" t="s">
        <v>3287</v>
      </c>
      <c r="D1492" t="s">
        <v>348</v>
      </c>
      <c r="P1492">
        <v>137</v>
      </c>
      <c r="Q1492" t="s">
        <v>3288</v>
      </c>
    </row>
    <row r="1493" spans="1:17" x14ac:dyDescent="0.3">
      <c r="A1493" t="s">
        <v>17</v>
      </c>
      <c r="B1493" t="str">
        <f>"603810"</f>
        <v>603810</v>
      </c>
      <c r="C1493" t="s">
        <v>3289</v>
      </c>
      <c r="D1493" t="s">
        <v>853</v>
      </c>
      <c r="P1493">
        <v>79</v>
      </c>
      <c r="Q1493" t="s">
        <v>3290</v>
      </c>
    </row>
    <row r="1494" spans="1:17" x14ac:dyDescent="0.3">
      <c r="A1494" t="s">
        <v>17</v>
      </c>
      <c r="B1494" t="str">
        <f>"603811"</f>
        <v>603811</v>
      </c>
      <c r="C1494" t="s">
        <v>3291</v>
      </c>
      <c r="D1494" t="s">
        <v>143</v>
      </c>
      <c r="P1494">
        <v>327</v>
      </c>
      <c r="Q1494" t="s">
        <v>3292</v>
      </c>
    </row>
    <row r="1495" spans="1:17" x14ac:dyDescent="0.3">
      <c r="A1495" t="s">
        <v>17</v>
      </c>
      <c r="B1495" t="str">
        <f>"603813"</f>
        <v>603813</v>
      </c>
      <c r="C1495" t="s">
        <v>3293</v>
      </c>
      <c r="D1495" t="s">
        <v>2496</v>
      </c>
      <c r="P1495">
        <v>59</v>
      </c>
      <c r="Q1495" t="s">
        <v>3294</v>
      </c>
    </row>
    <row r="1496" spans="1:17" x14ac:dyDescent="0.3">
      <c r="A1496" t="s">
        <v>17</v>
      </c>
      <c r="B1496" t="str">
        <f>"603815"</f>
        <v>603815</v>
      </c>
      <c r="C1496" t="s">
        <v>3295</v>
      </c>
      <c r="D1496" t="s">
        <v>101</v>
      </c>
      <c r="P1496">
        <v>85</v>
      </c>
      <c r="Q1496" t="s">
        <v>3296</v>
      </c>
    </row>
    <row r="1497" spans="1:17" x14ac:dyDescent="0.3">
      <c r="A1497" t="s">
        <v>17</v>
      </c>
      <c r="B1497" t="str">
        <f>"603816"</f>
        <v>603816</v>
      </c>
      <c r="C1497" t="s">
        <v>3297</v>
      </c>
      <c r="D1497" t="s">
        <v>757</v>
      </c>
      <c r="P1497">
        <v>1965</v>
      </c>
      <c r="Q1497" t="s">
        <v>3298</v>
      </c>
    </row>
    <row r="1498" spans="1:17" x14ac:dyDescent="0.3">
      <c r="A1498" t="s">
        <v>17</v>
      </c>
      <c r="B1498" t="str">
        <f>"603817"</f>
        <v>603817</v>
      </c>
      <c r="C1498" t="s">
        <v>3299</v>
      </c>
      <c r="D1498" t="s">
        <v>33</v>
      </c>
      <c r="P1498">
        <v>121</v>
      </c>
      <c r="Q1498" t="s">
        <v>3300</v>
      </c>
    </row>
    <row r="1499" spans="1:17" x14ac:dyDescent="0.3">
      <c r="A1499" t="s">
        <v>17</v>
      </c>
      <c r="B1499" t="str">
        <f>"603818"</f>
        <v>603818</v>
      </c>
      <c r="C1499" t="s">
        <v>3301</v>
      </c>
      <c r="D1499" t="s">
        <v>757</v>
      </c>
      <c r="P1499">
        <v>202</v>
      </c>
      <c r="Q1499" t="s">
        <v>3302</v>
      </c>
    </row>
    <row r="1500" spans="1:17" x14ac:dyDescent="0.3">
      <c r="A1500" t="s">
        <v>17</v>
      </c>
      <c r="B1500" t="str">
        <f>"603819"</f>
        <v>603819</v>
      </c>
      <c r="C1500" t="s">
        <v>3303</v>
      </c>
      <c r="D1500" t="s">
        <v>1171</v>
      </c>
      <c r="P1500">
        <v>74</v>
      </c>
      <c r="Q1500" t="s">
        <v>3304</v>
      </c>
    </row>
    <row r="1501" spans="1:17" x14ac:dyDescent="0.3">
      <c r="A1501" t="s">
        <v>17</v>
      </c>
      <c r="B1501" t="str">
        <f>"603822"</f>
        <v>603822</v>
      </c>
      <c r="C1501" t="s">
        <v>3305</v>
      </c>
      <c r="D1501" t="s">
        <v>386</v>
      </c>
      <c r="P1501">
        <v>124</v>
      </c>
      <c r="Q1501" t="s">
        <v>3306</v>
      </c>
    </row>
    <row r="1502" spans="1:17" x14ac:dyDescent="0.3">
      <c r="A1502" t="s">
        <v>17</v>
      </c>
      <c r="B1502" t="str">
        <f>"603823"</f>
        <v>603823</v>
      </c>
      <c r="C1502" t="s">
        <v>3307</v>
      </c>
      <c r="D1502" t="s">
        <v>2576</v>
      </c>
      <c r="P1502">
        <v>142</v>
      </c>
      <c r="Q1502" t="s">
        <v>3308</v>
      </c>
    </row>
    <row r="1503" spans="1:17" x14ac:dyDescent="0.3">
      <c r="A1503" t="s">
        <v>17</v>
      </c>
      <c r="B1503" t="str">
        <f>"603825"</f>
        <v>603825</v>
      </c>
      <c r="C1503" t="s">
        <v>3309</v>
      </c>
      <c r="D1503" t="s">
        <v>207</v>
      </c>
      <c r="P1503">
        <v>158</v>
      </c>
      <c r="Q1503" t="s">
        <v>3310</v>
      </c>
    </row>
    <row r="1504" spans="1:17" x14ac:dyDescent="0.3">
      <c r="A1504" t="s">
        <v>17</v>
      </c>
      <c r="B1504" t="str">
        <f>"603826"</f>
        <v>603826</v>
      </c>
      <c r="C1504" t="s">
        <v>3311</v>
      </c>
      <c r="D1504" t="s">
        <v>2751</v>
      </c>
      <c r="P1504">
        <v>265</v>
      </c>
      <c r="Q1504" t="s">
        <v>3312</v>
      </c>
    </row>
    <row r="1505" spans="1:17" x14ac:dyDescent="0.3">
      <c r="A1505" t="s">
        <v>17</v>
      </c>
      <c r="B1505" t="str">
        <f>"603828"</f>
        <v>603828</v>
      </c>
      <c r="C1505" t="s">
        <v>3313</v>
      </c>
      <c r="D1505" t="s">
        <v>450</v>
      </c>
      <c r="P1505">
        <v>66</v>
      </c>
      <c r="Q1505" t="s">
        <v>3314</v>
      </c>
    </row>
    <row r="1506" spans="1:17" x14ac:dyDescent="0.3">
      <c r="A1506" t="s">
        <v>17</v>
      </c>
      <c r="B1506" t="str">
        <f>"603829"</f>
        <v>603829</v>
      </c>
      <c r="C1506" t="s">
        <v>3315</v>
      </c>
      <c r="D1506" t="s">
        <v>657</v>
      </c>
      <c r="P1506">
        <v>50</v>
      </c>
      <c r="Q1506" t="s">
        <v>3316</v>
      </c>
    </row>
    <row r="1507" spans="1:17" x14ac:dyDescent="0.3">
      <c r="A1507" t="s">
        <v>17</v>
      </c>
      <c r="B1507" t="str">
        <f>"603833"</f>
        <v>603833</v>
      </c>
      <c r="C1507" t="s">
        <v>3317</v>
      </c>
      <c r="D1507" t="s">
        <v>2655</v>
      </c>
      <c r="P1507">
        <v>2566</v>
      </c>
      <c r="Q1507" t="s">
        <v>3318</v>
      </c>
    </row>
    <row r="1508" spans="1:17" x14ac:dyDescent="0.3">
      <c r="A1508" t="s">
        <v>17</v>
      </c>
      <c r="B1508" t="str">
        <f>"603836"</f>
        <v>603836</v>
      </c>
      <c r="C1508" t="s">
        <v>3319</v>
      </c>
      <c r="D1508" t="s">
        <v>287</v>
      </c>
      <c r="P1508">
        <v>29</v>
      </c>
      <c r="Q1508" t="s">
        <v>3320</v>
      </c>
    </row>
    <row r="1509" spans="1:17" x14ac:dyDescent="0.3">
      <c r="A1509" t="s">
        <v>17</v>
      </c>
      <c r="B1509" t="str">
        <f>"603838"</f>
        <v>603838</v>
      </c>
      <c r="C1509" t="s">
        <v>3321</v>
      </c>
      <c r="D1509" t="s">
        <v>2438</v>
      </c>
      <c r="P1509">
        <v>49</v>
      </c>
      <c r="Q1509" t="s">
        <v>3322</v>
      </c>
    </row>
    <row r="1510" spans="1:17" x14ac:dyDescent="0.3">
      <c r="A1510" t="s">
        <v>17</v>
      </c>
      <c r="B1510" t="str">
        <f>"603839"</f>
        <v>603839</v>
      </c>
      <c r="C1510" t="s">
        <v>3323</v>
      </c>
      <c r="D1510" t="s">
        <v>255</v>
      </c>
      <c r="P1510">
        <v>136</v>
      </c>
      <c r="Q1510" t="s">
        <v>3324</v>
      </c>
    </row>
    <row r="1511" spans="1:17" x14ac:dyDescent="0.3">
      <c r="A1511" t="s">
        <v>17</v>
      </c>
      <c r="B1511" t="str">
        <f>"603843"</f>
        <v>603843</v>
      </c>
      <c r="C1511" t="s">
        <v>3325</v>
      </c>
      <c r="D1511" t="s">
        <v>101</v>
      </c>
      <c r="P1511">
        <v>90</v>
      </c>
      <c r="Q1511" t="s">
        <v>3326</v>
      </c>
    </row>
    <row r="1512" spans="1:17" x14ac:dyDescent="0.3">
      <c r="A1512" t="s">
        <v>17</v>
      </c>
      <c r="B1512" t="str">
        <f>"603848"</f>
        <v>603848</v>
      </c>
      <c r="C1512" t="s">
        <v>3327</v>
      </c>
      <c r="D1512" t="s">
        <v>757</v>
      </c>
      <c r="P1512">
        <v>415</v>
      </c>
      <c r="Q1512" t="s">
        <v>3328</v>
      </c>
    </row>
    <row r="1513" spans="1:17" x14ac:dyDescent="0.3">
      <c r="A1513" t="s">
        <v>17</v>
      </c>
      <c r="B1513" t="str">
        <f>"603855"</f>
        <v>603855</v>
      </c>
      <c r="C1513" t="s">
        <v>3329</v>
      </c>
      <c r="D1513" t="s">
        <v>741</v>
      </c>
      <c r="P1513">
        <v>220</v>
      </c>
      <c r="Q1513" t="s">
        <v>3330</v>
      </c>
    </row>
    <row r="1514" spans="1:17" x14ac:dyDescent="0.3">
      <c r="A1514" t="s">
        <v>17</v>
      </c>
      <c r="B1514" t="str">
        <f>"603856"</f>
        <v>603856</v>
      </c>
      <c r="C1514" t="s">
        <v>3331</v>
      </c>
      <c r="D1514" t="s">
        <v>3332</v>
      </c>
      <c r="P1514">
        <v>138</v>
      </c>
      <c r="Q1514" t="s">
        <v>3333</v>
      </c>
    </row>
    <row r="1515" spans="1:17" x14ac:dyDescent="0.3">
      <c r="A1515" t="s">
        <v>17</v>
      </c>
      <c r="B1515" t="str">
        <f>"603858"</f>
        <v>603858</v>
      </c>
      <c r="C1515" t="s">
        <v>3334</v>
      </c>
      <c r="D1515" t="s">
        <v>188</v>
      </c>
      <c r="P1515">
        <v>828</v>
      </c>
      <c r="Q1515" t="s">
        <v>3335</v>
      </c>
    </row>
    <row r="1516" spans="1:17" x14ac:dyDescent="0.3">
      <c r="A1516" t="s">
        <v>17</v>
      </c>
      <c r="B1516" t="str">
        <f>"603859"</f>
        <v>603859</v>
      </c>
      <c r="C1516" t="s">
        <v>3336</v>
      </c>
      <c r="D1516" t="s">
        <v>2425</v>
      </c>
      <c r="P1516">
        <v>205</v>
      </c>
      <c r="Q1516" t="s">
        <v>3337</v>
      </c>
    </row>
    <row r="1517" spans="1:17" x14ac:dyDescent="0.3">
      <c r="A1517" t="s">
        <v>17</v>
      </c>
      <c r="B1517" t="str">
        <f>"603860"</f>
        <v>603860</v>
      </c>
      <c r="C1517" t="s">
        <v>3338</v>
      </c>
      <c r="D1517" t="s">
        <v>1272</v>
      </c>
      <c r="P1517">
        <v>58</v>
      </c>
      <c r="Q1517" t="s">
        <v>3339</v>
      </c>
    </row>
    <row r="1518" spans="1:17" x14ac:dyDescent="0.3">
      <c r="A1518" t="s">
        <v>17</v>
      </c>
      <c r="B1518" t="str">
        <f>"603861"</f>
        <v>603861</v>
      </c>
      <c r="C1518" t="s">
        <v>3340</v>
      </c>
      <c r="D1518" t="s">
        <v>657</v>
      </c>
      <c r="P1518">
        <v>109</v>
      </c>
      <c r="Q1518" t="s">
        <v>3341</v>
      </c>
    </row>
    <row r="1519" spans="1:17" x14ac:dyDescent="0.3">
      <c r="A1519" t="s">
        <v>17</v>
      </c>
      <c r="B1519" t="str">
        <f>"603863"</f>
        <v>603863</v>
      </c>
      <c r="C1519" t="s">
        <v>3342</v>
      </c>
      <c r="D1519" t="s">
        <v>694</v>
      </c>
      <c r="P1519">
        <v>51</v>
      </c>
      <c r="Q1519" t="s">
        <v>3343</v>
      </c>
    </row>
    <row r="1520" spans="1:17" x14ac:dyDescent="0.3">
      <c r="A1520" t="s">
        <v>17</v>
      </c>
      <c r="B1520" t="str">
        <f>"603866"</f>
        <v>603866</v>
      </c>
      <c r="C1520" t="s">
        <v>3344</v>
      </c>
      <c r="D1520" t="s">
        <v>2481</v>
      </c>
      <c r="P1520">
        <v>7676</v>
      </c>
      <c r="Q1520" t="s">
        <v>3345</v>
      </c>
    </row>
    <row r="1521" spans="1:17" x14ac:dyDescent="0.3">
      <c r="A1521" t="s">
        <v>17</v>
      </c>
      <c r="B1521" t="str">
        <f>"603867"</f>
        <v>603867</v>
      </c>
      <c r="C1521" t="s">
        <v>3346</v>
      </c>
      <c r="D1521" t="s">
        <v>386</v>
      </c>
      <c r="P1521">
        <v>88</v>
      </c>
      <c r="Q1521" t="s">
        <v>3347</v>
      </c>
    </row>
    <row r="1522" spans="1:17" x14ac:dyDescent="0.3">
      <c r="A1522" t="s">
        <v>17</v>
      </c>
      <c r="B1522" t="str">
        <f>"603868"</f>
        <v>603868</v>
      </c>
      <c r="C1522" t="s">
        <v>3348</v>
      </c>
      <c r="D1522" t="s">
        <v>3349</v>
      </c>
      <c r="P1522">
        <v>4435</v>
      </c>
      <c r="Q1522" t="s">
        <v>3350</v>
      </c>
    </row>
    <row r="1523" spans="1:17" x14ac:dyDescent="0.3">
      <c r="A1523" t="s">
        <v>17</v>
      </c>
      <c r="B1523" t="str">
        <f>"603869"</f>
        <v>603869</v>
      </c>
      <c r="C1523" t="s">
        <v>3351</v>
      </c>
      <c r="D1523" t="s">
        <v>316</v>
      </c>
      <c r="P1523">
        <v>143</v>
      </c>
      <c r="Q1523" t="s">
        <v>3352</v>
      </c>
    </row>
    <row r="1524" spans="1:17" x14ac:dyDescent="0.3">
      <c r="A1524" t="s">
        <v>17</v>
      </c>
      <c r="B1524" t="str">
        <f>"603871"</f>
        <v>603871</v>
      </c>
      <c r="C1524" t="s">
        <v>3353</v>
      </c>
      <c r="D1524" t="s">
        <v>287</v>
      </c>
      <c r="P1524">
        <v>324</v>
      </c>
      <c r="Q1524" t="s">
        <v>3354</v>
      </c>
    </row>
    <row r="1525" spans="1:17" x14ac:dyDescent="0.3">
      <c r="A1525" t="s">
        <v>17</v>
      </c>
      <c r="B1525" t="str">
        <f>"603876"</f>
        <v>603876</v>
      </c>
      <c r="C1525" t="s">
        <v>3355</v>
      </c>
      <c r="D1525" t="s">
        <v>504</v>
      </c>
      <c r="P1525">
        <v>143</v>
      </c>
      <c r="Q1525" t="s">
        <v>3356</v>
      </c>
    </row>
    <row r="1526" spans="1:17" x14ac:dyDescent="0.3">
      <c r="A1526" t="s">
        <v>17</v>
      </c>
      <c r="B1526" t="str">
        <f>"603877"</f>
        <v>603877</v>
      </c>
      <c r="C1526" t="s">
        <v>3357</v>
      </c>
      <c r="D1526" t="s">
        <v>255</v>
      </c>
      <c r="P1526">
        <v>364</v>
      </c>
      <c r="Q1526" t="s">
        <v>3358</v>
      </c>
    </row>
    <row r="1527" spans="1:17" x14ac:dyDescent="0.3">
      <c r="A1527" t="s">
        <v>17</v>
      </c>
      <c r="B1527" t="str">
        <f>"603878"</f>
        <v>603878</v>
      </c>
      <c r="C1527" t="s">
        <v>3359</v>
      </c>
      <c r="D1527" t="s">
        <v>2231</v>
      </c>
      <c r="P1527">
        <v>142</v>
      </c>
      <c r="Q1527" t="s">
        <v>3360</v>
      </c>
    </row>
    <row r="1528" spans="1:17" x14ac:dyDescent="0.3">
      <c r="A1528" t="s">
        <v>17</v>
      </c>
      <c r="B1528" t="str">
        <f>"603879"</f>
        <v>603879</v>
      </c>
      <c r="C1528" t="s">
        <v>3361</v>
      </c>
      <c r="D1528" t="s">
        <v>3362</v>
      </c>
      <c r="P1528">
        <v>55</v>
      </c>
      <c r="Q1528" t="s">
        <v>3363</v>
      </c>
    </row>
    <row r="1529" spans="1:17" x14ac:dyDescent="0.3">
      <c r="A1529" t="s">
        <v>17</v>
      </c>
      <c r="B1529" t="str">
        <f>"603880"</f>
        <v>603880</v>
      </c>
      <c r="C1529" t="s">
        <v>3364</v>
      </c>
      <c r="D1529" t="s">
        <v>1077</v>
      </c>
      <c r="P1529">
        <v>125</v>
      </c>
      <c r="Q1529" t="s">
        <v>3365</v>
      </c>
    </row>
    <row r="1530" spans="1:17" x14ac:dyDescent="0.3">
      <c r="A1530" t="s">
        <v>17</v>
      </c>
      <c r="B1530" t="str">
        <f>"603881"</f>
        <v>603881</v>
      </c>
      <c r="C1530" t="s">
        <v>3366</v>
      </c>
      <c r="D1530" t="s">
        <v>316</v>
      </c>
      <c r="P1530">
        <v>486</v>
      </c>
      <c r="Q1530" t="s">
        <v>3367</v>
      </c>
    </row>
    <row r="1531" spans="1:17" x14ac:dyDescent="0.3">
      <c r="A1531" t="s">
        <v>17</v>
      </c>
      <c r="B1531" t="str">
        <f>"603882"</f>
        <v>603882</v>
      </c>
      <c r="C1531" t="s">
        <v>3368</v>
      </c>
      <c r="D1531" t="s">
        <v>2571</v>
      </c>
      <c r="P1531">
        <v>1844</v>
      </c>
      <c r="Q1531" t="s">
        <v>3369</v>
      </c>
    </row>
    <row r="1532" spans="1:17" x14ac:dyDescent="0.3">
      <c r="A1532" t="s">
        <v>17</v>
      </c>
      <c r="B1532" t="str">
        <f>"603883"</f>
        <v>603883</v>
      </c>
      <c r="C1532" t="s">
        <v>3370</v>
      </c>
      <c r="D1532" t="s">
        <v>1684</v>
      </c>
      <c r="P1532">
        <v>868</v>
      </c>
      <c r="Q1532" t="s">
        <v>3371</v>
      </c>
    </row>
    <row r="1533" spans="1:17" x14ac:dyDescent="0.3">
      <c r="A1533" t="s">
        <v>17</v>
      </c>
      <c r="B1533" t="str">
        <f>"603885"</f>
        <v>603885</v>
      </c>
      <c r="C1533" t="s">
        <v>3372</v>
      </c>
      <c r="D1533" t="s">
        <v>77</v>
      </c>
      <c r="P1533">
        <v>475</v>
      </c>
      <c r="Q1533" t="s">
        <v>3373</v>
      </c>
    </row>
    <row r="1534" spans="1:17" x14ac:dyDescent="0.3">
      <c r="A1534" t="s">
        <v>17</v>
      </c>
      <c r="B1534" t="str">
        <f>"603886"</f>
        <v>603886</v>
      </c>
      <c r="C1534" t="s">
        <v>3374</v>
      </c>
      <c r="D1534" t="s">
        <v>2481</v>
      </c>
      <c r="P1534">
        <v>3081</v>
      </c>
      <c r="Q1534" t="s">
        <v>3375</v>
      </c>
    </row>
    <row r="1535" spans="1:17" x14ac:dyDescent="0.3">
      <c r="A1535" t="s">
        <v>17</v>
      </c>
      <c r="B1535" t="str">
        <f>"603887"</f>
        <v>603887</v>
      </c>
      <c r="C1535" t="s">
        <v>3376</v>
      </c>
      <c r="D1535" t="s">
        <v>316</v>
      </c>
      <c r="P1535">
        <v>241</v>
      </c>
      <c r="Q1535" t="s">
        <v>3377</v>
      </c>
    </row>
    <row r="1536" spans="1:17" x14ac:dyDescent="0.3">
      <c r="A1536" t="s">
        <v>17</v>
      </c>
      <c r="B1536" t="str">
        <f>"603888"</f>
        <v>603888</v>
      </c>
      <c r="C1536" t="s">
        <v>3378</v>
      </c>
      <c r="D1536" t="s">
        <v>522</v>
      </c>
      <c r="P1536">
        <v>227</v>
      </c>
      <c r="Q1536" t="s">
        <v>3379</v>
      </c>
    </row>
    <row r="1537" spans="1:17" x14ac:dyDescent="0.3">
      <c r="A1537" t="s">
        <v>17</v>
      </c>
      <c r="B1537" t="str">
        <f>"603889"</f>
        <v>603889</v>
      </c>
      <c r="C1537" t="s">
        <v>3380</v>
      </c>
      <c r="D1537" t="s">
        <v>366</v>
      </c>
      <c r="P1537">
        <v>121</v>
      </c>
      <c r="Q1537" t="s">
        <v>3381</v>
      </c>
    </row>
    <row r="1538" spans="1:17" x14ac:dyDescent="0.3">
      <c r="A1538" t="s">
        <v>17</v>
      </c>
      <c r="B1538" t="str">
        <f>"603890"</f>
        <v>603890</v>
      </c>
      <c r="C1538" t="s">
        <v>3382</v>
      </c>
      <c r="D1538" t="s">
        <v>313</v>
      </c>
      <c r="P1538">
        <v>155</v>
      </c>
      <c r="Q1538" t="s">
        <v>3383</v>
      </c>
    </row>
    <row r="1539" spans="1:17" x14ac:dyDescent="0.3">
      <c r="A1539" t="s">
        <v>17</v>
      </c>
      <c r="B1539" t="str">
        <f>"603893"</f>
        <v>603893</v>
      </c>
      <c r="C1539" t="s">
        <v>3384</v>
      </c>
      <c r="D1539" t="s">
        <v>461</v>
      </c>
      <c r="P1539">
        <v>444</v>
      </c>
      <c r="Q1539" t="s">
        <v>3385</v>
      </c>
    </row>
    <row r="1540" spans="1:17" x14ac:dyDescent="0.3">
      <c r="A1540" t="s">
        <v>17</v>
      </c>
      <c r="B1540" t="str">
        <f>"603895"</f>
        <v>603895</v>
      </c>
      <c r="C1540" t="s">
        <v>3386</v>
      </c>
      <c r="D1540" t="s">
        <v>741</v>
      </c>
      <c r="P1540">
        <v>65</v>
      </c>
      <c r="Q1540" t="s">
        <v>3387</v>
      </c>
    </row>
    <row r="1541" spans="1:17" x14ac:dyDescent="0.3">
      <c r="A1541" t="s">
        <v>17</v>
      </c>
      <c r="B1541" t="str">
        <f>"603896"</f>
        <v>603896</v>
      </c>
      <c r="C1541" t="s">
        <v>3388</v>
      </c>
      <c r="D1541" t="s">
        <v>188</v>
      </c>
      <c r="P1541">
        <v>230</v>
      </c>
      <c r="Q1541" t="s">
        <v>3389</v>
      </c>
    </row>
    <row r="1542" spans="1:17" x14ac:dyDescent="0.3">
      <c r="A1542" t="s">
        <v>17</v>
      </c>
      <c r="B1542" t="str">
        <f>"603897"</f>
        <v>603897</v>
      </c>
      <c r="C1542" t="s">
        <v>3390</v>
      </c>
      <c r="D1542" t="s">
        <v>1164</v>
      </c>
      <c r="P1542">
        <v>137</v>
      </c>
      <c r="Q1542" t="s">
        <v>3391</v>
      </c>
    </row>
    <row r="1543" spans="1:17" x14ac:dyDescent="0.3">
      <c r="A1543" t="s">
        <v>17</v>
      </c>
      <c r="B1543" t="str">
        <f>"603898"</f>
        <v>603898</v>
      </c>
      <c r="C1543" t="s">
        <v>3392</v>
      </c>
      <c r="D1543" t="s">
        <v>2655</v>
      </c>
      <c r="P1543">
        <v>835</v>
      </c>
      <c r="Q1543" t="s">
        <v>3393</v>
      </c>
    </row>
    <row r="1544" spans="1:17" x14ac:dyDescent="0.3">
      <c r="A1544" t="s">
        <v>17</v>
      </c>
      <c r="B1544" t="str">
        <f>"603899"</f>
        <v>603899</v>
      </c>
      <c r="C1544" t="s">
        <v>3394</v>
      </c>
      <c r="D1544" t="s">
        <v>3395</v>
      </c>
      <c r="P1544">
        <v>25827</v>
      </c>
      <c r="Q1544" t="s">
        <v>3396</v>
      </c>
    </row>
    <row r="1545" spans="1:17" x14ac:dyDescent="0.3">
      <c r="A1545" t="s">
        <v>17</v>
      </c>
      <c r="B1545" t="str">
        <f>"603900"</f>
        <v>603900</v>
      </c>
      <c r="C1545" t="s">
        <v>3397</v>
      </c>
      <c r="D1545" t="s">
        <v>1238</v>
      </c>
      <c r="P1545">
        <v>137</v>
      </c>
      <c r="Q1545" t="s">
        <v>3398</v>
      </c>
    </row>
    <row r="1546" spans="1:17" x14ac:dyDescent="0.3">
      <c r="A1546" t="s">
        <v>17</v>
      </c>
      <c r="B1546" t="str">
        <f>"603901"</f>
        <v>603901</v>
      </c>
      <c r="C1546" t="s">
        <v>3399</v>
      </c>
      <c r="D1546" t="s">
        <v>3400</v>
      </c>
      <c r="P1546">
        <v>140</v>
      </c>
      <c r="Q1546" t="s">
        <v>3401</v>
      </c>
    </row>
    <row r="1547" spans="1:17" x14ac:dyDescent="0.3">
      <c r="A1547" t="s">
        <v>17</v>
      </c>
      <c r="B1547" t="str">
        <f>"603903"</f>
        <v>603903</v>
      </c>
      <c r="C1547" t="s">
        <v>3402</v>
      </c>
      <c r="D1547" t="s">
        <v>33</v>
      </c>
      <c r="P1547">
        <v>119</v>
      </c>
      <c r="Q1547" t="s">
        <v>3403</v>
      </c>
    </row>
    <row r="1548" spans="1:17" x14ac:dyDescent="0.3">
      <c r="A1548" t="s">
        <v>17</v>
      </c>
      <c r="B1548" t="str">
        <f>"603906"</f>
        <v>603906</v>
      </c>
      <c r="C1548" t="s">
        <v>3404</v>
      </c>
      <c r="D1548" t="s">
        <v>386</v>
      </c>
      <c r="P1548">
        <v>185</v>
      </c>
      <c r="Q1548" t="s">
        <v>3405</v>
      </c>
    </row>
    <row r="1549" spans="1:17" x14ac:dyDescent="0.3">
      <c r="A1549" t="s">
        <v>17</v>
      </c>
      <c r="B1549" t="str">
        <f>"603908"</f>
        <v>603908</v>
      </c>
      <c r="C1549" t="s">
        <v>3406</v>
      </c>
      <c r="D1549" t="s">
        <v>330</v>
      </c>
      <c r="P1549">
        <v>114</v>
      </c>
      <c r="Q1549" t="s">
        <v>3407</v>
      </c>
    </row>
    <row r="1550" spans="1:17" x14ac:dyDescent="0.3">
      <c r="A1550" t="s">
        <v>17</v>
      </c>
      <c r="B1550" t="str">
        <f>"603909"</f>
        <v>603909</v>
      </c>
      <c r="C1550" t="s">
        <v>3408</v>
      </c>
      <c r="D1550" t="s">
        <v>1272</v>
      </c>
      <c r="P1550">
        <v>65</v>
      </c>
      <c r="Q1550" t="s">
        <v>3409</v>
      </c>
    </row>
    <row r="1551" spans="1:17" x14ac:dyDescent="0.3">
      <c r="A1551" t="s">
        <v>17</v>
      </c>
      <c r="B1551" t="str">
        <f>"603912"</f>
        <v>603912</v>
      </c>
      <c r="C1551" t="s">
        <v>3410</v>
      </c>
      <c r="D1551" t="s">
        <v>988</v>
      </c>
      <c r="P1551">
        <v>286</v>
      </c>
      <c r="Q1551" t="s">
        <v>3411</v>
      </c>
    </row>
    <row r="1552" spans="1:17" x14ac:dyDescent="0.3">
      <c r="A1552" t="s">
        <v>17</v>
      </c>
      <c r="B1552" t="str">
        <f>"603915"</f>
        <v>603915</v>
      </c>
      <c r="C1552" t="s">
        <v>3412</v>
      </c>
      <c r="D1552" t="s">
        <v>274</v>
      </c>
      <c r="P1552">
        <v>160</v>
      </c>
      <c r="Q1552" t="s">
        <v>3413</v>
      </c>
    </row>
    <row r="1553" spans="1:17" x14ac:dyDescent="0.3">
      <c r="A1553" t="s">
        <v>17</v>
      </c>
      <c r="B1553" t="str">
        <f>"603916"</f>
        <v>603916</v>
      </c>
      <c r="C1553" t="s">
        <v>3414</v>
      </c>
      <c r="D1553" t="s">
        <v>386</v>
      </c>
      <c r="P1553">
        <v>273</v>
      </c>
      <c r="Q1553" t="s">
        <v>3415</v>
      </c>
    </row>
    <row r="1554" spans="1:17" x14ac:dyDescent="0.3">
      <c r="A1554" t="s">
        <v>17</v>
      </c>
      <c r="B1554" t="str">
        <f>"603917"</f>
        <v>603917</v>
      </c>
      <c r="C1554" t="s">
        <v>3416</v>
      </c>
      <c r="D1554" t="s">
        <v>985</v>
      </c>
      <c r="P1554">
        <v>73</v>
      </c>
      <c r="Q1554" t="s">
        <v>3417</v>
      </c>
    </row>
    <row r="1555" spans="1:17" x14ac:dyDescent="0.3">
      <c r="A1555" t="s">
        <v>17</v>
      </c>
      <c r="B1555" t="str">
        <f>"603918"</f>
        <v>603918</v>
      </c>
      <c r="C1555" t="s">
        <v>3418</v>
      </c>
      <c r="D1555" t="s">
        <v>316</v>
      </c>
      <c r="P1555">
        <v>142</v>
      </c>
      <c r="Q1555" t="s">
        <v>3419</v>
      </c>
    </row>
    <row r="1556" spans="1:17" x14ac:dyDescent="0.3">
      <c r="A1556" t="s">
        <v>17</v>
      </c>
      <c r="B1556" t="str">
        <f>"603919"</f>
        <v>603919</v>
      </c>
      <c r="C1556" t="s">
        <v>3420</v>
      </c>
      <c r="D1556" t="s">
        <v>458</v>
      </c>
      <c r="P1556">
        <v>446</v>
      </c>
      <c r="Q1556" t="s">
        <v>3421</v>
      </c>
    </row>
    <row r="1557" spans="1:17" x14ac:dyDescent="0.3">
      <c r="A1557" t="s">
        <v>17</v>
      </c>
      <c r="B1557" t="str">
        <f>"603920"</f>
        <v>603920</v>
      </c>
      <c r="C1557" t="s">
        <v>3422</v>
      </c>
      <c r="D1557" t="s">
        <v>425</v>
      </c>
      <c r="P1557">
        <v>267</v>
      </c>
      <c r="Q1557" t="s">
        <v>3423</v>
      </c>
    </row>
    <row r="1558" spans="1:17" x14ac:dyDescent="0.3">
      <c r="A1558" t="s">
        <v>17</v>
      </c>
      <c r="B1558" t="str">
        <f>"603922"</f>
        <v>603922</v>
      </c>
      <c r="C1558" t="s">
        <v>3424</v>
      </c>
      <c r="D1558" t="s">
        <v>985</v>
      </c>
      <c r="P1558">
        <v>54</v>
      </c>
      <c r="Q1558" t="s">
        <v>3425</v>
      </c>
    </row>
    <row r="1559" spans="1:17" x14ac:dyDescent="0.3">
      <c r="A1559" t="s">
        <v>17</v>
      </c>
      <c r="B1559" t="str">
        <f>"603926"</f>
        <v>603926</v>
      </c>
      <c r="C1559" t="s">
        <v>3426</v>
      </c>
      <c r="D1559" t="s">
        <v>348</v>
      </c>
      <c r="P1559">
        <v>104</v>
      </c>
      <c r="Q1559" t="s">
        <v>3427</v>
      </c>
    </row>
    <row r="1560" spans="1:17" x14ac:dyDescent="0.3">
      <c r="A1560" t="s">
        <v>17</v>
      </c>
      <c r="B1560" t="str">
        <f>"603927"</f>
        <v>603927</v>
      </c>
      <c r="C1560" t="s">
        <v>3428</v>
      </c>
      <c r="D1560" t="s">
        <v>945</v>
      </c>
      <c r="P1560">
        <v>821</v>
      </c>
      <c r="Q1560" t="s">
        <v>3429</v>
      </c>
    </row>
    <row r="1561" spans="1:17" x14ac:dyDescent="0.3">
      <c r="A1561" t="s">
        <v>17</v>
      </c>
      <c r="B1561" t="str">
        <f>"603928"</f>
        <v>603928</v>
      </c>
      <c r="C1561" t="s">
        <v>3430</v>
      </c>
      <c r="D1561" t="s">
        <v>3362</v>
      </c>
      <c r="P1561">
        <v>102</v>
      </c>
      <c r="Q1561" t="s">
        <v>3431</v>
      </c>
    </row>
    <row r="1562" spans="1:17" x14ac:dyDescent="0.3">
      <c r="A1562" t="s">
        <v>17</v>
      </c>
      <c r="B1562" t="str">
        <f>"603929"</f>
        <v>603929</v>
      </c>
      <c r="C1562" t="s">
        <v>3432</v>
      </c>
      <c r="D1562" t="s">
        <v>1988</v>
      </c>
      <c r="P1562">
        <v>109</v>
      </c>
      <c r="Q1562" t="s">
        <v>3433</v>
      </c>
    </row>
    <row r="1563" spans="1:17" x14ac:dyDescent="0.3">
      <c r="A1563" t="s">
        <v>17</v>
      </c>
      <c r="B1563" t="str">
        <f>"603931"</f>
        <v>603931</v>
      </c>
      <c r="C1563" t="s">
        <v>3434</v>
      </c>
      <c r="D1563" t="s">
        <v>2401</v>
      </c>
      <c r="P1563">
        <v>88</v>
      </c>
      <c r="Q1563" t="s">
        <v>3435</v>
      </c>
    </row>
    <row r="1564" spans="1:17" x14ac:dyDescent="0.3">
      <c r="A1564" t="s">
        <v>17</v>
      </c>
      <c r="B1564" t="str">
        <f>"603933"</f>
        <v>603933</v>
      </c>
      <c r="C1564" t="s">
        <v>3436</v>
      </c>
      <c r="D1564" t="s">
        <v>651</v>
      </c>
      <c r="P1564">
        <v>122</v>
      </c>
      <c r="Q1564" t="s">
        <v>3437</v>
      </c>
    </row>
    <row r="1565" spans="1:17" x14ac:dyDescent="0.3">
      <c r="A1565" t="s">
        <v>17</v>
      </c>
      <c r="B1565" t="str">
        <f>"603936"</f>
        <v>603936</v>
      </c>
      <c r="C1565" t="s">
        <v>3438</v>
      </c>
      <c r="D1565" t="s">
        <v>425</v>
      </c>
      <c r="P1565">
        <v>222</v>
      </c>
      <c r="Q1565" t="s">
        <v>3439</v>
      </c>
    </row>
    <row r="1566" spans="1:17" x14ac:dyDescent="0.3">
      <c r="A1566" t="s">
        <v>17</v>
      </c>
      <c r="B1566" t="str">
        <f>"603937"</f>
        <v>603937</v>
      </c>
      <c r="C1566" t="s">
        <v>3440</v>
      </c>
      <c r="D1566" t="s">
        <v>504</v>
      </c>
      <c r="P1566">
        <v>61</v>
      </c>
      <c r="Q1566" t="s">
        <v>3441</v>
      </c>
    </row>
    <row r="1567" spans="1:17" x14ac:dyDescent="0.3">
      <c r="A1567" t="s">
        <v>17</v>
      </c>
      <c r="B1567" t="str">
        <f>"603938"</f>
        <v>603938</v>
      </c>
      <c r="C1567" t="s">
        <v>3442</v>
      </c>
      <c r="D1567" t="s">
        <v>3443</v>
      </c>
      <c r="P1567">
        <v>102</v>
      </c>
      <c r="Q1567" t="s">
        <v>3444</v>
      </c>
    </row>
    <row r="1568" spans="1:17" x14ac:dyDescent="0.3">
      <c r="A1568" t="s">
        <v>17</v>
      </c>
      <c r="B1568" t="str">
        <f>"603939"</f>
        <v>603939</v>
      </c>
      <c r="C1568" t="s">
        <v>3445</v>
      </c>
      <c r="D1568" t="s">
        <v>1684</v>
      </c>
      <c r="P1568">
        <v>1482</v>
      </c>
      <c r="Q1568" t="s">
        <v>3446</v>
      </c>
    </row>
    <row r="1569" spans="1:17" x14ac:dyDescent="0.3">
      <c r="A1569" t="s">
        <v>17</v>
      </c>
      <c r="B1569" t="str">
        <f>"603948"</f>
        <v>603948</v>
      </c>
      <c r="C1569" t="s">
        <v>3447</v>
      </c>
      <c r="D1569" t="s">
        <v>386</v>
      </c>
      <c r="P1569">
        <v>60</v>
      </c>
      <c r="Q1569" t="s">
        <v>3448</v>
      </c>
    </row>
    <row r="1570" spans="1:17" x14ac:dyDescent="0.3">
      <c r="A1570" t="s">
        <v>17</v>
      </c>
      <c r="B1570" t="str">
        <f>"603949"</f>
        <v>603949</v>
      </c>
      <c r="C1570" t="s">
        <v>3449</v>
      </c>
      <c r="D1570" t="s">
        <v>348</v>
      </c>
      <c r="P1570">
        <v>158</v>
      </c>
      <c r="Q1570" t="s">
        <v>3450</v>
      </c>
    </row>
    <row r="1571" spans="1:17" x14ac:dyDescent="0.3">
      <c r="A1571" t="s">
        <v>17</v>
      </c>
      <c r="B1571" t="str">
        <f>"603950"</f>
        <v>603950</v>
      </c>
      <c r="C1571" t="s">
        <v>3451</v>
      </c>
      <c r="D1571" t="s">
        <v>348</v>
      </c>
      <c r="P1571">
        <v>97</v>
      </c>
      <c r="Q1571" t="s">
        <v>3452</v>
      </c>
    </row>
    <row r="1572" spans="1:17" x14ac:dyDescent="0.3">
      <c r="A1572" t="s">
        <v>17</v>
      </c>
      <c r="B1572" t="str">
        <f>"603955"</f>
        <v>603955</v>
      </c>
      <c r="C1572" t="s">
        <v>3453</v>
      </c>
      <c r="D1572" t="s">
        <v>2410</v>
      </c>
      <c r="P1572">
        <v>60</v>
      </c>
      <c r="Q1572" t="s">
        <v>3454</v>
      </c>
    </row>
    <row r="1573" spans="1:17" x14ac:dyDescent="0.3">
      <c r="A1573" t="s">
        <v>17</v>
      </c>
      <c r="B1573" t="str">
        <f>"603956"</f>
        <v>603956</v>
      </c>
      <c r="C1573" t="s">
        <v>3455</v>
      </c>
      <c r="D1573" t="s">
        <v>741</v>
      </c>
      <c r="P1573">
        <v>181</v>
      </c>
      <c r="Q1573" t="s">
        <v>3456</v>
      </c>
    </row>
    <row r="1574" spans="1:17" x14ac:dyDescent="0.3">
      <c r="A1574" t="s">
        <v>17</v>
      </c>
      <c r="B1574" t="str">
        <f>"603958"</f>
        <v>603958</v>
      </c>
      <c r="C1574" t="s">
        <v>3457</v>
      </c>
      <c r="D1574" t="s">
        <v>330</v>
      </c>
      <c r="P1574">
        <v>67</v>
      </c>
      <c r="Q1574" t="s">
        <v>3458</v>
      </c>
    </row>
    <row r="1575" spans="1:17" x14ac:dyDescent="0.3">
      <c r="A1575" t="s">
        <v>17</v>
      </c>
      <c r="B1575" t="str">
        <f>"603959"</f>
        <v>603959</v>
      </c>
      <c r="C1575" t="s">
        <v>3459</v>
      </c>
      <c r="D1575" t="s">
        <v>2021</v>
      </c>
      <c r="P1575">
        <v>80</v>
      </c>
      <c r="Q1575" t="s">
        <v>3460</v>
      </c>
    </row>
    <row r="1576" spans="1:17" x14ac:dyDescent="0.3">
      <c r="A1576" t="s">
        <v>17</v>
      </c>
      <c r="B1576" t="str">
        <f>"603960"</f>
        <v>603960</v>
      </c>
      <c r="C1576" t="s">
        <v>3461</v>
      </c>
      <c r="D1576" t="s">
        <v>3462</v>
      </c>
      <c r="P1576">
        <v>383</v>
      </c>
      <c r="Q1576" t="s">
        <v>3463</v>
      </c>
    </row>
    <row r="1577" spans="1:17" x14ac:dyDescent="0.3">
      <c r="A1577" t="s">
        <v>17</v>
      </c>
      <c r="B1577" t="str">
        <f>"603963"</f>
        <v>603963</v>
      </c>
      <c r="C1577" t="s">
        <v>3464</v>
      </c>
      <c r="D1577" t="s">
        <v>188</v>
      </c>
      <c r="P1577">
        <v>109</v>
      </c>
      <c r="Q1577" t="s">
        <v>3465</v>
      </c>
    </row>
    <row r="1578" spans="1:17" x14ac:dyDescent="0.3">
      <c r="A1578" t="s">
        <v>17</v>
      </c>
      <c r="B1578" t="str">
        <f>"603966"</f>
        <v>603966</v>
      </c>
      <c r="C1578" t="s">
        <v>3466</v>
      </c>
      <c r="D1578" t="s">
        <v>395</v>
      </c>
      <c r="P1578">
        <v>122</v>
      </c>
      <c r="Q1578" t="s">
        <v>3467</v>
      </c>
    </row>
    <row r="1579" spans="1:17" x14ac:dyDescent="0.3">
      <c r="A1579" t="s">
        <v>17</v>
      </c>
      <c r="B1579" t="str">
        <f>"603967"</f>
        <v>603967</v>
      </c>
      <c r="C1579" t="s">
        <v>3468</v>
      </c>
      <c r="D1579" t="s">
        <v>287</v>
      </c>
      <c r="P1579">
        <v>85</v>
      </c>
      <c r="Q1579" t="s">
        <v>3469</v>
      </c>
    </row>
    <row r="1580" spans="1:17" x14ac:dyDescent="0.3">
      <c r="A1580" t="s">
        <v>17</v>
      </c>
      <c r="B1580" t="str">
        <f>"603968"</f>
        <v>603968</v>
      </c>
      <c r="C1580" t="s">
        <v>3470</v>
      </c>
      <c r="D1580" t="s">
        <v>677</v>
      </c>
      <c r="P1580">
        <v>244</v>
      </c>
      <c r="Q1580" t="s">
        <v>3471</v>
      </c>
    </row>
    <row r="1581" spans="1:17" x14ac:dyDescent="0.3">
      <c r="A1581" t="s">
        <v>17</v>
      </c>
      <c r="B1581" t="str">
        <f>"603969"</f>
        <v>603969</v>
      </c>
      <c r="C1581" t="s">
        <v>3472</v>
      </c>
      <c r="D1581" t="s">
        <v>274</v>
      </c>
      <c r="P1581">
        <v>94</v>
      </c>
      <c r="Q1581" t="s">
        <v>3473</v>
      </c>
    </row>
    <row r="1582" spans="1:17" x14ac:dyDescent="0.3">
      <c r="A1582" t="s">
        <v>17</v>
      </c>
      <c r="B1582" t="str">
        <f>"603970"</f>
        <v>603970</v>
      </c>
      <c r="C1582" t="s">
        <v>3474</v>
      </c>
      <c r="D1582" t="s">
        <v>853</v>
      </c>
      <c r="P1582">
        <v>90</v>
      </c>
      <c r="Q1582" t="s">
        <v>3475</v>
      </c>
    </row>
    <row r="1583" spans="1:17" x14ac:dyDescent="0.3">
      <c r="A1583" t="s">
        <v>17</v>
      </c>
      <c r="B1583" t="str">
        <f>"603976"</f>
        <v>603976</v>
      </c>
      <c r="C1583" t="s">
        <v>3476</v>
      </c>
      <c r="D1583" t="s">
        <v>1077</v>
      </c>
      <c r="P1583">
        <v>216</v>
      </c>
      <c r="Q1583" t="s">
        <v>3477</v>
      </c>
    </row>
    <row r="1584" spans="1:17" x14ac:dyDescent="0.3">
      <c r="A1584" t="s">
        <v>17</v>
      </c>
      <c r="B1584" t="str">
        <f>"603977"</f>
        <v>603977</v>
      </c>
      <c r="C1584" t="s">
        <v>3478</v>
      </c>
      <c r="D1584" t="s">
        <v>2725</v>
      </c>
      <c r="P1584">
        <v>87</v>
      </c>
      <c r="Q1584" t="s">
        <v>3479</v>
      </c>
    </row>
    <row r="1585" spans="1:17" x14ac:dyDescent="0.3">
      <c r="A1585" t="s">
        <v>17</v>
      </c>
      <c r="B1585" t="str">
        <f>"603978"</f>
        <v>603978</v>
      </c>
      <c r="C1585" t="s">
        <v>3480</v>
      </c>
      <c r="D1585" t="s">
        <v>581</v>
      </c>
      <c r="P1585">
        <v>112</v>
      </c>
      <c r="Q1585" t="s">
        <v>3481</v>
      </c>
    </row>
    <row r="1586" spans="1:17" x14ac:dyDescent="0.3">
      <c r="A1586" t="s">
        <v>17</v>
      </c>
      <c r="B1586" t="str">
        <f>"603979"</f>
        <v>603979</v>
      </c>
      <c r="C1586" t="s">
        <v>3482</v>
      </c>
      <c r="D1586" t="s">
        <v>1988</v>
      </c>
      <c r="P1586">
        <v>122</v>
      </c>
      <c r="Q1586" t="s">
        <v>3483</v>
      </c>
    </row>
    <row r="1587" spans="1:17" x14ac:dyDescent="0.3">
      <c r="A1587" t="s">
        <v>17</v>
      </c>
      <c r="B1587" t="str">
        <f>"603980"</f>
        <v>603980</v>
      </c>
      <c r="C1587" t="s">
        <v>3484</v>
      </c>
      <c r="D1587" t="s">
        <v>779</v>
      </c>
      <c r="P1587">
        <v>195</v>
      </c>
      <c r="Q1587" t="s">
        <v>3485</v>
      </c>
    </row>
    <row r="1588" spans="1:17" x14ac:dyDescent="0.3">
      <c r="A1588" t="s">
        <v>17</v>
      </c>
      <c r="B1588" t="str">
        <f>"603982"</f>
        <v>603982</v>
      </c>
      <c r="C1588" t="s">
        <v>3486</v>
      </c>
      <c r="D1588" t="s">
        <v>348</v>
      </c>
      <c r="P1588">
        <v>122</v>
      </c>
      <c r="Q1588" t="s">
        <v>3487</v>
      </c>
    </row>
    <row r="1589" spans="1:17" x14ac:dyDescent="0.3">
      <c r="A1589" t="s">
        <v>17</v>
      </c>
      <c r="B1589" t="str">
        <f>"603983"</f>
        <v>603983</v>
      </c>
      <c r="C1589" t="s">
        <v>3488</v>
      </c>
      <c r="D1589" t="s">
        <v>709</v>
      </c>
      <c r="P1589">
        <v>898</v>
      </c>
      <c r="Q1589" t="s">
        <v>3489</v>
      </c>
    </row>
    <row r="1590" spans="1:17" x14ac:dyDescent="0.3">
      <c r="A1590" t="s">
        <v>17</v>
      </c>
      <c r="B1590" t="str">
        <f>"603985"</f>
        <v>603985</v>
      </c>
      <c r="C1590" t="s">
        <v>3490</v>
      </c>
      <c r="D1590" t="s">
        <v>274</v>
      </c>
      <c r="P1590">
        <v>218</v>
      </c>
      <c r="Q1590" t="s">
        <v>3491</v>
      </c>
    </row>
    <row r="1591" spans="1:17" x14ac:dyDescent="0.3">
      <c r="A1591" t="s">
        <v>17</v>
      </c>
      <c r="B1591" t="str">
        <f>"603986"</f>
        <v>603986</v>
      </c>
      <c r="C1591" t="s">
        <v>3492</v>
      </c>
      <c r="D1591" t="s">
        <v>461</v>
      </c>
      <c r="P1591">
        <v>2706</v>
      </c>
      <c r="Q1591" t="s">
        <v>3493</v>
      </c>
    </row>
    <row r="1592" spans="1:17" x14ac:dyDescent="0.3">
      <c r="A1592" t="s">
        <v>17</v>
      </c>
      <c r="B1592" t="str">
        <f>"603987"</f>
        <v>603987</v>
      </c>
      <c r="C1592" t="s">
        <v>3494</v>
      </c>
      <c r="D1592" t="s">
        <v>1077</v>
      </c>
      <c r="P1592">
        <v>266</v>
      </c>
      <c r="Q1592" t="s">
        <v>3495</v>
      </c>
    </row>
    <row r="1593" spans="1:17" x14ac:dyDescent="0.3">
      <c r="A1593" t="s">
        <v>17</v>
      </c>
      <c r="B1593" t="str">
        <f>"603988"</f>
        <v>603988</v>
      </c>
      <c r="C1593" t="s">
        <v>3496</v>
      </c>
      <c r="D1593" t="s">
        <v>1171</v>
      </c>
      <c r="P1593">
        <v>192</v>
      </c>
      <c r="Q1593" t="s">
        <v>3497</v>
      </c>
    </row>
    <row r="1594" spans="1:17" x14ac:dyDescent="0.3">
      <c r="A1594" t="s">
        <v>17</v>
      </c>
      <c r="B1594" t="str">
        <f>"603989"</f>
        <v>603989</v>
      </c>
      <c r="C1594" t="s">
        <v>3498</v>
      </c>
      <c r="D1594" t="s">
        <v>546</v>
      </c>
      <c r="P1594">
        <v>12177</v>
      </c>
      <c r="Q1594" t="s">
        <v>3499</v>
      </c>
    </row>
    <row r="1595" spans="1:17" x14ac:dyDescent="0.3">
      <c r="A1595" t="s">
        <v>17</v>
      </c>
      <c r="B1595" t="str">
        <f>"603990"</f>
        <v>603990</v>
      </c>
      <c r="C1595" t="s">
        <v>3500</v>
      </c>
      <c r="D1595" t="s">
        <v>945</v>
      </c>
      <c r="P1595">
        <v>143</v>
      </c>
      <c r="Q1595" t="s">
        <v>3501</v>
      </c>
    </row>
    <row r="1596" spans="1:17" x14ac:dyDescent="0.3">
      <c r="A1596" t="s">
        <v>17</v>
      </c>
      <c r="B1596" t="str">
        <f>"603991"</f>
        <v>603991</v>
      </c>
      <c r="C1596" t="s">
        <v>3502</v>
      </c>
      <c r="D1596" t="s">
        <v>1192</v>
      </c>
      <c r="P1596">
        <v>96</v>
      </c>
      <c r="Q1596" t="s">
        <v>3503</v>
      </c>
    </row>
    <row r="1597" spans="1:17" x14ac:dyDescent="0.3">
      <c r="A1597" t="s">
        <v>17</v>
      </c>
      <c r="B1597" t="str">
        <f>"603992"</f>
        <v>603992</v>
      </c>
      <c r="C1597" t="s">
        <v>3504</v>
      </c>
      <c r="D1597" t="s">
        <v>2897</v>
      </c>
      <c r="P1597">
        <v>120</v>
      </c>
      <c r="Q1597" t="s">
        <v>3505</v>
      </c>
    </row>
    <row r="1598" spans="1:17" x14ac:dyDescent="0.3">
      <c r="A1598" t="s">
        <v>17</v>
      </c>
      <c r="B1598" t="str">
        <f>"603993"</f>
        <v>603993</v>
      </c>
      <c r="C1598" t="s">
        <v>3506</v>
      </c>
      <c r="D1598" t="s">
        <v>2356</v>
      </c>
      <c r="P1598">
        <v>1125</v>
      </c>
      <c r="Q1598" t="s">
        <v>3507</v>
      </c>
    </row>
    <row r="1599" spans="1:17" x14ac:dyDescent="0.3">
      <c r="A1599" t="s">
        <v>17</v>
      </c>
      <c r="B1599" t="str">
        <f>"603995"</f>
        <v>603995</v>
      </c>
      <c r="C1599" t="s">
        <v>3508</v>
      </c>
      <c r="D1599" t="s">
        <v>281</v>
      </c>
      <c r="P1599">
        <v>128</v>
      </c>
      <c r="Q1599" t="s">
        <v>3509</v>
      </c>
    </row>
    <row r="1600" spans="1:17" x14ac:dyDescent="0.3">
      <c r="A1600" t="s">
        <v>17</v>
      </c>
      <c r="B1600" t="str">
        <f>"603996"</f>
        <v>603996</v>
      </c>
      <c r="C1600" t="s">
        <v>3510</v>
      </c>
      <c r="D1600" t="s">
        <v>3511</v>
      </c>
      <c r="P1600">
        <v>71</v>
      </c>
      <c r="Q1600" t="s">
        <v>3512</v>
      </c>
    </row>
    <row r="1601" spans="1:17" x14ac:dyDescent="0.3">
      <c r="A1601" t="s">
        <v>17</v>
      </c>
      <c r="B1601" t="str">
        <f>"603997"</f>
        <v>603997</v>
      </c>
      <c r="C1601" t="s">
        <v>3513</v>
      </c>
      <c r="D1601" t="s">
        <v>191</v>
      </c>
      <c r="P1601">
        <v>248</v>
      </c>
      <c r="Q1601" t="s">
        <v>3514</v>
      </c>
    </row>
    <row r="1602" spans="1:17" x14ac:dyDescent="0.3">
      <c r="A1602" t="s">
        <v>17</v>
      </c>
      <c r="B1602" t="str">
        <f>"603998"</f>
        <v>603998</v>
      </c>
      <c r="C1602" t="s">
        <v>3515</v>
      </c>
      <c r="D1602" t="s">
        <v>188</v>
      </c>
      <c r="P1602">
        <v>126</v>
      </c>
      <c r="Q1602" t="s">
        <v>3516</v>
      </c>
    </row>
    <row r="1603" spans="1:17" x14ac:dyDescent="0.3">
      <c r="A1603" t="s">
        <v>17</v>
      </c>
      <c r="B1603" t="str">
        <f>"603999"</f>
        <v>603999</v>
      </c>
      <c r="C1603" t="s">
        <v>3517</v>
      </c>
      <c r="D1603" t="s">
        <v>525</v>
      </c>
      <c r="P1603">
        <v>85</v>
      </c>
      <c r="Q1603" t="s">
        <v>3518</v>
      </c>
    </row>
    <row r="1604" spans="1:17" x14ac:dyDescent="0.3">
      <c r="A1604" t="s">
        <v>17</v>
      </c>
      <c r="B1604" t="str">
        <f>"605001"</f>
        <v>605001</v>
      </c>
      <c r="C1604" t="s">
        <v>3519</v>
      </c>
      <c r="D1604" t="s">
        <v>1012</v>
      </c>
      <c r="P1604">
        <v>48</v>
      </c>
      <c r="Q1604" t="s">
        <v>3520</v>
      </c>
    </row>
    <row r="1605" spans="1:17" x14ac:dyDescent="0.3">
      <c r="A1605" t="s">
        <v>17</v>
      </c>
      <c r="B1605" t="str">
        <f>"605003"</f>
        <v>605003</v>
      </c>
      <c r="C1605" t="s">
        <v>3521</v>
      </c>
      <c r="D1605" t="s">
        <v>2874</v>
      </c>
      <c r="P1605">
        <v>75</v>
      </c>
      <c r="Q1605" t="s">
        <v>3522</v>
      </c>
    </row>
    <row r="1606" spans="1:17" x14ac:dyDescent="0.3">
      <c r="A1606" t="s">
        <v>17</v>
      </c>
      <c r="B1606" t="str">
        <f>"605005"</f>
        <v>605005</v>
      </c>
      <c r="C1606" t="s">
        <v>3523</v>
      </c>
      <c r="D1606" t="s">
        <v>1415</v>
      </c>
      <c r="P1606">
        <v>62</v>
      </c>
      <c r="Q1606" t="s">
        <v>3524</v>
      </c>
    </row>
    <row r="1607" spans="1:17" x14ac:dyDescent="0.3">
      <c r="A1607" t="s">
        <v>17</v>
      </c>
      <c r="B1607" t="str">
        <f>"605006"</f>
        <v>605006</v>
      </c>
      <c r="C1607" t="s">
        <v>3525</v>
      </c>
      <c r="D1607" t="s">
        <v>411</v>
      </c>
      <c r="P1607">
        <v>121</v>
      </c>
      <c r="Q1607" t="s">
        <v>3526</v>
      </c>
    </row>
    <row r="1608" spans="1:17" x14ac:dyDescent="0.3">
      <c r="A1608" t="s">
        <v>17</v>
      </c>
      <c r="B1608" t="str">
        <f>"605007"</f>
        <v>605007</v>
      </c>
      <c r="C1608" t="s">
        <v>3527</v>
      </c>
      <c r="D1608" t="s">
        <v>244</v>
      </c>
      <c r="P1608">
        <v>81</v>
      </c>
      <c r="Q1608" t="s">
        <v>3528</v>
      </c>
    </row>
    <row r="1609" spans="1:17" x14ac:dyDescent="0.3">
      <c r="A1609" t="s">
        <v>17</v>
      </c>
      <c r="B1609" t="str">
        <f>"605008"</f>
        <v>605008</v>
      </c>
      <c r="C1609" t="s">
        <v>3529</v>
      </c>
      <c r="D1609" t="s">
        <v>1192</v>
      </c>
      <c r="P1609">
        <v>66</v>
      </c>
      <c r="Q1609" t="s">
        <v>3530</v>
      </c>
    </row>
    <row r="1610" spans="1:17" x14ac:dyDescent="0.3">
      <c r="A1610" t="s">
        <v>17</v>
      </c>
      <c r="B1610" t="str">
        <f>"605009"</f>
        <v>605009</v>
      </c>
      <c r="C1610" t="s">
        <v>3531</v>
      </c>
      <c r="D1610" t="s">
        <v>2740</v>
      </c>
      <c r="P1610">
        <v>355</v>
      </c>
      <c r="Q1610" t="s">
        <v>3532</v>
      </c>
    </row>
    <row r="1611" spans="1:17" x14ac:dyDescent="0.3">
      <c r="A1611" t="s">
        <v>17</v>
      </c>
      <c r="B1611" t="str">
        <f>"605011"</f>
        <v>605011</v>
      </c>
      <c r="C1611" t="s">
        <v>3533</v>
      </c>
      <c r="D1611" t="s">
        <v>351</v>
      </c>
      <c r="P1611">
        <v>27</v>
      </c>
      <c r="Q1611" t="s">
        <v>3534</v>
      </c>
    </row>
    <row r="1612" spans="1:17" x14ac:dyDescent="0.3">
      <c r="A1612" t="s">
        <v>17</v>
      </c>
      <c r="B1612" t="str">
        <f>"605016"</f>
        <v>605016</v>
      </c>
      <c r="C1612" t="s">
        <v>3535</v>
      </c>
      <c r="D1612" t="s">
        <v>677</v>
      </c>
      <c r="P1612">
        <v>65</v>
      </c>
      <c r="Q1612" t="s">
        <v>3536</v>
      </c>
    </row>
    <row r="1613" spans="1:17" x14ac:dyDescent="0.3">
      <c r="A1613" t="s">
        <v>17</v>
      </c>
      <c r="B1613" t="str">
        <f>"605018"</f>
        <v>605018</v>
      </c>
      <c r="C1613" t="s">
        <v>3537</v>
      </c>
      <c r="D1613" t="s">
        <v>985</v>
      </c>
      <c r="P1613">
        <v>48</v>
      </c>
      <c r="Q1613" t="s">
        <v>3538</v>
      </c>
    </row>
    <row r="1614" spans="1:17" x14ac:dyDescent="0.3">
      <c r="A1614" t="s">
        <v>17</v>
      </c>
      <c r="B1614" t="str">
        <f>"605020"</f>
        <v>605020</v>
      </c>
      <c r="C1614" t="s">
        <v>3539</v>
      </c>
      <c r="D1614" t="s">
        <v>375</v>
      </c>
      <c r="P1614">
        <v>33</v>
      </c>
      <c r="Q1614" t="s">
        <v>3540</v>
      </c>
    </row>
    <row r="1615" spans="1:17" x14ac:dyDescent="0.3">
      <c r="A1615" t="s">
        <v>17</v>
      </c>
      <c r="B1615" t="str">
        <f>"605028"</f>
        <v>605028</v>
      </c>
      <c r="C1615" t="s">
        <v>3541</v>
      </c>
      <c r="D1615" t="s">
        <v>351</v>
      </c>
      <c r="P1615">
        <v>46</v>
      </c>
      <c r="Q1615" t="s">
        <v>3542</v>
      </c>
    </row>
    <row r="1616" spans="1:17" x14ac:dyDescent="0.3">
      <c r="A1616" t="s">
        <v>17</v>
      </c>
      <c r="B1616" t="str">
        <f>"605033"</f>
        <v>605033</v>
      </c>
      <c r="C1616" t="s">
        <v>3543</v>
      </c>
      <c r="D1616" t="s">
        <v>853</v>
      </c>
      <c r="P1616">
        <v>14</v>
      </c>
      <c r="Q1616" t="s">
        <v>3544</v>
      </c>
    </row>
    <row r="1617" spans="1:17" x14ac:dyDescent="0.3">
      <c r="A1617" t="s">
        <v>17</v>
      </c>
      <c r="B1617" t="str">
        <f>"605050"</f>
        <v>605050</v>
      </c>
      <c r="C1617" t="s">
        <v>3545</v>
      </c>
      <c r="D1617" t="s">
        <v>128</v>
      </c>
      <c r="P1617">
        <v>37</v>
      </c>
      <c r="Q1617" t="s">
        <v>3546</v>
      </c>
    </row>
    <row r="1618" spans="1:17" x14ac:dyDescent="0.3">
      <c r="A1618" t="s">
        <v>17</v>
      </c>
      <c r="B1618" t="str">
        <f>"605055"</f>
        <v>605055</v>
      </c>
      <c r="C1618" t="s">
        <v>3547</v>
      </c>
      <c r="D1618" t="s">
        <v>817</v>
      </c>
      <c r="P1618">
        <v>38</v>
      </c>
      <c r="Q1618" t="s">
        <v>3548</v>
      </c>
    </row>
    <row r="1619" spans="1:17" x14ac:dyDescent="0.3">
      <c r="A1619" t="s">
        <v>17</v>
      </c>
      <c r="B1619" t="str">
        <f>"605056"</f>
        <v>605056</v>
      </c>
      <c r="C1619" t="s">
        <v>3549</v>
      </c>
      <c r="D1619" t="s">
        <v>2557</v>
      </c>
      <c r="P1619">
        <v>21</v>
      </c>
      <c r="Q1619" t="s">
        <v>3550</v>
      </c>
    </row>
    <row r="1620" spans="1:17" x14ac:dyDescent="0.3">
      <c r="A1620" t="s">
        <v>17</v>
      </c>
      <c r="B1620" t="str">
        <f>"605058"</f>
        <v>605058</v>
      </c>
      <c r="C1620" t="s">
        <v>3551</v>
      </c>
      <c r="D1620" t="s">
        <v>425</v>
      </c>
      <c r="P1620">
        <v>48</v>
      </c>
      <c r="Q1620" t="s">
        <v>3552</v>
      </c>
    </row>
    <row r="1621" spans="1:17" x14ac:dyDescent="0.3">
      <c r="A1621" t="s">
        <v>17</v>
      </c>
      <c r="B1621" t="str">
        <f>"605060"</f>
        <v>605060</v>
      </c>
      <c r="C1621" t="s">
        <v>3553</v>
      </c>
      <c r="D1621" t="s">
        <v>560</v>
      </c>
      <c r="P1621">
        <v>43</v>
      </c>
      <c r="Q1621" t="s">
        <v>3554</v>
      </c>
    </row>
    <row r="1622" spans="1:17" x14ac:dyDescent="0.3">
      <c r="A1622" t="s">
        <v>17</v>
      </c>
      <c r="B1622" t="str">
        <f>"605066"</f>
        <v>605066</v>
      </c>
      <c r="C1622" t="s">
        <v>3555</v>
      </c>
      <c r="D1622" t="s">
        <v>657</v>
      </c>
      <c r="P1622">
        <v>54</v>
      </c>
      <c r="Q1622" t="s">
        <v>3556</v>
      </c>
    </row>
    <row r="1623" spans="1:17" x14ac:dyDescent="0.3">
      <c r="A1623" t="s">
        <v>17</v>
      </c>
      <c r="B1623" t="str">
        <f>"605068"</f>
        <v>605068</v>
      </c>
      <c r="C1623" t="s">
        <v>3557</v>
      </c>
      <c r="D1623" t="s">
        <v>191</v>
      </c>
      <c r="P1623">
        <v>89</v>
      </c>
      <c r="Q1623" t="s">
        <v>3558</v>
      </c>
    </row>
    <row r="1624" spans="1:17" x14ac:dyDescent="0.3">
      <c r="A1624" t="s">
        <v>17</v>
      </c>
      <c r="B1624" t="str">
        <f>"605069"</f>
        <v>605069</v>
      </c>
      <c r="C1624" t="s">
        <v>3559</v>
      </c>
      <c r="D1624" t="s">
        <v>3560</v>
      </c>
      <c r="P1624">
        <v>16</v>
      </c>
      <c r="Q1624" t="s">
        <v>3561</v>
      </c>
    </row>
    <row r="1625" spans="1:17" x14ac:dyDescent="0.3">
      <c r="A1625" t="s">
        <v>17</v>
      </c>
      <c r="B1625" t="str">
        <f>"605077"</f>
        <v>605077</v>
      </c>
      <c r="C1625" t="s">
        <v>3562</v>
      </c>
      <c r="D1625" t="s">
        <v>677</v>
      </c>
      <c r="P1625">
        <v>88</v>
      </c>
      <c r="Q1625" t="s">
        <v>3563</v>
      </c>
    </row>
    <row r="1626" spans="1:17" x14ac:dyDescent="0.3">
      <c r="A1626" t="s">
        <v>17</v>
      </c>
      <c r="B1626" t="str">
        <f>"605080"</f>
        <v>605080</v>
      </c>
      <c r="C1626" t="s">
        <v>3564</v>
      </c>
      <c r="D1626" t="s">
        <v>2916</v>
      </c>
      <c r="P1626">
        <v>47</v>
      </c>
      <c r="Q1626" t="s">
        <v>3565</v>
      </c>
    </row>
    <row r="1627" spans="1:17" x14ac:dyDescent="0.3">
      <c r="A1627" t="s">
        <v>17</v>
      </c>
      <c r="B1627" t="str">
        <f>"605081"</f>
        <v>605081</v>
      </c>
      <c r="C1627" t="s">
        <v>3566</v>
      </c>
      <c r="D1627" t="s">
        <v>33</v>
      </c>
      <c r="P1627">
        <v>30</v>
      </c>
      <c r="Q1627" t="s">
        <v>3567</v>
      </c>
    </row>
    <row r="1628" spans="1:17" x14ac:dyDescent="0.3">
      <c r="A1628" t="s">
        <v>17</v>
      </c>
      <c r="B1628" t="str">
        <f>"605086"</f>
        <v>605086</v>
      </c>
      <c r="C1628" t="s">
        <v>3568</v>
      </c>
      <c r="D1628" t="s">
        <v>2751</v>
      </c>
      <c r="P1628">
        <v>29</v>
      </c>
      <c r="Q1628" t="s">
        <v>3569</v>
      </c>
    </row>
    <row r="1629" spans="1:17" x14ac:dyDescent="0.3">
      <c r="A1629" t="s">
        <v>17</v>
      </c>
      <c r="B1629" t="str">
        <f>"605088"</f>
        <v>605088</v>
      </c>
      <c r="C1629" t="s">
        <v>3570</v>
      </c>
      <c r="D1629" t="s">
        <v>348</v>
      </c>
      <c r="P1629">
        <v>47</v>
      </c>
      <c r="Q1629" t="s">
        <v>3571</v>
      </c>
    </row>
    <row r="1630" spans="1:17" x14ac:dyDescent="0.3">
      <c r="A1630" t="s">
        <v>17</v>
      </c>
      <c r="B1630" t="str">
        <f>"605089"</f>
        <v>605089</v>
      </c>
      <c r="C1630" t="s">
        <v>3572</v>
      </c>
      <c r="D1630" t="s">
        <v>2850</v>
      </c>
      <c r="P1630">
        <v>131</v>
      </c>
      <c r="Q1630" t="s">
        <v>3573</v>
      </c>
    </row>
    <row r="1631" spans="1:17" x14ac:dyDescent="0.3">
      <c r="A1631" t="s">
        <v>17</v>
      </c>
      <c r="B1631" t="str">
        <f>"605090"</f>
        <v>605090</v>
      </c>
      <c r="C1631" t="s">
        <v>3574</v>
      </c>
      <c r="D1631" t="s">
        <v>749</v>
      </c>
      <c r="P1631">
        <v>51</v>
      </c>
      <c r="Q1631" t="s">
        <v>3575</v>
      </c>
    </row>
    <row r="1632" spans="1:17" x14ac:dyDescent="0.3">
      <c r="A1632" t="s">
        <v>17</v>
      </c>
      <c r="B1632" t="str">
        <f>"605098"</f>
        <v>605098</v>
      </c>
      <c r="C1632" t="s">
        <v>3576</v>
      </c>
      <c r="D1632" t="s">
        <v>1336</v>
      </c>
      <c r="P1632">
        <v>53</v>
      </c>
      <c r="Q1632" t="s">
        <v>3577</v>
      </c>
    </row>
    <row r="1633" spans="1:17" x14ac:dyDescent="0.3">
      <c r="A1633" t="s">
        <v>17</v>
      </c>
      <c r="B1633" t="str">
        <f>"605099"</f>
        <v>605099</v>
      </c>
      <c r="C1633" t="s">
        <v>3578</v>
      </c>
      <c r="D1633" t="s">
        <v>2438</v>
      </c>
      <c r="P1633">
        <v>166</v>
      </c>
      <c r="Q1633" t="s">
        <v>3579</v>
      </c>
    </row>
    <row r="1634" spans="1:17" x14ac:dyDescent="0.3">
      <c r="A1634" t="s">
        <v>17</v>
      </c>
      <c r="B1634" t="str">
        <f>"605100"</f>
        <v>605100</v>
      </c>
      <c r="C1634" t="s">
        <v>3580</v>
      </c>
      <c r="D1634" t="s">
        <v>274</v>
      </c>
      <c r="P1634">
        <v>60</v>
      </c>
      <c r="Q1634" t="s">
        <v>3581</v>
      </c>
    </row>
    <row r="1635" spans="1:17" x14ac:dyDescent="0.3">
      <c r="A1635" t="s">
        <v>17</v>
      </c>
      <c r="B1635" t="str">
        <f>"605108"</f>
        <v>605108</v>
      </c>
      <c r="C1635" t="s">
        <v>3582</v>
      </c>
      <c r="D1635" t="s">
        <v>3583</v>
      </c>
      <c r="P1635">
        <v>104</v>
      </c>
      <c r="Q1635" t="s">
        <v>3584</v>
      </c>
    </row>
    <row r="1636" spans="1:17" x14ac:dyDescent="0.3">
      <c r="A1636" t="s">
        <v>17</v>
      </c>
      <c r="B1636" t="str">
        <f>"605111"</f>
        <v>605111</v>
      </c>
      <c r="C1636" t="s">
        <v>3585</v>
      </c>
      <c r="D1636" t="s">
        <v>795</v>
      </c>
      <c r="P1636">
        <v>332</v>
      </c>
      <c r="Q1636" t="s">
        <v>3586</v>
      </c>
    </row>
    <row r="1637" spans="1:17" x14ac:dyDescent="0.3">
      <c r="A1637" t="s">
        <v>17</v>
      </c>
      <c r="B1637" t="str">
        <f>"605116"</f>
        <v>605116</v>
      </c>
      <c r="C1637" t="s">
        <v>3587</v>
      </c>
      <c r="D1637" t="s">
        <v>496</v>
      </c>
      <c r="P1637">
        <v>81</v>
      </c>
      <c r="Q1637" t="s">
        <v>3588</v>
      </c>
    </row>
    <row r="1638" spans="1:17" x14ac:dyDescent="0.3">
      <c r="A1638" t="s">
        <v>17</v>
      </c>
      <c r="B1638" t="str">
        <f>"605117"</f>
        <v>605117</v>
      </c>
      <c r="C1638" t="s">
        <v>3589</v>
      </c>
      <c r="D1638" t="s">
        <v>1253</v>
      </c>
      <c r="P1638">
        <v>141</v>
      </c>
      <c r="Q1638" t="s">
        <v>3590</v>
      </c>
    </row>
    <row r="1639" spans="1:17" x14ac:dyDescent="0.3">
      <c r="A1639" t="s">
        <v>17</v>
      </c>
      <c r="B1639" t="str">
        <f>"605118"</f>
        <v>605118</v>
      </c>
      <c r="C1639" t="s">
        <v>3591</v>
      </c>
      <c r="D1639" t="s">
        <v>2965</v>
      </c>
      <c r="P1639">
        <v>114</v>
      </c>
      <c r="Q1639" t="s">
        <v>3592</v>
      </c>
    </row>
    <row r="1640" spans="1:17" x14ac:dyDescent="0.3">
      <c r="A1640" t="s">
        <v>17</v>
      </c>
      <c r="B1640" t="str">
        <f>"605122"</f>
        <v>605122</v>
      </c>
      <c r="C1640" t="s">
        <v>3593</v>
      </c>
      <c r="D1640" t="s">
        <v>3083</v>
      </c>
      <c r="P1640">
        <v>36</v>
      </c>
      <c r="Q1640" t="s">
        <v>3594</v>
      </c>
    </row>
    <row r="1641" spans="1:17" x14ac:dyDescent="0.3">
      <c r="A1641" t="s">
        <v>17</v>
      </c>
      <c r="B1641" t="str">
        <f>"605123"</f>
        <v>605123</v>
      </c>
      <c r="C1641" t="s">
        <v>3595</v>
      </c>
      <c r="D1641" t="s">
        <v>98</v>
      </c>
      <c r="P1641">
        <v>143</v>
      </c>
      <c r="Q1641" t="s">
        <v>3596</v>
      </c>
    </row>
    <row r="1642" spans="1:17" x14ac:dyDescent="0.3">
      <c r="A1642" t="s">
        <v>17</v>
      </c>
      <c r="B1642" t="str">
        <f>"605128"</f>
        <v>605128</v>
      </c>
      <c r="C1642" t="s">
        <v>3597</v>
      </c>
      <c r="D1642" t="s">
        <v>191</v>
      </c>
      <c r="P1642">
        <v>53</v>
      </c>
      <c r="Q1642" t="s">
        <v>3598</v>
      </c>
    </row>
    <row r="1643" spans="1:17" x14ac:dyDescent="0.3">
      <c r="A1643" t="s">
        <v>17</v>
      </c>
      <c r="B1643" t="str">
        <f>"605133"</f>
        <v>605133</v>
      </c>
      <c r="C1643" t="s">
        <v>3599</v>
      </c>
      <c r="D1643" t="s">
        <v>348</v>
      </c>
      <c r="P1643">
        <v>36</v>
      </c>
      <c r="Q1643" t="s">
        <v>3600</v>
      </c>
    </row>
    <row r="1644" spans="1:17" x14ac:dyDescent="0.3">
      <c r="A1644" t="s">
        <v>17</v>
      </c>
      <c r="B1644" t="str">
        <f>"605136"</f>
        <v>605136</v>
      </c>
      <c r="C1644" t="s">
        <v>3601</v>
      </c>
      <c r="D1644" t="s">
        <v>3602</v>
      </c>
      <c r="P1644">
        <v>99</v>
      </c>
      <c r="Q1644" t="s">
        <v>3603</v>
      </c>
    </row>
    <row r="1645" spans="1:17" x14ac:dyDescent="0.3">
      <c r="A1645" t="s">
        <v>17</v>
      </c>
      <c r="B1645" t="str">
        <f>"605138"</f>
        <v>605138</v>
      </c>
      <c r="C1645" t="s">
        <v>3604</v>
      </c>
      <c r="D1645" t="s">
        <v>255</v>
      </c>
      <c r="P1645">
        <v>27</v>
      </c>
      <c r="Q1645" t="s">
        <v>3605</v>
      </c>
    </row>
    <row r="1646" spans="1:17" x14ac:dyDescent="0.3">
      <c r="A1646" t="s">
        <v>17</v>
      </c>
      <c r="B1646" t="str">
        <f>"605151"</f>
        <v>605151</v>
      </c>
      <c r="C1646" t="s">
        <v>3606</v>
      </c>
      <c r="D1646" t="s">
        <v>2361</v>
      </c>
      <c r="P1646">
        <v>55</v>
      </c>
      <c r="Q1646" t="s">
        <v>3607</v>
      </c>
    </row>
    <row r="1647" spans="1:17" x14ac:dyDescent="0.3">
      <c r="A1647" t="s">
        <v>17</v>
      </c>
      <c r="B1647" t="str">
        <f>"605155"</f>
        <v>605155</v>
      </c>
      <c r="C1647" t="s">
        <v>3608</v>
      </c>
      <c r="D1647" t="s">
        <v>2438</v>
      </c>
      <c r="P1647">
        <v>45</v>
      </c>
      <c r="Q1647" t="s">
        <v>3609</v>
      </c>
    </row>
    <row r="1648" spans="1:17" x14ac:dyDescent="0.3">
      <c r="A1648" t="s">
        <v>17</v>
      </c>
      <c r="B1648" t="str">
        <f>"605158"</f>
        <v>605158</v>
      </c>
      <c r="C1648" t="s">
        <v>3610</v>
      </c>
      <c r="D1648" t="s">
        <v>38</v>
      </c>
      <c r="P1648">
        <v>91</v>
      </c>
      <c r="Q1648" t="s">
        <v>3611</v>
      </c>
    </row>
    <row r="1649" spans="1:17" x14ac:dyDescent="0.3">
      <c r="A1649" t="s">
        <v>17</v>
      </c>
      <c r="B1649" t="str">
        <f>"605162"</f>
        <v>605162</v>
      </c>
      <c r="C1649" t="s">
        <v>3612</v>
      </c>
      <c r="D1649" t="s">
        <v>351</v>
      </c>
      <c r="P1649">
        <v>27</v>
      </c>
      <c r="Q1649" t="s">
        <v>3613</v>
      </c>
    </row>
    <row r="1650" spans="1:17" x14ac:dyDescent="0.3">
      <c r="A1650" t="s">
        <v>17</v>
      </c>
      <c r="B1650" t="str">
        <f>"605166"</f>
        <v>605166</v>
      </c>
      <c r="C1650" t="s">
        <v>3614</v>
      </c>
      <c r="D1650" t="s">
        <v>1636</v>
      </c>
      <c r="P1650">
        <v>68</v>
      </c>
      <c r="Q1650" t="s">
        <v>3615</v>
      </c>
    </row>
    <row r="1651" spans="1:17" x14ac:dyDescent="0.3">
      <c r="A1651" t="s">
        <v>17</v>
      </c>
      <c r="B1651" t="str">
        <f>"605167"</f>
        <v>605167</v>
      </c>
      <c r="C1651" t="s">
        <v>3616</v>
      </c>
      <c r="D1651" t="s">
        <v>2021</v>
      </c>
      <c r="P1651">
        <v>22</v>
      </c>
      <c r="Q1651" t="s">
        <v>3617</v>
      </c>
    </row>
    <row r="1652" spans="1:17" x14ac:dyDescent="0.3">
      <c r="A1652" t="s">
        <v>17</v>
      </c>
      <c r="B1652" t="str">
        <f>"605168"</f>
        <v>605168</v>
      </c>
      <c r="C1652" t="s">
        <v>3618</v>
      </c>
      <c r="D1652" t="s">
        <v>207</v>
      </c>
      <c r="P1652">
        <v>317</v>
      </c>
      <c r="Q1652" t="s">
        <v>3619</v>
      </c>
    </row>
    <row r="1653" spans="1:17" x14ac:dyDescent="0.3">
      <c r="A1653" t="s">
        <v>17</v>
      </c>
      <c r="B1653" t="str">
        <f>"605169"</f>
        <v>605169</v>
      </c>
      <c r="C1653" t="s">
        <v>3620</v>
      </c>
      <c r="D1653" t="s">
        <v>749</v>
      </c>
      <c r="P1653">
        <v>62</v>
      </c>
      <c r="Q1653" t="s">
        <v>3621</v>
      </c>
    </row>
    <row r="1654" spans="1:17" x14ac:dyDescent="0.3">
      <c r="A1654" t="s">
        <v>17</v>
      </c>
      <c r="B1654" t="str">
        <f>"605177"</f>
        <v>605177</v>
      </c>
      <c r="C1654" t="s">
        <v>3622</v>
      </c>
      <c r="D1654" t="s">
        <v>496</v>
      </c>
      <c r="P1654">
        <v>38</v>
      </c>
      <c r="Q1654" t="s">
        <v>3623</v>
      </c>
    </row>
    <row r="1655" spans="1:17" x14ac:dyDescent="0.3">
      <c r="A1655" t="s">
        <v>17</v>
      </c>
      <c r="B1655" t="str">
        <f>"605178"</f>
        <v>605178</v>
      </c>
      <c r="C1655" t="s">
        <v>3624</v>
      </c>
      <c r="D1655" t="s">
        <v>450</v>
      </c>
      <c r="P1655">
        <v>49</v>
      </c>
      <c r="Q1655" t="s">
        <v>3625</v>
      </c>
    </row>
    <row r="1656" spans="1:17" x14ac:dyDescent="0.3">
      <c r="A1656" t="s">
        <v>17</v>
      </c>
      <c r="B1656" t="str">
        <f>"605179"</f>
        <v>605179</v>
      </c>
      <c r="C1656" t="s">
        <v>3626</v>
      </c>
      <c r="D1656" t="s">
        <v>900</v>
      </c>
      <c r="P1656">
        <v>84</v>
      </c>
      <c r="Q1656" t="s">
        <v>3627</v>
      </c>
    </row>
    <row r="1657" spans="1:17" x14ac:dyDescent="0.3">
      <c r="A1657" t="s">
        <v>17</v>
      </c>
      <c r="B1657" t="str">
        <f>"605180"</f>
        <v>605180</v>
      </c>
      <c r="C1657" t="s">
        <v>3628</v>
      </c>
      <c r="D1657" t="s">
        <v>366</v>
      </c>
      <c r="P1657">
        <v>40</v>
      </c>
      <c r="Q1657" t="s">
        <v>3629</v>
      </c>
    </row>
    <row r="1658" spans="1:17" x14ac:dyDescent="0.3">
      <c r="A1658" t="s">
        <v>17</v>
      </c>
      <c r="B1658" t="str">
        <f>"605183"</f>
        <v>605183</v>
      </c>
      <c r="C1658" t="s">
        <v>3630</v>
      </c>
      <c r="D1658" t="s">
        <v>3631</v>
      </c>
      <c r="P1658">
        <v>63</v>
      </c>
      <c r="Q1658" t="s">
        <v>3632</v>
      </c>
    </row>
    <row r="1659" spans="1:17" x14ac:dyDescent="0.3">
      <c r="A1659" t="s">
        <v>17</v>
      </c>
      <c r="B1659" t="str">
        <f>"605186"</f>
        <v>605186</v>
      </c>
      <c r="C1659" t="s">
        <v>3633</v>
      </c>
      <c r="D1659" t="s">
        <v>3462</v>
      </c>
      <c r="P1659">
        <v>47</v>
      </c>
      <c r="Q1659" t="s">
        <v>3634</v>
      </c>
    </row>
    <row r="1660" spans="1:17" x14ac:dyDescent="0.3">
      <c r="A1660" t="s">
        <v>17</v>
      </c>
      <c r="B1660" t="str">
        <f>"605188"</f>
        <v>605188</v>
      </c>
      <c r="C1660" t="s">
        <v>3635</v>
      </c>
      <c r="D1660" t="s">
        <v>798</v>
      </c>
      <c r="P1660">
        <v>43</v>
      </c>
      <c r="Q1660" t="s">
        <v>3636</v>
      </c>
    </row>
    <row r="1661" spans="1:17" x14ac:dyDescent="0.3">
      <c r="A1661" t="s">
        <v>17</v>
      </c>
      <c r="B1661" t="str">
        <f>"605189"</f>
        <v>605189</v>
      </c>
      <c r="C1661" t="s">
        <v>3637</v>
      </c>
      <c r="D1661" t="s">
        <v>817</v>
      </c>
      <c r="P1661">
        <v>44</v>
      </c>
      <c r="Q1661" t="s">
        <v>3638</v>
      </c>
    </row>
    <row r="1662" spans="1:17" x14ac:dyDescent="0.3">
      <c r="A1662" t="s">
        <v>17</v>
      </c>
      <c r="B1662" t="str">
        <f>"605196"</f>
        <v>605196</v>
      </c>
      <c r="C1662" t="s">
        <v>3639</v>
      </c>
      <c r="D1662" t="s">
        <v>1164</v>
      </c>
      <c r="P1662">
        <v>27</v>
      </c>
      <c r="Q1662" t="s">
        <v>3640</v>
      </c>
    </row>
    <row r="1663" spans="1:17" x14ac:dyDescent="0.3">
      <c r="A1663" t="s">
        <v>17</v>
      </c>
      <c r="B1663" t="str">
        <f>"605198"</f>
        <v>605198</v>
      </c>
      <c r="C1663" t="s">
        <v>3641</v>
      </c>
      <c r="D1663" t="s">
        <v>574</v>
      </c>
      <c r="P1663">
        <v>47</v>
      </c>
      <c r="Q1663" t="s">
        <v>3642</v>
      </c>
    </row>
    <row r="1664" spans="1:17" x14ac:dyDescent="0.3">
      <c r="A1664" t="s">
        <v>17</v>
      </c>
      <c r="B1664" t="str">
        <f>"605199"</f>
        <v>605199</v>
      </c>
      <c r="C1664" t="s">
        <v>3643</v>
      </c>
      <c r="D1664" t="s">
        <v>188</v>
      </c>
      <c r="P1664">
        <v>136</v>
      </c>
      <c r="Q1664" t="s">
        <v>3644</v>
      </c>
    </row>
    <row r="1665" spans="1:17" x14ac:dyDescent="0.3">
      <c r="A1665" t="s">
        <v>17</v>
      </c>
      <c r="B1665" t="str">
        <f>"605208"</f>
        <v>605208</v>
      </c>
      <c r="C1665" t="s">
        <v>3645</v>
      </c>
      <c r="D1665" t="s">
        <v>504</v>
      </c>
      <c r="P1665">
        <v>40</v>
      </c>
      <c r="Q1665" t="s">
        <v>3646</v>
      </c>
    </row>
    <row r="1666" spans="1:17" x14ac:dyDescent="0.3">
      <c r="A1666" t="s">
        <v>17</v>
      </c>
      <c r="B1666" t="str">
        <f>"605218"</f>
        <v>605218</v>
      </c>
      <c r="C1666" t="s">
        <v>3647</v>
      </c>
      <c r="D1666" t="s">
        <v>1117</v>
      </c>
      <c r="P1666">
        <v>56</v>
      </c>
      <c r="Q1666" t="s">
        <v>3648</v>
      </c>
    </row>
    <row r="1667" spans="1:17" x14ac:dyDescent="0.3">
      <c r="A1667" t="s">
        <v>17</v>
      </c>
      <c r="B1667" t="str">
        <f>"605222"</f>
        <v>605222</v>
      </c>
      <c r="C1667" t="s">
        <v>3649</v>
      </c>
      <c r="D1667" t="s">
        <v>1164</v>
      </c>
      <c r="P1667">
        <v>110</v>
      </c>
      <c r="Q1667" t="s">
        <v>3650</v>
      </c>
    </row>
    <row r="1668" spans="1:17" x14ac:dyDescent="0.3">
      <c r="A1668" t="s">
        <v>17</v>
      </c>
      <c r="B1668" t="str">
        <f>"605228"</f>
        <v>605228</v>
      </c>
      <c r="C1668" t="s">
        <v>3651</v>
      </c>
      <c r="D1668" t="s">
        <v>191</v>
      </c>
      <c r="P1668">
        <v>30</v>
      </c>
      <c r="Q1668" t="s">
        <v>3652</v>
      </c>
    </row>
    <row r="1669" spans="1:17" x14ac:dyDescent="0.3">
      <c r="A1669" t="s">
        <v>17</v>
      </c>
      <c r="B1669" t="str">
        <f>"605255"</f>
        <v>605255</v>
      </c>
      <c r="C1669" t="s">
        <v>3653</v>
      </c>
      <c r="D1669" t="s">
        <v>348</v>
      </c>
      <c r="P1669">
        <v>51</v>
      </c>
      <c r="Q1669" t="s">
        <v>3654</v>
      </c>
    </row>
    <row r="1670" spans="1:17" x14ac:dyDescent="0.3">
      <c r="A1670" t="s">
        <v>17</v>
      </c>
      <c r="B1670" t="str">
        <f>"605258"</f>
        <v>605258</v>
      </c>
      <c r="C1670" t="s">
        <v>3655</v>
      </c>
      <c r="D1670" t="s">
        <v>425</v>
      </c>
      <c r="P1670">
        <v>51</v>
      </c>
      <c r="Q1670" t="s">
        <v>3656</v>
      </c>
    </row>
    <row r="1671" spans="1:17" x14ac:dyDescent="0.3">
      <c r="A1671" t="s">
        <v>17</v>
      </c>
      <c r="B1671" t="str">
        <f>"605259"</f>
        <v>605259</v>
      </c>
      <c r="C1671" t="s">
        <v>3657</v>
      </c>
      <c r="D1671" t="s">
        <v>741</v>
      </c>
      <c r="P1671">
        <v>17</v>
      </c>
      <c r="Q1671" t="s">
        <v>3658</v>
      </c>
    </row>
    <row r="1672" spans="1:17" x14ac:dyDescent="0.3">
      <c r="A1672" t="s">
        <v>17</v>
      </c>
      <c r="B1672" t="str">
        <f>"605266"</f>
        <v>605266</v>
      </c>
      <c r="C1672" t="s">
        <v>3659</v>
      </c>
      <c r="D1672" t="s">
        <v>1684</v>
      </c>
      <c r="P1672">
        <v>105</v>
      </c>
      <c r="Q1672" t="s">
        <v>3660</v>
      </c>
    </row>
    <row r="1673" spans="1:17" x14ac:dyDescent="0.3">
      <c r="A1673" t="s">
        <v>17</v>
      </c>
      <c r="B1673" t="str">
        <f>"605268"</f>
        <v>605268</v>
      </c>
      <c r="C1673" t="s">
        <v>3661</v>
      </c>
      <c r="D1673" t="s">
        <v>2655</v>
      </c>
      <c r="P1673">
        <v>60</v>
      </c>
      <c r="Q1673" t="s">
        <v>3662</v>
      </c>
    </row>
    <row r="1674" spans="1:17" x14ac:dyDescent="0.3">
      <c r="A1674" t="s">
        <v>17</v>
      </c>
      <c r="B1674" t="str">
        <f>"605277"</f>
        <v>605277</v>
      </c>
      <c r="C1674" t="s">
        <v>3663</v>
      </c>
      <c r="D1674" t="s">
        <v>313</v>
      </c>
      <c r="P1674">
        <v>68</v>
      </c>
      <c r="Q1674" t="s">
        <v>3664</v>
      </c>
    </row>
    <row r="1675" spans="1:17" x14ac:dyDescent="0.3">
      <c r="A1675" t="s">
        <v>17</v>
      </c>
      <c r="B1675" t="str">
        <f>"605286"</f>
        <v>605286</v>
      </c>
      <c r="C1675" t="s">
        <v>3665</v>
      </c>
      <c r="D1675" t="s">
        <v>1689</v>
      </c>
      <c r="P1675">
        <v>27</v>
      </c>
      <c r="Q1675" t="s">
        <v>3666</v>
      </c>
    </row>
    <row r="1676" spans="1:17" x14ac:dyDescent="0.3">
      <c r="A1676" t="s">
        <v>17</v>
      </c>
      <c r="B1676" t="str">
        <f>"605287"</f>
        <v>605287</v>
      </c>
      <c r="C1676" t="s">
        <v>3667</v>
      </c>
      <c r="D1676" t="s">
        <v>450</v>
      </c>
      <c r="P1676">
        <v>21</v>
      </c>
      <c r="Q1676" t="s">
        <v>3668</v>
      </c>
    </row>
    <row r="1677" spans="1:17" x14ac:dyDescent="0.3">
      <c r="A1677" t="s">
        <v>17</v>
      </c>
      <c r="B1677" t="str">
        <f>"605288"</f>
        <v>605288</v>
      </c>
      <c r="C1677" t="s">
        <v>3669</v>
      </c>
      <c r="D1677" t="s">
        <v>2425</v>
      </c>
      <c r="P1677">
        <v>86</v>
      </c>
      <c r="Q1677" t="s">
        <v>3670</v>
      </c>
    </row>
    <row r="1678" spans="1:17" x14ac:dyDescent="0.3">
      <c r="A1678" t="s">
        <v>17</v>
      </c>
      <c r="B1678" t="str">
        <f>"605289"</f>
        <v>605289</v>
      </c>
      <c r="C1678" t="s">
        <v>3671</v>
      </c>
      <c r="D1678" t="s">
        <v>1988</v>
      </c>
      <c r="P1678">
        <v>29</v>
      </c>
      <c r="Q1678" t="s">
        <v>3672</v>
      </c>
    </row>
    <row r="1679" spans="1:17" x14ac:dyDescent="0.3">
      <c r="A1679" t="s">
        <v>17</v>
      </c>
      <c r="B1679" t="str">
        <f>"605296"</f>
        <v>605296</v>
      </c>
      <c r="C1679" t="s">
        <v>3673</v>
      </c>
      <c r="D1679" t="s">
        <v>1896</v>
      </c>
      <c r="P1679">
        <v>59</v>
      </c>
      <c r="Q1679" t="s">
        <v>3674</v>
      </c>
    </row>
    <row r="1680" spans="1:17" x14ac:dyDescent="0.3">
      <c r="A1680" t="s">
        <v>17</v>
      </c>
      <c r="B1680" t="str">
        <f>"605298"</f>
        <v>605298</v>
      </c>
      <c r="C1680" t="s">
        <v>3675</v>
      </c>
      <c r="D1680" t="s">
        <v>1012</v>
      </c>
      <c r="P1680">
        <v>46</v>
      </c>
      <c r="Q1680" t="s">
        <v>3676</v>
      </c>
    </row>
    <row r="1681" spans="1:17" x14ac:dyDescent="0.3">
      <c r="A1681" t="s">
        <v>17</v>
      </c>
      <c r="B1681" t="str">
        <f>"605299"</f>
        <v>605299</v>
      </c>
      <c r="C1681" t="s">
        <v>3677</v>
      </c>
      <c r="D1681" t="s">
        <v>2916</v>
      </c>
      <c r="P1681">
        <v>58</v>
      </c>
      <c r="Q1681" t="s">
        <v>3678</v>
      </c>
    </row>
    <row r="1682" spans="1:17" x14ac:dyDescent="0.3">
      <c r="A1682" t="s">
        <v>17</v>
      </c>
      <c r="B1682" t="str">
        <f>"605300"</f>
        <v>605300</v>
      </c>
      <c r="C1682" t="s">
        <v>3679</v>
      </c>
      <c r="D1682" t="s">
        <v>900</v>
      </c>
      <c r="P1682">
        <v>56</v>
      </c>
      <c r="Q1682" t="s">
        <v>3680</v>
      </c>
    </row>
    <row r="1683" spans="1:17" x14ac:dyDescent="0.3">
      <c r="A1683" t="s">
        <v>17</v>
      </c>
      <c r="B1683" t="str">
        <f>"605303"</f>
        <v>605303</v>
      </c>
      <c r="C1683" t="s">
        <v>3681</v>
      </c>
      <c r="D1683" t="s">
        <v>2410</v>
      </c>
      <c r="P1683">
        <v>28</v>
      </c>
      <c r="Q1683" t="s">
        <v>3682</v>
      </c>
    </row>
    <row r="1684" spans="1:17" x14ac:dyDescent="0.3">
      <c r="A1684" t="s">
        <v>17</v>
      </c>
      <c r="B1684" t="str">
        <f>"605305"</f>
        <v>605305</v>
      </c>
      <c r="C1684" t="s">
        <v>3683</v>
      </c>
      <c r="D1684" t="s">
        <v>83</v>
      </c>
      <c r="P1684">
        <v>81</v>
      </c>
      <c r="Q1684" t="s">
        <v>3684</v>
      </c>
    </row>
    <row r="1685" spans="1:17" x14ac:dyDescent="0.3">
      <c r="A1685" t="s">
        <v>17</v>
      </c>
      <c r="B1685" t="str">
        <f>"605318"</f>
        <v>605318</v>
      </c>
      <c r="C1685" t="s">
        <v>3685</v>
      </c>
      <c r="D1685" t="s">
        <v>722</v>
      </c>
      <c r="P1685">
        <v>58</v>
      </c>
      <c r="Q1685" t="s">
        <v>3686</v>
      </c>
    </row>
    <row r="1686" spans="1:17" x14ac:dyDescent="0.3">
      <c r="A1686" t="s">
        <v>17</v>
      </c>
      <c r="B1686" t="str">
        <f>"605319"</f>
        <v>605319</v>
      </c>
      <c r="C1686" t="s">
        <v>3687</v>
      </c>
      <c r="D1686" t="s">
        <v>985</v>
      </c>
      <c r="P1686">
        <v>22</v>
      </c>
      <c r="Q1686" t="s">
        <v>3688</v>
      </c>
    </row>
    <row r="1687" spans="1:17" x14ac:dyDescent="0.3">
      <c r="A1687" t="s">
        <v>17</v>
      </c>
      <c r="B1687" t="str">
        <f>"605333"</f>
        <v>605333</v>
      </c>
      <c r="C1687" t="s">
        <v>3689</v>
      </c>
      <c r="D1687" t="s">
        <v>1415</v>
      </c>
      <c r="P1687">
        <v>85</v>
      </c>
      <c r="Q1687" t="s">
        <v>3690</v>
      </c>
    </row>
    <row r="1688" spans="1:17" x14ac:dyDescent="0.3">
      <c r="A1688" t="s">
        <v>17</v>
      </c>
      <c r="B1688" t="str">
        <f>"605336"</f>
        <v>605336</v>
      </c>
      <c r="C1688" t="s">
        <v>3691</v>
      </c>
      <c r="D1688" t="s">
        <v>3692</v>
      </c>
      <c r="P1688">
        <v>141</v>
      </c>
      <c r="Q1688" t="s">
        <v>3693</v>
      </c>
    </row>
    <row r="1689" spans="1:17" x14ac:dyDescent="0.3">
      <c r="A1689" t="s">
        <v>17</v>
      </c>
      <c r="B1689" t="str">
        <f>"605337"</f>
        <v>605337</v>
      </c>
      <c r="C1689" t="s">
        <v>3694</v>
      </c>
      <c r="D1689" t="s">
        <v>440</v>
      </c>
      <c r="P1689">
        <v>146</v>
      </c>
      <c r="Q1689" t="s">
        <v>3695</v>
      </c>
    </row>
    <row r="1690" spans="1:17" x14ac:dyDescent="0.3">
      <c r="A1690" t="s">
        <v>17</v>
      </c>
      <c r="B1690" t="str">
        <f>"605338"</f>
        <v>605338</v>
      </c>
      <c r="C1690" t="s">
        <v>3696</v>
      </c>
      <c r="D1690" t="s">
        <v>2850</v>
      </c>
      <c r="P1690">
        <v>198</v>
      </c>
      <c r="Q1690" t="s">
        <v>3697</v>
      </c>
    </row>
    <row r="1691" spans="1:17" x14ac:dyDescent="0.3">
      <c r="A1691" t="s">
        <v>17</v>
      </c>
      <c r="B1691" t="str">
        <f>"605339"</f>
        <v>605339</v>
      </c>
      <c r="C1691" t="s">
        <v>3698</v>
      </c>
      <c r="D1691" t="s">
        <v>2481</v>
      </c>
      <c r="P1691">
        <v>66</v>
      </c>
      <c r="Q1691" t="s">
        <v>3699</v>
      </c>
    </row>
    <row r="1692" spans="1:17" x14ac:dyDescent="0.3">
      <c r="A1692" t="s">
        <v>17</v>
      </c>
      <c r="B1692" t="str">
        <f>"605358"</f>
        <v>605358</v>
      </c>
      <c r="C1692" t="s">
        <v>3700</v>
      </c>
      <c r="D1692" t="s">
        <v>475</v>
      </c>
      <c r="P1692">
        <v>289</v>
      </c>
      <c r="Q1692" t="s">
        <v>3701</v>
      </c>
    </row>
    <row r="1693" spans="1:17" x14ac:dyDescent="0.3">
      <c r="A1693" t="s">
        <v>17</v>
      </c>
      <c r="B1693" t="str">
        <f>"605365"</f>
        <v>605365</v>
      </c>
      <c r="C1693" t="s">
        <v>3702</v>
      </c>
      <c r="D1693" t="s">
        <v>598</v>
      </c>
      <c r="P1693">
        <v>28</v>
      </c>
      <c r="Q1693" t="s">
        <v>3703</v>
      </c>
    </row>
    <row r="1694" spans="1:17" x14ac:dyDescent="0.3">
      <c r="A1694" t="s">
        <v>17</v>
      </c>
      <c r="B1694" t="str">
        <f>"605366"</f>
        <v>605366</v>
      </c>
      <c r="C1694" t="s">
        <v>3704</v>
      </c>
      <c r="D1694" t="s">
        <v>386</v>
      </c>
      <c r="P1694">
        <v>59</v>
      </c>
      <c r="Q1694" t="s">
        <v>3705</v>
      </c>
    </row>
    <row r="1695" spans="1:17" x14ac:dyDescent="0.3">
      <c r="A1695" t="s">
        <v>17</v>
      </c>
      <c r="B1695" t="str">
        <f>"605368"</f>
        <v>605368</v>
      </c>
      <c r="C1695" t="s">
        <v>3706</v>
      </c>
      <c r="D1695" t="s">
        <v>749</v>
      </c>
      <c r="P1695">
        <v>60</v>
      </c>
      <c r="Q1695" t="s">
        <v>3707</v>
      </c>
    </row>
    <row r="1696" spans="1:17" x14ac:dyDescent="0.3">
      <c r="A1696" t="s">
        <v>17</v>
      </c>
      <c r="B1696" t="str">
        <f>"605369"</f>
        <v>605369</v>
      </c>
      <c r="C1696" t="s">
        <v>3708</v>
      </c>
      <c r="D1696" t="s">
        <v>1077</v>
      </c>
      <c r="P1696">
        <v>177</v>
      </c>
      <c r="Q1696" t="s">
        <v>3709</v>
      </c>
    </row>
    <row r="1697" spans="1:17" x14ac:dyDescent="0.3">
      <c r="A1697" t="s">
        <v>17</v>
      </c>
      <c r="B1697" t="str">
        <f>"605376"</f>
        <v>605376</v>
      </c>
      <c r="C1697" t="s">
        <v>3710</v>
      </c>
      <c r="D1697" t="s">
        <v>636</v>
      </c>
      <c r="P1697">
        <v>110</v>
      </c>
      <c r="Q1697" t="s">
        <v>3711</v>
      </c>
    </row>
    <row r="1698" spans="1:17" x14ac:dyDescent="0.3">
      <c r="A1698" t="s">
        <v>17</v>
      </c>
      <c r="B1698" t="str">
        <f>"605377"</f>
        <v>605377</v>
      </c>
      <c r="C1698" t="s">
        <v>3712</v>
      </c>
      <c r="D1698" t="s">
        <v>244</v>
      </c>
      <c r="P1698">
        <v>59</v>
      </c>
      <c r="Q1698" t="s">
        <v>3713</v>
      </c>
    </row>
    <row r="1699" spans="1:17" x14ac:dyDescent="0.3">
      <c r="A1699" t="s">
        <v>17</v>
      </c>
      <c r="B1699" t="str">
        <f>"605378"</f>
        <v>605378</v>
      </c>
      <c r="C1699" t="s">
        <v>3714</v>
      </c>
      <c r="D1699" t="s">
        <v>555</v>
      </c>
      <c r="P1699">
        <v>32</v>
      </c>
      <c r="Q1699" t="s">
        <v>3715</v>
      </c>
    </row>
    <row r="1700" spans="1:17" x14ac:dyDescent="0.3">
      <c r="A1700" t="s">
        <v>17</v>
      </c>
      <c r="B1700" t="str">
        <f>"605388"</f>
        <v>605388</v>
      </c>
      <c r="C1700" t="s">
        <v>3716</v>
      </c>
      <c r="D1700" t="s">
        <v>900</v>
      </c>
      <c r="P1700">
        <v>103</v>
      </c>
      <c r="Q1700" t="s">
        <v>3717</v>
      </c>
    </row>
    <row r="1701" spans="1:17" x14ac:dyDescent="0.3">
      <c r="A1701" t="s">
        <v>17</v>
      </c>
      <c r="B1701" t="str">
        <f>"605389"</f>
        <v>605389</v>
      </c>
      <c r="C1701" t="s">
        <v>3718</v>
      </c>
      <c r="D1701" t="s">
        <v>2003</v>
      </c>
      <c r="P1701">
        <v>64</v>
      </c>
      <c r="Q1701" t="s">
        <v>3719</v>
      </c>
    </row>
    <row r="1702" spans="1:17" x14ac:dyDescent="0.3">
      <c r="A1702" t="s">
        <v>17</v>
      </c>
      <c r="B1702" t="str">
        <f>"605398"</f>
        <v>605398</v>
      </c>
      <c r="C1702" t="s">
        <v>3720</v>
      </c>
      <c r="D1702" t="s">
        <v>316</v>
      </c>
      <c r="P1702">
        <v>39</v>
      </c>
      <c r="Q1702" t="s">
        <v>3721</v>
      </c>
    </row>
    <row r="1703" spans="1:17" x14ac:dyDescent="0.3">
      <c r="A1703" t="s">
        <v>17</v>
      </c>
      <c r="B1703" t="str">
        <f>"605399"</f>
        <v>605399</v>
      </c>
      <c r="C1703" t="s">
        <v>3722</v>
      </c>
      <c r="D1703" t="s">
        <v>1205</v>
      </c>
      <c r="P1703">
        <v>126</v>
      </c>
      <c r="Q1703" t="s">
        <v>3723</v>
      </c>
    </row>
    <row r="1704" spans="1:17" x14ac:dyDescent="0.3">
      <c r="A1704" t="s">
        <v>17</v>
      </c>
      <c r="B1704" t="str">
        <f>"605488"</f>
        <v>605488</v>
      </c>
      <c r="C1704" t="s">
        <v>3724</v>
      </c>
      <c r="D1704" t="s">
        <v>1192</v>
      </c>
      <c r="P1704">
        <v>28</v>
      </c>
      <c r="Q1704" t="s">
        <v>3725</v>
      </c>
    </row>
    <row r="1705" spans="1:17" x14ac:dyDescent="0.3">
      <c r="A1705" t="s">
        <v>17</v>
      </c>
      <c r="B1705" t="str">
        <f>"605499"</f>
        <v>605499</v>
      </c>
      <c r="C1705" t="s">
        <v>3726</v>
      </c>
      <c r="D1705" t="s">
        <v>440</v>
      </c>
      <c r="P1705">
        <v>282</v>
      </c>
      <c r="Q1705" t="s">
        <v>3727</v>
      </c>
    </row>
    <row r="1706" spans="1:17" x14ac:dyDescent="0.3">
      <c r="A1706" t="s">
        <v>17</v>
      </c>
      <c r="B1706" t="str">
        <f>"605500"</f>
        <v>605500</v>
      </c>
      <c r="C1706" t="s">
        <v>3728</v>
      </c>
      <c r="D1706" t="s">
        <v>694</v>
      </c>
      <c r="P1706">
        <v>37</v>
      </c>
      <c r="Q1706" t="s">
        <v>3729</v>
      </c>
    </row>
    <row r="1707" spans="1:17" x14ac:dyDescent="0.3">
      <c r="A1707" t="s">
        <v>17</v>
      </c>
      <c r="B1707" t="str">
        <f>"605507"</f>
        <v>605507</v>
      </c>
      <c r="C1707" t="s">
        <v>3730</v>
      </c>
      <c r="D1707" t="s">
        <v>496</v>
      </c>
      <c r="P1707">
        <v>25</v>
      </c>
      <c r="Q1707" t="s">
        <v>3731</v>
      </c>
    </row>
    <row r="1708" spans="1:17" x14ac:dyDescent="0.3">
      <c r="A1708" t="s">
        <v>17</v>
      </c>
      <c r="B1708" t="str">
        <f>"605555"</f>
        <v>605555</v>
      </c>
      <c r="C1708" t="s">
        <v>3732</v>
      </c>
      <c r="D1708" t="s">
        <v>2709</v>
      </c>
      <c r="P1708">
        <v>34</v>
      </c>
      <c r="Q1708" t="s">
        <v>3733</v>
      </c>
    </row>
    <row r="1709" spans="1:17" x14ac:dyDescent="0.3">
      <c r="A1709" t="s">
        <v>17</v>
      </c>
      <c r="B1709" t="str">
        <f>"605566"</f>
        <v>605566</v>
      </c>
      <c r="C1709" t="s">
        <v>3734</v>
      </c>
      <c r="D1709" t="s">
        <v>779</v>
      </c>
      <c r="P1709">
        <v>22</v>
      </c>
      <c r="Q1709" t="s">
        <v>3735</v>
      </c>
    </row>
    <row r="1710" spans="1:17" x14ac:dyDescent="0.3">
      <c r="A1710" t="s">
        <v>17</v>
      </c>
      <c r="B1710" t="str">
        <f>"605567"</f>
        <v>605567</v>
      </c>
      <c r="C1710" t="s">
        <v>3736</v>
      </c>
      <c r="D1710" t="s">
        <v>2850</v>
      </c>
      <c r="P1710">
        <v>32</v>
      </c>
      <c r="Q1710" t="s">
        <v>3737</v>
      </c>
    </row>
    <row r="1711" spans="1:17" x14ac:dyDescent="0.3">
      <c r="A1711" t="s">
        <v>17</v>
      </c>
      <c r="B1711" t="str">
        <f>"605577"</f>
        <v>605577</v>
      </c>
      <c r="C1711" t="s">
        <v>3738</v>
      </c>
      <c r="D1711" t="s">
        <v>1536</v>
      </c>
      <c r="P1711">
        <v>19</v>
      </c>
      <c r="Q1711" t="s">
        <v>3739</v>
      </c>
    </row>
    <row r="1712" spans="1:17" x14ac:dyDescent="0.3">
      <c r="A1712" t="s">
        <v>17</v>
      </c>
      <c r="B1712" t="str">
        <f>"605580"</f>
        <v>605580</v>
      </c>
      <c r="C1712" t="s">
        <v>3740</v>
      </c>
      <c r="D1712" t="s">
        <v>351</v>
      </c>
      <c r="P1712">
        <v>30</v>
      </c>
      <c r="Q1712" t="s">
        <v>3741</v>
      </c>
    </row>
    <row r="1713" spans="1:17" x14ac:dyDescent="0.3">
      <c r="A1713" t="s">
        <v>17</v>
      </c>
      <c r="B1713" t="str">
        <f>"605588"</f>
        <v>605588</v>
      </c>
      <c r="C1713" t="s">
        <v>3742</v>
      </c>
      <c r="D1713" t="s">
        <v>164</v>
      </c>
      <c r="P1713">
        <v>16</v>
      </c>
      <c r="Q1713" t="s">
        <v>3743</v>
      </c>
    </row>
    <row r="1714" spans="1:17" x14ac:dyDescent="0.3">
      <c r="A1714" t="s">
        <v>17</v>
      </c>
      <c r="B1714" t="str">
        <f>"605589"</f>
        <v>605589</v>
      </c>
      <c r="C1714" t="s">
        <v>3744</v>
      </c>
      <c r="D1714" t="s">
        <v>3362</v>
      </c>
      <c r="P1714">
        <v>40</v>
      </c>
      <c r="Q1714" t="s">
        <v>3745</v>
      </c>
    </row>
    <row r="1715" spans="1:17" x14ac:dyDescent="0.3">
      <c r="A1715" t="s">
        <v>17</v>
      </c>
      <c r="B1715" t="str">
        <f>"605598"</f>
        <v>605598</v>
      </c>
      <c r="C1715" t="s">
        <v>3746</v>
      </c>
      <c r="D1715" t="s">
        <v>1988</v>
      </c>
      <c r="P1715">
        <v>18</v>
      </c>
      <c r="Q1715" t="s">
        <v>3747</v>
      </c>
    </row>
    <row r="1716" spans="1:17" x14ac:dyDescent="0.3">
      <c r="A1716" t="s">
        <v>17</v>
      </c>
      <c r="B1716" t="str">
        <f>"605599"</f>
        <v>605599</v>
      </c>
      <c r="C1716" t="s">
        <v>3748</v>
      </c>
      <c r="D1716" t="s">
        <v>1238</v>
      </c>
      <c r="P1716">
        <v>21</v>
      </c>
      <c r="Q1716" t="s">
        <v>3749</v>
      </c>
    </row>
    <row r="1717" spans="1:17" x14ac:dyDescent="0.3">
      <c r="A1717" t="s">
        <v>17</v>
      </c>
      <c r="B1717" t="str">
        <f>"688001"</f>
        <v>688001</v>
      </c>
      <c r="C1717" t="s">
        <v>3750</v>
      </c>
      <c r="D1717" t="s">
        <v>2557</v>
      </c>
      <c r="P1717">
        <v>169</v>
      </c>
      <c r="Q1717" t="s">
        <v>3751</v>
      </c>
    </row>
    <row r="1718" spans="1:17" x14ac:dyDescent="0.3">
      <c r="A1718" t="s">
        <v>17</v>
      </c>
      <c r="B1718" t="str">
        <f>"688002"</f>
        <v>688002</v>
      </c>
      <c r="C1718" t="s">
        <v>3752</v>
      </c>
      <c r="D1718" t="s">
        <v>1136</v>
      </c>
      <c r="P1718">
        <v>407</v>
      </c>
      <c r="Q1718" t="s">
        <v>3753</v>
      </c>
    </row>
    <row r="1719" spans="1:17" x14ac:dyDescent="0.3">
      <c r="A1719" t="s">
        <v>17</v>
      </c>
      <c r="B1719" t="str">
        <f>"688003"</f>
        <v>688003</v>
      </c>
      <c r="C1719" t="s">
        <v>3754</v>
      </c>
      <c r="D1719" t="s">
        <v>3462</v>
      </c>
      <c r="P1719">
        <v>141</v>
      </c>
      <c r="Q1719" t="s">
        <v>3755</v>
      </c>
    </row>
    <row r="1720" spans="1:17" x14ac:dyDescent="0.3">
      <c r="A1720" t="s">
        <v>17</v>
      </c>
      <c r="B1720" t="str">
        <f>"688004"</f>
        <v>688004</v>
      </c>
      <c r="C1720" t="s">
        <v>3756</v>
      </c>
      <c r="D1720" t="s">
        <v>316</v>
      </c>
      <c r="P1720">
        <v>37</v>
      </c>
      <c r="Q1720" t="s">
        <v>3757</v>
      </c>
    </row>
    <row r="1721" spans="1:17" x14ac:dyDescent="0.3">
      <c r="A1721" t="s">
        <v>17</v>
      </c>
      <c r="B1721" t="str">
        <f>"688005"</f>
        <v>688005</v>
      </c>
      <c r="C1721" t="s">
        <v>3758</v>
      </c>
      <c r="D1721" t="s">
        <v>1786</v>
      </c>
      <c r="P1721">
        <v>318</v>
      </c>
      <c r="Q1721" t="s">
        <v>3759</v>
      </c>
    </row>
    <row r="1722" spans="1:17" x14ac:dyDescent="0.3">
      <c r="A1722" t="s">
        <v>17</v>
      </c>
      <c r="B1722" t="str">
        <f>"688006"</f>
        <v>688006</v>
      </c>
      <c r="C1722" t="s">
        <v>3760</v>
      </c>
      <c r="D1722" t="s">
        <v>3761</v>
      </c>
      <c r="P1722">
        <v>255</v>
      </c>
      <c r="Q1722" t="s">
        <v>3762</v>
      </c>
    </row>
    <row r="1723" spans="1:17" x14ac:dyDescent="0.3">
      <c r="A1723" t="s">
        <v>17</v>
      </c>
      <c r="B1723" t="str">
        <f>"688007"</f>
        <v>688007</v>
      </c>
      <c r="C1723" t="s">
        <v>3763</v>
      </c>
      <c r="D1723" t="s">
        <v>3511</v>
      </c>
      <c r="P1723">
        <v>123</v>
      </c>
      <c r="Q1723" t="s">
        <v>3764</v>
      </c>
    </row>
    <row r="1724" spans="1:17" x14ac:dyDescent="0.3">
      <c r="A1724" t="s">
        <v>17</v>
      </c>
      <c r="B1724" t="str">
        <f>"688008"</f>
        <v>688008</v>
      </c>
      <c r="C1724" t="s">
        <v>3765</v>
      </c>
      <c r="D1724" t="s">
        <v>461</v>
      </c>
      <c r="P1724">
        <v>522</v>
      </c>
      <c r="Q1724" t="s">
        <v>3766</v>
      </c>
    </row>
    <row r="1725" spans="1:17" x14ac:dyDescent="0.3">
      <c r="A1725" t="s">
        <v>17</v>
      </c>
      <c r="B1725" t="str">
        <f>"688009"</f>
        <v>688009</v>
      </c>
      <c r="C1725" t="s">
        <v>3767</v>
      </c>
      <c r="D1725" t="s">
        <v>1012</v>
      </c>
      <c r="P1725">
        <v>201</v>
      </c>
      <c r="Q1725" t="s">
        <v>3768</v>
      </c>
    </row>
    <row r="1726" spans="1:17" x14ac:dyDescent="0.3">
      <c r="A1726" t="s">
        <v>17</v>
      </c>
      <c r="B1726" t="str">
        <f>"688010"</f>
        <v>688010</v>
      </c>
      <c r="C1726" t="s">
        <v>3769</v>
      </c>
      <c r="D1726" t="s">
        <v>164</v>
      </c>
      <c r="P1726">
        <v>125</v>
      </c>
      <c r="Q1726" t="s">
        <v>3770</v>
      </c>
    </row>
    <row r="1727" spans="1:17" x14ac:dyDescent="0.3">
      <c r="A1727" t="s">
        <v>17</v>
      </c>
      <c r="B1727" t="str">
        <f>"688011"</f>
        <v>688011</v>
      </c>
      <c r="C1727" t="s">
        <v>3771</v>
      </c>
      <c r="D1727" t="s">
        <v>1136</v>
      </c>
      <c r="P1727">
        <v>88</v>
      </c>
      <c r="Q1727" t="s">
        <v>3772</v>
      </c>
    </row>
    <row r="1728" spans="1:17" x14ac:dyDescent="0.3">
      <c r="A1728" t="s">
        <v>17</v>
      </c>
      <c r="B1728" t="str">
        <f>"688012"</f>
        <v>688012</v>
      </c>
      <c r="C1728" t="s">
        <v>3773</v>
      </c>
      <c r="D1728" t="s">
        <v>3172</v>
      </c>
      <c r="P1728">
        <v>620</v>
      </c>
      <c r="Q1728" t="s">
        <v>3774</v>
      </c>
    </row>
    <row r="1729" spans="1:17" x14ac:dyDescent="0.3">
      <c r="A1729" t="s">
        <v>17</v>
      </c>
      <c r="B1729" t="str">
        <f>"688013"</f>
        <v>688013</v>
      </c>
      <c r="C1729" t="s">
        <v>3775</v>
      </c>
      <c r="D1729" t="s">
        <v>1077</v>
      </c>
      <c r="P1729">
        <v>64</v>
      </c>
      <c r="Q1729" t="s">
        <v>3776</v>
      </c>
    </row>
    <row r="1730" spans="1:17" x14ac:dyDescent="0.3">
      <c r="A1730" t="s">
        <v>17</v>
      </c>
      <c r="B1730" t="str">
        <f>"688015"</f>
        <v>688015</v>
      </c>
      <c r="C1730" t="s">
        <v>3777</v>
      </c>
      <c r="D1730" t="s">
        <v>1012</v>
      </c>
      <c r="P1730">
        <v>278</v>
      </c>
      <c r="Q1730" t="s">
        <v>3778</v>
      </c>
    </row>
    <row r="1731" spans="1:17" x14ac:dyDescent="0.3">
      <c r="A1731" t="s">
        <v>17</v>
      </c>
      <c r="B1731" t="str">
        <f>"688016"</f>
        <v>688016</v>
      </c>
      <c r="C1731" t="s">
        <v>3779</v>
      </c>
      <c r="D1731" t="s">
        <v>1077</v>
      </c>
      <c r="P1731">
        <v>551</v>
      </c>
      <c r="Q1731" t="s">
        <v>3780</v>
      </c>
    </row>
    <row r="1732" spans="1:17" x14ac:dyDescent="0.3">
      <c r="A1732" t="s">
        <v>17</v>
      </c>
      <c r="B1732" t="str">
        <f>"688017"</f>
        <v>688017</v>
      </c>
      <c r="C1732" t="s">
        <v>3781</v>
      </c>
      <c r="D1732" t="s">
        <v>2923</v>
      </c>
      <c r="P1732">
        <v>152</v>
      </c>
      <c r="Q1732" t="s">
        <v>3782</v>
      </c>
    </row>
    <row r="1733" spans="1:17" x14ac:dyDescent="0.3">
      <c r="A1733" t="s">
        <v>17</v>
      </c>
      <c r="B1733" t="str">
        <f>"688018"</f>
        <v>688018</v>
      </c>
      <c r="C1733" t="s">
        <v>3783</v>
      </c>
      <c r="D1733" t="s">
        <v>461</v>
      </c>
      <c r="P1733">
        <v>317</v>
      </c>
      <c r="Q1733" t="s">
        <v>3784</v>
      </c>
    </row>
    <row r="1734" spans="1:17" x14ac:dyDescent="0.3">
      <c r="A1734" t="s">
        <v>17</v>
      </c>
      <c r="B1734" t="str">
        <f>"688019"</f>
        <v>688019</v>
      </c>
      <c r="C1734" t="s">
        <v>3785</v>
      </c>
      <c r="D1734" t="s">
        <v>2401</v>
      </c>
      <c r="P1734">
        <v>286</v>
      </c>
      <c r="Q1734" t="s">
        <v>3786</v>
      </c>
    </row>
    <row r="1735" spans="1:17" x14ac:dyDescent="0.3">
      <c r="A1735" t="s">
        <v>17</v>
      </c>
      <c r="B1735" t="str">
        <f>"688020"</f>
        <v>688020</v>
      </c>
      <c r="C1735" t="s">
        <v>3787</v>
      </c>
      <c r="D1735" t="s">
        <v>425</v>
      </c>
      <c r="P1735">
        <v>253</v>
      </c>
      <c r="Q1735" t="s">
        <v>3788</v>
      </c>
    </row>
    <row r="1736" spans="1:17" x14ac:dyDescent="0.3">
      <c r="A1736" t="s">
        <v>17</v>
      </c>
      <c r="B1736" t="str">
        <f>"688021"</f>
        <v>688021</v>
      </c>
      <c r="C1736" t="s">
        <v>3789</v>
      </c>
      <c r="D1736" t="s">
        <v>985</v>
      </c>
      <c r="P1736">
        <v>79</v>
      </c>
      <c r="Q1736" t="s">
        <v>3790</v>
      </c>
    </row>
    <row r="1737" spans="1:17" x14ac:dyDescent="0.3">
      <c r="A1737" t="s">
        <v>17</v>
      </c>
      <c r="B1737" t="str">
        <f>"688022"</f>
        <v>688022</v>
      </c>
      <c r="C1737" t="s">
        <v>3791</v>
      </c>
      <c r="D1737" t="s">
        <v>741</v>
      </c>
      <c r="P1737">
        <v>164</v>
      </c>
      <c r="Q1737" t="s">
        <v>3792</v>
      </c>
    </row>
    <row r="1738" spans="1:17" x14ac:dyDescent="0.3">
      <c r="A1738" t="s">
        <v>17</v>
      </c>
      <c r="B1738" t="str">
        <f>"688023"</f>
        <v>688023</v>
      </c>
      <c r="C1738" t="s">
        <v>3793</v>
      </c>
      <c r="D1738" t="s">
        <v>1189</v>
      </c>
      <c r="P1738">
        <v>249</v>
      </c>
      <c r="Q1738" t="s">
        <v>3794</v>
      </c>
    </row>
    <row r="1739" spans="1:17" x14ac:dyDescent="0.3">
      <c r="A1739" t="s">
        <v>17</v>
      </c>
      <c r="B1739" t="str">
        <f>"688025"</f>
        <v>688025</v>
      </c>
      <c r="C1739" t="s">
        <v>3795</v>
      </c>
      <c r="D1739" t="s">
        <v>3796</v>
      </c>
      <c r="P1739">
        <v>158</v>
      </c>
      <c r="Q1739" t="s">
        <v>3797</v>
      </c>
    </row>
    <row r="1740" spans="1:17" x14ac:dyDescent="0.3">
      <c r="A1740" t="s">
        <v>17</v>
      </c>
      <c r="B1740" t="str">
        <f>"688026"</f>
        <v>688026</v>
      </c>
      <c r="C1740" t="s">
        <v>3798</v>
      </c>
      <c r="D1740" t="s">
        <v>1192</v>
      </c>
      <c r="P1740">
        <v>211</v>
      </c>
      <c r="Q1740" t="s">
        <v>3799</v>
      </c>
    </row>
    <row r="1741" spans="1:17" x14ac:dyDescent="0.3">
      <c r="A1741" t="s">
        <v>17</v>
      </c>
      <c r="B1741" t="str">
        <f>"688027"</f>
        <v>688027</v>
      </c>
      <c r="C1741" t="s">
        <v>3800</v>
      </c>
      <c r="D1741" t="s">
        <v>786</v>
      </c>
      <c r="P1741">
        <v>98</v>
      </c>
      <c r="Q1741" t="s">
        <v>3801</v>
      </c>
    </row>
    <row r="1742" spans="1:17" x14ac:dyDescent="0.3">
      <c r="A1742" t="s">
        <v>17</v>
      </c>
      <c r="B1742" t="str">
        <f>"688028"</f>
        <v>688028</v>
      </c>
      <c r="C1742" t="s">
        <v>3802</v>
      </c>
      <c r="D1742" t="s">
        <v>404</v>
      </c>
      <c r="P1742">
        <v>76</v>
      </c>
      <c r="Q1742" t="s">
        <v>3803</v>
      </c>
    </row>
    <row r="1743" spans="1:17" x14ac:dyDescent="0.3">
      <c r="A1743" t="s">
        <v>17</v>
      </c>
      <c r="B1743" t="str">
        <f>"688029"</f>
        <v>688029</v>
      </c>
      <c r="C1743" t="s">
        <v>3804</v>
      </c>
      <c r="D1743" t="s">
        <v>1077</v>
      </c>
      <c r="P1743">
        <v>392</v>
      </c>
      <c r="Q1743" t="s">
        <v>3805</v>
      </c>
    </row>
    <row r="1744" spans="1:17" x14ac:dyDescent="0.3">
      <c r="A1744" t="s">
        <v>17</v>
      </c>
      <c r="B1744" t="str">
        <f>"688030"</f>
        <v>688030</v>
      </c>
      <c r="C1744" t="s">
        <v>3806</v>
      </c>
      <c r="D1744" t="s">
        <v>1189</v>
      </c>
      <c r="P1744">
        <v>145</v>
      </c>
      <c r="Q1744" t="s">
        <v>3807</v>
      </c>
    </row>
    <row r="1745" spans="1:17" x14ac:dyDescent="0.3">
      <c r="A1745" t="s">
        <v>17</v>
      </c>
      <c r="B1745" t="str">
        <f>"688032"</f>
        <v>688032</v>
      </c>
      <c r="C1745" t="s">
        <v>3808</v>
      </c>
      <c r="D1745" t="s">
        <v>3809</v>
      </c>
      <c r="P1745">
        <v>31</v>
      </c>
      <c r="Q1745" t="s">
        <v>3810</v>
      </c>
    </row>
    <row r="1746" spans="1:17" x14ac:dyDescent="0.3">
      <c r="A1746" t="s">
        <v>17</v>
      </c>
      <c r="B1746" t="str">
        <f>"688033"</f>
        <v>688033</v>
      </c>
      <c r="C1746" t="s">
        <v>3811</v>
      </c>
      <c r="D1746" t="s">
        <v>1012</v>
      </c>
      <c r="P1746">
        <v>86</v>
      </c>
      <c r="Q1746" t="s">
        <v>3812</v>
      </c>
    </row>
    <row r="1747" spans="1:17" x14ac:dyDescent="0.3">
      <c r="A1747" t="s">
        <v>17</v>
      </c>
      <c r="B1747" t="str">
        <f>"688036"</f>
        <v>688036</v>
      </c>
      <c r="C1747" t="s">
        <v>3813</v>
      </c>
      <c r="D1747" t="s">
        <v>3511</v>
      </c>
      <c r="P1747">
        <v>596</v>
      </c>
      <c r="Q1747" t="s">
        <v>3814</v>
      </c>
    </row>
    <row r="1748" spans="1:17" x14ac:dyDescent="0.3">
      <c r="A1748" t="s">
        <v>17</v>
      </c>
      <c r="B1748" t="str">
        <f>"688037"</f>
        <v>688037</v>
      </c>
      <c r="C1748" t="s">
        <v>3815</v>
      </c>
      <c r="D1748" t="s">
        <v>3172</v>
      </c>
      <c r="P1748">
        <v>168</v>
      </c>
      <c r="Q1748" t="s">
        <v>3816</v>
      </c>
    </row>
    <row r="1749" spans="1:17" x14ac:dyDescent="0.3">
      <c r="A1749" t="s">
        <v>17</v>
      </c>
      <c r="B1749" t="str">
        <f>"688038"</f>
        <v>688038</v>
      </c>
      <c r="C1749" t="s">
        <v>3817</v>
      </c>
      <c r="D1749" t="s">
        <v>945</v>
      </c>
      <c r="P1749">
        <v>17</v>
      </c>
      <c r="Q1749" t="s">
        <v>3818</v>
      </c>
    </row>
    <row r="1750" spans="1:17" x14ac:dyDescent="0.3">
      <c r="A1750" t="s">
        <v>17</v>
      </c>
      <c r="B1750" t="str">
        <f>"688039"</f>
        <v>688039</v>
      </c>
      <c r="C1750" t="s">
        <v>3819</v>
      </c>
      <c r="D1750" t="s">
        <v>316</v>
      </c>
      <c r="P1750">
        <v>155</v>
      </c>
      <c r="Q1750" t="s">
        <v>3820</v>
      </c>
    </row>
    <row r="1751" spans="1:17" x14ac:dyDescent="0.3">
      <c r="A1751" t="s">
        <v>17</v>
      </c>
      <c r="B1751" t="str">
        <f>"688046"</f>
        <v>688046</v>
      </c>
      <c r="C1751" t="s">
        <v>3821</v>
      </c>
      <c r="P1751">
        <v>2</v>
      </c>
      <c r="Q1751" t="s">
        <v>3822</v>
      </c>
    </row>
    <row r="1752" spans="1:17" x14ac:dyDescent="0.3">
      <c r="A1752" t="s">
        <v>17</v>
      </c>
      <c r="B1752" t="str">
        <f>"688048"</f>
        <v>688048</v>
      </c>
      <c r="C1752" t="s">
        <v>3823</v>
      </c>
      <c r="P1752">
        <v>12</v>
      </c>
      <c r="Q1752" t="s">
        <v>3824</v>
      </c>
    </row>
    <row r="1753" spans="1:17" x14ac:dyDescent="0.3">
      <c r="A1753" t="s">
        <v>17</v>
      </c>
      <c r="B1753" t="str">
        <f>"688049"</f>
        <v>688049</v>
      </c>
      <c r="C1753" t="s">
        <v>3825</v>
      </c>
      <c r="D1753" t="s">
        <v>461</v>
      </c>
      <c r="P1753">
        <v>21</v>
      </c>
      <c r="Q1753" t="s">
        <v>3826</v>
      </c>
    </row>
    <row r="1754" spans="1:17" x14ac:dyDescent="0.3">
      <c r="A1754" t="s">
        <v>17</v>
      </c>
      <c r="B1754" t="str">
        <f>"688050"</f>
        <v>688050</v>
      </c>
      <c r="C1754" t="s">
        <v>3827</v>
      </c>
      <c r="D1754" t="s">
        <v>1077</v>
      </c>
      <c r="P1754">
        <v>411</v>
      </c>
      <c r="Q1754" t="s">
        <v>3828</v>
      </c>
    </row>
    <row r="1755" spans="1:17" x14ac:dyDescent="0.3">
      <c r="A1755" t="s">
        <v>17</v>
      </c>
      <c r="B1755" t="str">
        <f>"688051"</f>
        <v>688051</v>
      </c>
      <c r="C1755" t="s">
        <v>3829</v>
      </c>
      <c r="D1755" t="s">
        <v>316</v>
      </c>
      <c r="P1755">
        <v>91</v>
      </c>
      <c r="Q1755" t="s">
        <v>3830</v>
      </c>
    </row>
    <row r="1756" spans="1:17" x14ac:dyDescent="0.3">
      <c r="A1756" t="s">
        <v>17</v>
      </c>
      <c r="B1756" t="str">
        <f>"688052"</f>
        <v>688052</v>
      </c>
      <c r="C1756" t="s">
        <v>3831</v>
      </c>
      <c r="P1756">
        <v>11</v>
      </c>
      <c r="Q1756" t="s">
        <v>3832</v>
      </c>
    </row>
    <row r="1757" spans="1:17" x14ac:dyDescent="0.3">
      <c r="A1757" t="s">
        <v>17</v>
      </c>
      <c r="B1757" t="str">
        <f>"688055"</f>
        <v>688055</v>
      </c>
      <c r="C1757" t="s">
        <v>3833</v>
      </c>
      <c r="D1757" t="s">
        <v>1117</v>
      </c>
      <c r="P1757">
        <v>76</v>
      </c>
      <c r="Q1757" t="s">
        <v>3834</v>
      </c>
    </row>
    <row r="1758" spans="1:17" x14ac:dyDescent="0.3">
      <c r="A1758" t="s">
        <v>17</v>
      </c>
      <c r="B1758" t="str">
        <f>"688056"</f>
        <v>688056</v>
      </c>
      <c r="C1758" t="s">
        <v>3835</v>
      </c>
      <c r="D1758" t="s">
        <v>2557</v>
      </c>
      <c r="P1758">
        <v>50</v>
      </c>
      <c r="Q1758" t="s">
        <v>3836</v>
      </c>
    </row>
    <row r="1759" spans="1:17" x14ac:dyDescent="0.3">
      <c r="A1759" t="s">
        <v>17</v>
      </c>
      <c r="B1759" t="str">
        <f>"688057"</f>
        <v>688057</v>
      </c>
      <c r="C1759" t="s">
        <v>3837</v>
      </c>
      <c r="D1759" t="s">
        <v>33</v>
      </c>
      <c r="P1759">
        <v>116</v>
      </c>
      <c r="Q1759" t="s">
        <v>3838</v>
      </c>
    </row>
    <row r="1760" spans="1:17" x14ac:dyDescent="0.3">
      <c r="A1760" t="s">
        <v>17</v>
      </c>
      <c r="B1760" t="str">
        <f>"688058"</f>
        <v>688058</v>
      </c>
      <c r="C1760" t="s">
        <v>3839</v>
      </c>
      <c r="D1760" t="s">
        <v>1189</v>
      </c>
      <c r="P1760">
        <v>96</v>
      </c>
      <c r="Q1760" t="s">
        <v>3840</v>
      </c>
    </row>
    <row r="1761" spans="1:17" x14ac:dyDescent="0.3">
      <c r="A1761" t="s">
        <v>17</v>
      </c>
      <c r="B1761" t="str">
        <f>"688059"</f>
        <v>688059</v>
      </c>
      <c r="C1761" t="s">
        <v>3841</v>
      </c>
      <c r="D1761" t="s">
        <v>274</v>
      </c>
      <c r="P1761">
        <v>105</v>
      </c>
      <c r="Q1761" t="s">
        <v>3842</v>
      </c>
    </row>
    <row r="1762" spans="1:17" x14ac:dyDescent="0.3">
      <c r="A1762" t="s">
        <v>17</v>
      </c>
      <c r="B1762" t="str">
        <f>"688060"</f>
        <v>688060</v>
      </c>
      <c r="C1762" t="s">
        <v>3843</v>
      </c>
      <c r="D1762" t="s">
        <v>236</v>
      </c>
      <c r="P1762">
        <v>75</v>
      </c>
      <c r="Q1762" t="s">
        <v>3844</v>
      </c>
    </row>
    <row r="1763" spans="1:17" x14ac:dyDescent="0.3">
      <c r="A1763" t="s">
        <v>17</v>
      </c>
      <c r="B1763" t="str">
        <f>"688062"</f>
        <v>688062</v>
      </c>
      <c r="C1763" t="s">
        <v>3845</v>
      </c>
      <c r="D1763" t="s">
        <v>143</v>
      </c>
      <c r="P1763">
        <v>14</v>
      </c>
      <c r="Q1763" t="s">
        <v>3846</v>
      </c>
    </row>
    <row r="1764" spans="1:17" x14ac:dyDescent="0.3">
      <c r="A1764" t="s">
        <v>17</v>
      </c>
      <c r="B1764" t="str">
        <f>"688063"</f>
        <v>688063</v>
      </c>
      <c r="C1764" t="s">
        <v>3847</v>
      </c>
      <c r="D1764" t="s">
        <v>359</v>
      </c>
      <c r="P1764">
        <v>212</v>
      </c>
      <c r="Q1764" t="s">
        <v>3848</v>
      </c>
    </row>
    <row r="1765" spans="1:17" x14ac:dyDescent="0.3">
      <c r="A1765" t="s">
        <v>17</v>
      </c>
      <c r="B1765" t="str">
        <f>"688065"</f>
        <v>688065</v>
      </c>
      <c r="C1765" t="s">
        <v>3849</v>
      </c>
      <c r="D1765" t="s">
        <v>386</v>
      </c>
      <c r="P1765">
        <v>107</v>
      </c>
      <c r="Q1765" t="s">
        <v>3850</v>
      </c>
    </row>
    <row r="1766" spans="1:17" x14ac:dyDescent="0.3">
      <c r="A1766" t="s">
        <v>17</v>
      </c>
      <c r="B1766" t="str">
        <f>"688066"</f>
        <v>688066</v>
      </c>
      <c r="C1766" t="s">
        <v>3851</v>
      </c>
      <c r="D1766" t="s">
        <v>316</v>
      </c>
      <c r="P1766">
        <v>159</v>
      </c>
      <c r="Q1766" t="s">
        <v>3852</v>
      </c>
    </row>
    <row r="1767" spans="1:17" x14ac:dyDescent="0.3">
      <c r="A1767" t="s">
        <v>17</v>
      </c>
      <c r="B1767" t="str">
        <f>"688067"</f>
        <v>688067</v>
      </c>
      <c r="C1767" t="s">
        <v>3853</v>
      </c>
      <c r="D1767" t="s">
        <v>1305</v>
      </c>
      <c r="P1767">
        <v>35</v>
      </c>
      <c r="Q1767" t="s">
        <v>3854</v>
      </c>
    </row>
    <row r="1768" spans="1:17" x14ac:dyDescent="0.3">
      <c r="A1768" t="s">
        <v>17</v>
      </c>
      <c r="B1768" t="str">
        <f>"688068"</f>
        <v>688068</v>
      </c>
      <c r="C1768" t="s">
        <v>3855</v>
      </c>
      <c r="D1768" t="s">
        <v>1305</v>
      </c>
      <c r="P1768">
        <v>254</v>
      </c>
      <c r="Q1768" t="s">
        <v>3856</v>
      </c>
    </row>
    <row r="1769" spans="1:17" x14ac:dyDescent="0.3">
      <c r="A1769" t="s">
        <v>17</v>
      </c>
      <c r="B1769" t="str">
        <f>"688069"</f>
        <v>688069</v>
      </c>
      <c r="C1769" t="s">
        <v>3857</v>
      </c>
      <c r="D1769" t="s">
        <v>33</v>
      </c>
      <c r="P1769">
        <v>79</v>
      </c>
      <c r="Q1769" t="s">
        <v>3858</v>
      </c>
    </row>
    <row r="1770" spans="1:17" x14ac:dyDescent="0.3">
      <c r="A1770" t="s">
        <v>17</v>
      </c>
      <c r="B1770" t="str">
        <f>"688070"</f>
        <v>688070</v>
      </c>
      <c r="C1770" t="s">
        <v>3859</v>
      </c>
      <c r="D1770" t="s">
        <v>98</v>
      </c>
      <c r="P1770">
        <v>43</v>
      </c>
      <c r="Q1770" t="s">
        <v>3860</v>
      </c>
    </row>
    <row r="1771" spans="1:17" x14ac:dyDescent="0.3">
      <c r="A1771" t="s">
        <v>17</v>
      </c>
      <c r="B1771" t="str">
        <f>"688071"</f>
        <v>688071</v>
      </c>
      <c r="C1771" t="s">
        <v>3861</v>
      </c>
      <c r="D1771" t="s">
        <v>741</v>
      </c>
      <c r="P1771">
        <v>28</v>
      </c>
      <c r="Q1771" t="s">
        <v>3862</v>
      </c>
    </row>
    <row r="1772" spans="1:17" x14ac:dyDescent="0.3">
      <c r="A1772" t="s">
        <v>17</v>
      </c>
      <c r="B1772" t="str">
        <f>"688072"</f>
        <v>688072</v>
      </c>
      <c r="C1772" t="s">
        <v>3863</v>
      </c>
      <c r="P1772">
        <v>5</v>
      </c>
      <c r="Q1772" t="s">
        <v>3864</v>
      </c>
    </row>
    <row r="1773" spans="1:17" x14ac:dyDescent="0.3">
      <c r="A1773" t="s">
        <v>17</v>
      </c>
      <c r="B1773" t="str">
        <f>"688075"</f>
        <v>688075</v>
      </c>
      <c r="C1773" t="s">
        <v>3865</v>
      </c>
      <c r="D1773" t="s">
        <v>1305</v>
      </c>
      <c r="P1773">
        <v>37</v>
      </c>
      <c r="Q1773" t="s">
        <v>3866</v>
      </c>
    </row>
    <row r="1774" spans="1:17" x14ac:dyDescent="0.3">
      <c r="A1774" t="s">
        <v>17</v>
      </c>
      <c r="B1774" t="str">
        <f>"688076"</f>
        <v>688076</v>
      </c>
      <c r="C1774" t="s">
        <v>3867</v>
      </c>
      <c r="D1774" t="s">
        <v>1461</v>
      </c>
      <c r="P1774">
        <v>53</v>
      </c>
      <c r="Q1774" t="s">
        <v>3868</v>
      </c>
    </row>
    <row r="1775" spans="1:17" x14ac:dyDescent="0.3">
      <c r="A1775" t="s">
        <v>17</v>
      </c>
      <c r="B1775" t="str">
        <f>"688077"</f>
        <v>688077</v>
      </c>
      <c r="C1775" t="s">
        <v>3869</v>
      </c>
      <c r="D1775" t="s">
        <v>808</v>
      </c>
      <c r="P1775">
        <v>78</v>
      </c>
      <c r="Q1775" t="s">
        <v>3870</v>
      </c>
    </row>
    <row r="1776" spans="1:17" x14ac:dyDescent="0.3">
      <c r="A1776" t="s">
        <v>17</v>
      </c>
      <c r="B1776" t="str">
        <f>"688078"</f>
        <v>688078</v>
      </c>
      <c r="C1776" t="s">
        <v>3871</v>
      </c>
      <c r="D1776" t="s">
        <v>1189</v>
      </c>
      <c r="P1776">
        <v>83</v>
      </c>
      <c r="Q1776" t="s">
        <v>3872</v>
      </c>
    </row>
    <row r="1777" spans="1:17" x14ac:dyDescent="0.3">
      <c r="A1777" t="s">
        <v>17</v>
      </c>
      <c r="B1777" t="str">
        <f>"688079"</f>
        <v>688079</v>
      </c>
      <c r="C1777" t="s">
        <v>3873</v>
      </c>
      <c r="D1777" t="s">
        <v>164</v>
      </c>
      <c r="P1777">
        <v>36</v>
      </c>
      <c r="Q1777" t="s">
        <v>3874</v>
      </c>
    </row>
    <row r="1778" spans="1:17" x14ac:dyDescent="0.3">
      <c r="A1778" t="s">
        <v>17</v>
      </c>
      <c r="B1778" t="str">
        <f>"688080"</f>
        <v>688080</v>
      </c>
      <c r="C1778" t="s">
        <v>3875</v>
      </c>
      <c r="D1778" t="s">
        <v>595</v>
      </c>
      <c r="P1778">
        <v>87</v>
      </c>
      <c r="Q1778" t="s">
        <v>3876</v>
      </c>
    </row>
    <row r="1779" spans="1:17" x14ac:dyDescent="0.3">
      <c r="A1779" t="s">
        <v>17</v>
      </c>
      <c r="B1779" t="str">
        <f>"688081"</f>
        <v>688081</v>
      </c>
      <c r="C1779" t="s">
        <v>3877</v>
      </c>
      <c r="D1779" t="s">
        <v>1136</v>
      </c>
      <c r="P1779">
        <v>55</v>
      </c>
      <c r="Q1779" t="s">
        <v>3878</v>
      </c>
    </row>
    <row r="1780" spans="1:17" x14ac:dyDescent="0.3">
      <c r="A1780" t="s">
        <v>17</v>
      </c>
      <c r="B1780" t="str">
        <f>"688082"</f>
        <v>688082</v>
      </c>
      <c r="C1780" t="s">
        <v>3879</v>
      </c>
      <c r="D1780" t="s">
        <v>3172</v>
      </c>
      <c r="P1780">
        <v>35</v>
      </c>
      <c r="Q1780" t="s">
        <v>3880</v>
      </c>
    </row>
    <row r="1781" spans="1:17" x14ac:dyDescent="0.3">
      <c r="A1781" t="s">
        <v>17</v>
      </c>
      <c r="B1781" t="str">
        <f>"688083"</f>
        <v>688083</v>
      </c>
      <c r="C1781" t="s">
        <v>3881</v>
      </c>
      <c r="D1781" t="s">
        <v>945</v>
      </c>
      <c r="P1781">
        <v>130</v>
      </c>
      <c r="Q1781" t="s">
        <v>3882</v>
      </c>
    </row>
    <row r="1782" spans="1:17" x14ac:dyDescent="0.3">
      <c r="A1782" t="s">
        <v>17</v>
      </c>
      <c r="B1782" t="str">
        <f>"688085"</f>
        <v>688085</v>
      </c>
      <c r="C1782" t="s">
        <v>3883</v>
      </c>
      <c r="D1782" t="s">
        <v>1077</v>
      </c>
      <c r="P1782">
        <v>197</v>
      </c>
      <c r="Q1782" t="s">
        <v>3884</v>
      </c>
    </row>
    <row r="1783" spans="1:17" x14ac:dyDescent="0.3">
      <c r="A1783" t="s">
        <v>17</v>
      </c>
      <c r="B1783" t="str">
        <f>"688086"</f>
        <v>688086</v>
      </c>
      <c r="C1783" t="s">
        <v>3885</v>
      </c>
      <c r="D1783" t="s">
        <v>236</v>
      </c>
      <c r="P1783">
        <v>84</v>
      </c>
      <c r="Q1783" t="s">
        <v>3886</v>
      </c>
    </row>
    <row r="1784" spans="1:17" x14ac:dyDescent="0.3">
      <c r="A1784" t="s">
        <v>17</v>
      </c>
      <c r="B1784" t="str">
        <f>"688087"</f>
        <v>688087</v>
      </c>
      <c r="C1784" t="s">
        <v>3887</v>
      </c>
      <c r="D1784" t="s">
        <v>1192</v>
      </c>
      <c r="P1784">
        <v>36</v>
      </c>
      <c r="Q1784" t="s">
        <v>3888</v>
      </c>
    </row>
    <row r="1785" spans="1:17" x14ac:dyDescent="0.3">
      <c r="A1785" t="s">
        <v>17</v>
      </c>
      <c r="B1785" t="str">
        <f>"688088"</f>
        <v>688088</v>
      </c>
      <c r="C1785" t="s">
        <v>3889</v>
      </c>
      <c r="D1785" t="s">
        <v>316</v>
      </c>
      <c r="P1785">
        <v>271</v>
      </c>
      <c r="Q1785" t="s">
        <v>3890</v>
      </c>
    </row>
    <row r="1786" spans="1:17" x14ac:dyDescent="0.3">
      <c r="A1786" t="s">
        <v>17</v>
      </c>
      <c r="B1786" t="str">
        <f>"688089"</f>
        <v>688089</v>
      </c>
      <c r="C1786" t="s">
        <v>3891</v>
      </c>
      <c r="D1786" t="s">
        <v>677</v>
      </c>
      <c r="P1786">
        <v>150</v>
      </c>
      <c r="Q1786" t="s">
        <v>3892</v>
      </c>
    </row>
    <row r="1787" spans="1:17" x14ac:dyDescent="0.3">
      <c r="A1787" t="s">
        <v>17</v>
      </c>
      <c r="B1787" t="str">
        <f>"688090"</f>
        <v>688090</v>
      </c>
      <c r="C1787" t="s">
        <v>3893</v>
      </c>
      <c r="D1787" t="s">
        <v>2923</v>
      </c>
      <c r="P1787">
        <v>63</v>
      </c>
      <c r="Q1787" t="s">
        <v>3894</v>
      </c>
    </row>
    <row r="1788" spans="1:17" x14ac:dyDescent="0.3">
      <c r="A1788" t="s">
        <v>17</v>
      </c>
      <c r="B1788" t="str">
        <f>"688091"</f>
        <v>688091</v>
      </c>
      <c r="C1788" t="s">
        <v>3895</v>
      </c>
      <c r="D1788" t="s">
        <v>143</v>
      </c>
      <c r="P1788">
        <v>14</v>
      </c>
      <c r="Q1788" t="s">
        <v>3896</v>
      </c>
    </row>
    <row r="1789" spans="1:17" x14ac:dyDescent="0.3">
      <c r="A1789" t="s">
        <v>17</v>
      </c>
      <c r="B1789" t="str">
        <f>"688092"</f>
        <v>688092</v>
      </c>
      <c r="C1789" t="s">
        <v>3897</v>
      </c>
      <c r="D1789" t="s">
        <v>741</v>
      </c>
      <c r="P1789">
        <v>29</v>
      </c>
      <c r="Q1789" t="s">
        <v>3898</v>
      </c>
    </row>
    <row r="1790" spans="1:17" x14ac:dyDescent="0.3">
      <c r="A1790" t="s">
        <v>17</v>
      </c>
      <c r="B1790" t="str">
        <f>"688093"</f>
        <v>688093</v>
      </c>
      <c r="C1790" t="s">
        <v>3899</v>
      </c>
      <c r="D1790" t="s">
        <v>651</v>
      </c>
      <c r="P1790">
        <v>59</v>
      </c>
      <c r="Q1790" t="s">
        <v>3900</v>
      </c>
    </row>
    <row r="1791" spans="1:17" x14ac:dyDescent="0.3">
      <c r="A1791" t="s">
        <v>17</v>
      </c>
      <c r="B1791" t="str">
        <f>"688095"</f>
        <v>688095</v>
      </c>
      <c r="C1791" t="s">
        <v>3901</v>
      </c>
      <c r="D1791" t="s">
        <v>1189</v>
      </c>
      <c r="P1791">
        <v>141</v>
      </c>
      <c r="Q1791" t="s">
        <v>3902</v>
      </c>
    </row>
    <row r="1792" spans="1:17" x14ac:dyDescent="0.3">
      <c r="A1792" t="s">
        <v>17</v>
      </c>
      <c r="B1792" t="str">
        <f>"688096"</f>
        <v>688096</v>
      </c>
      <c r="C1792" t="s">
        <v>3903</v>
      </c>
      <c r="D1792" t="s">
        <v>33</v>
      </c>
      <c r="P1792">
        <v>73</v>
      </c>
      <c r="Q1792" t="s">
        <v>3904</v>
      </c>
    </row>
    <row r="1793" spans="1:17" x14ac:dyDescent="0.3">
      <c r="A1793" t="s">
        <v>17</v>
      </c>
      <c r="B1793" t="str">
        <f>"688097"</f>
        <v>688097</v>
      </c>
      <c r="C1793" t="s">
        <v>3905</v>
      </c>
      <c r="D1793" t="s">
        <v>3462</v>
      </c>
      <c r="P1793">
        <v>25</v>
      </c>
      <c r="Q1793" t="s">
        <v>3906</v>
      </c>
    </row>
    <row r="1794" spans="1:17" x14ac:dyDescent="0.3">
      <c r="A1794" t="s">
        <v>17</v>
      </c>
      <c r="B1794" t="str">
        <f>"688098"</f>
        <v>688098</v>
      </c>
      <c r="C1794" t="s">
        <v>3907</v>
      </c>
      <c r="D1794" t="s">
        <v>453</v>
      </c>
      <c r="P1794">
        <v>73</v>
      </c>
      <c r="Q1794" t="s">
        <v>3908</v>
      </c>
    </row>
    <row r="1795" spans="1:17" x14ac:dyDescent="0.3">
      <c r="A1795" t="s">
        <v>17</v>
      </c>
      <c r="B1795" t="str">
        <f>"688099"</f>
        <v>688099</v>
      </c>
      <c r="C1795" t="s">
        <v>3909</v>
      </c>
      <c r="D1795" t="s">
        <v>461</v>
      </c>
      <c r="P1795">
        <v>301</v>
      </c>
      <c r="Q1795" t="s">
        <v>3910</v>
      </c>
    </row>
    <row r="1796" spans="1:17" x14ac:dyDescent="0.3">
      <c r="A1796" t="s">
        <v>17</v>
      </c>
      <c r="B1796" t="str">
        <f>"688100"</f>
        <v>688100</v>
      </c>
      <c r="C1796" t="s">
        <v>3911</v>
      </c>
      <c r="D1796" t="s">
        <v>786</v>
      </c>
      <c r="P1796">
        <v>103</v>
      </c>
      <c r="Q1796" t="s">
        <v>3912</v>
      </c>
    </row>
    <row r="1797" spans="1:17" x14ac:dyDescent="0.3">
      <c r="A1797" t="s">
        <v>17</v>
      </c>
      <c r="B1797" t="str">
        <f>"688101"</f>
        <v>688101</v>
      </c>
      <c r="C1797" t="s">
        <v>3913</v>
      </c>
      <c r="D1797" t="s">
        <v>33</v>
      </c>
      <c r="P1797">
        <v>77</v>
      </c>
      <c r="Q1797" t="s">
        <v>3914</v>
      </c>
    </row>
    <row r="1798" spans="1:17" x14ac:dyDescent="0.3">
      <c r="A1798" t="s">
        <v>17</v>
      </c>
      <c r="B1798" t="str">
        <f>"688102"</f>
        <v>688102</v>
      </c>
      <c r="C1798" t="s">
        <v>3915</v>
      </c>
      <c r="P1798">
        <v>3</v>
      </c>
      <c r="Q1798" t="s">
        <v>3916</v>
      </c>
    </row>
    <row r="1799" spans="1:17" x14ac:dyDescent="0.3">
      <c r="A1799" t="s">
        <v>17</v>
      </c>
      <c r="B1799" t="str">
        <f>"688103"</f>
        <v>688103</v>
      </c>
      <c r="C1799" t="s">
        <v>3917</v>
      </c>
      <c r="D1799" t="s">
        <v>651</v>
      </c>
      <c r="P1799">
        <v>13</v>
      </c>
      <c r="Q1799" t="s">
        <v>3918</v>
      </c>
    </row>
    <row r="1800" spans="1:17" x14ac:dyDescent="0.3">
      <c r="A1800" t="s">
        <v>17</v>
      </c>
      <c r="B1800" t="str">
        <f>"688105"</f>
        <v>688105</v>
      </c>
      <c r="C1800" t="s">
        <v>3919</v>
      </c>
      <c r="D1800" t="s">
        <v>1305</v>
      </c>
      <c r="P1800">
        <v>51</v>
      </c>
      <c r="Q1800" t="s">
        <v>3920</v>
      </c>
    </row>
    <row r="1801" spans="1:17" x14ac:dyDescent="0.3">
      <c r="A1801" t="s">
        <v>17</v>
      </c>
      <c r="B1801" t="str">
        <f>"688106"</f>
        <v>688106</v>
      </c>
      <c r="C1801" t="s">
        <v>3921</v>
      </c>
      <c r="D1801" t="s">
        <v>2401</v>
      </c>
      <c r="P1801">
        <v>136</v>
      </c>
      <c r="Q1801" t="s">
        <v>3922</v>
      </c>
    </row>
    <row r="1802" spans="1:17" x14ac:dyDescent="0.3">
      <c r="A1802" t="s">
        <v>17</v>
      </c>
      <c r="B1802" t="str">
        <f>"688107"</f>
        <v>688107</v>
      </c>
      <c r="C1802" t="s">
        <v>3923</v>
      </c>
      <c r="D1802" t="s">
        <v>461</v>
      </c>
      <c r="P1802">
        <v>31</v>
      </c>
      <c r="Q1802" t="s">
        <v>3924</v>
      </c>
    </row>
    <row r="1803" spans="1:17" x14ac:dyDescent="0.3">
      <c r="A1803" t="s">
        <v>17</v>
      </c>
      <c r="B1803" t="str">
        <f>"688108"</f>
        <v>688108</v>
      </c>
      <c r="C1803" t="s">
        <v>3925</v>
      </c>
      <c r="D1803" t="s">
        <v>1077</v>
      </c>
      <c r="P1803">
        <v>104</v>
      </c>
      <c r="Q1803" t="s">
        <v>3926</v>
      </c>
    </row>
    <row r="1804" spans="1:17" x14ac:dyDescent="0.3">
      <c r="A1804" t="s">
        <v>17</v>
      </c>
      <c r="B1804" t="str">
        <f>"688109"</f>
        <v>688109</v>
      </c>
      <c r="C1804" t="s">
        <v>3927</v>
      </c>
      <c r="D1804" t="s">
        <v>945</v>
      </c>
      <c r="P1804">
        <v>72</v>
      </c>
      <c r="Q1804" t="s">
        <v>3928</v>
      </c>
    </row>
    <row r="1805" spans="1:17" x14ac:dyDescent="0.3">
      <c r="A1805" t="s">
        <v>17</v>
      </c>
      <c r="B1805" t="str">
        <f>"688110"</f>
        <v>688110</v>
      </c>
      <c r="C1805" t="s">
        <v>3929</v>
      </c>
      <c r="D1805" t="s">
        <v>461</v>
      </c>
      <c r="P1805">
        <v>28</v>
      </c>
      <c r="Q1805" t="s">
        <v>3930</v>
      </c>
    </row>
    <row r="1806" spans="1:17" x14ac:dyDescent="0.3">
      <c r="A1806" t="s">
        <v>17</v>
      </c>
      <c r="B1806" t="str">
        <f>"688111"</f>
        <v>688111</v>
      </c>
      <c r="C1806" t="s">
        <v>3931</v>
      </c>
      <c r="D1806" t="s">
        <v>1189</v>
      </c>
      <c r="P1806">
        <v>964</v>
      </c>
      <c r="Q1806" t="s">
        <v>3932</v>
      </c>
    </row>
    <row r="1807" spans="1:17" x14ac:dyDescent="0.3">
      <c r="A1807" t="s">
        <v>17</v>
      </c>
      <c r="B1807" t="str">
        <f>"688112"</f>
        <v>688112</v>
      </c>
      <c r="C1807" t="s">
        <v>3933</v>
      </c>
      <c r="D1807" t="s">
        <v>2557</v>
      </c>
      <c r="P1807">
        <v>42</v>
      </c>
      <c r="Q1807" t="s">
        <v>3934</v>
      </c>
    </row>
    <row r="1808" spans="1:17" x14ac:dyDescent="0.3">
      <c r="A1808" t="s">
        <v>17</v>
      </c>
      <c r="B1808" t="str">
        <f>"688113"</f>
        <v>688113</v>
      </c>
      <c r="C1808" t="s">
        <v>3935</v>
      </c>
      <c r="D1808" t="s">
        <v>741</v>
      </c>
      <c r="P1808">
        <v>40</v>
      </c>
      <c r="Q1808" t="s">
        <v>3936</v>
      </c>
    </row>
    <row r="1809" spans="1:17" x14ac:dyDescent="0.3">
      <c r="A1809" t="s">
        <v>17</v>
      </c>
      <c r="B1809" t="str">
        <f>"688115"</f>
        <v>688115</v>
      </c>
      <c r="C1809" t="s">
        <v>3937</v>
      </c>
      <c r="P1809">
        <v>7</v>
      </c>
      <c r="Q1809" t="s">
        <v>3938</v>
      </c>
    </row>
    <row r="1810" spans="1:17" x14ac:dyDescent="0.3">
      <c r="A1810" t="s">
        <v>17</v>
      </c>
      <c r="B1810" t="str">
        <f>"688116"</f>
        <v>688116</v>
      </c>
      <c r="C1810" t="s">
        <v>3939</v>
      </c>
      <c r="D1810" t="s">
        <v>1786</v>
      </c>
      <c r="P1810">
        <v>197</v>
      </c>
      <c r="Q1810" t="s">
        <v>3940</v>
      </c>
    </row>
    <row r="1811" spans="1:17" x14ac:dyDescent="0.3">
      <c r="A1811" t="s">
        <v>17</v>
      </c>
      <c r="B1811" t="str">
        <f>"688117"</f>
        <v>688117</v>
      </c>
      <c r="C1811" t="s">
        <v>3941</v>
      </c>
      <c r="D1811" t="s">
        <v>143</v>
      </c>
      <c r="P1811">
        <v>29</v>
      </c>
      <c r="Q1811" t="s">
        <v>3942</v>
      </c>
    </row>
    <row r="1812" spans="1:17" x14ac:dyDescent="0.3">
      <c r="A1812" t="s">
        <v>17</v>
      </c>
      <c r="B1812" t="str">
        <f>"688118"</f>
        <v>688118</v>
      </c>
      <c r="C1812" t="s">
        <v>3943</v>
      </c>
      <c r="D1812" t="s">
        <v>945</v>
      </c>
      <c r="P1812">
        <v>71</v>
      </c>
      <c r="Q1812" t="s">
        <v>3944</v>
      </c>
    </row>
    <row r="1813" spans="1:17" x14ac:dyDescent="0.3">
      <c r="A1813" t="s">
        <v>17</v>
      </c>
      <c r="B1813" t="str">
        <f>"688121"</f>
        <v>688121</v>
      </c>
      <c r="C1813" t="s">
        <v>3945</v>
      </c>
      <c r="D1813" t="s">
        <v>395</v>
      </c>
      <c r="P1813">
        <v>24</v>
      </c>
      <c r="Q1813" t="s">
        <v>3946</v>
      </c>
    </row>
    <row r="1814" spans="1:17" x14ac:dyDescent="0.3">
      <c r="A1814" t="s">
        <v>17</v>
      </c>
      <c r="B1814" t="str">
        <f>"688122"</f>
        <v>688122</v>
      </c>
      <c r="C1814" t="s">
        <v>3947</v>
      </c>
      <c r="D1814" t="s">
        <v>98</v>
      </c>
      <c r="P1814">
        <v>309</v>
      </c>
      <c r="Q1814" t="s">
        <v>3948</v>
      </c>
    </row>
    <row r="1815" spans="1:17" x14ac:dyDescent="0.3">
      <c r="A1815" t="s">
        <v>17</v>
      </c>
      <c r="B1815" t="str">
        <f>"688123"</f>
        <v>688123</v>
      </c>
      <c r="C1815" t="s">
        <v>3949</v>
      </c>
      <c r="D1815" t="s">
        <v>461</v>
      </c>
      <c r="P1815">
        <v>163</v>
      </c>
      <c r="Q1815" t="s">
        <v>3950</v>
      </c>
    </row>
    <row r="1816" spans="1:17" x14ac:dyDescent="0.3">
      <c r="A1816" t="s">
        <v>17</v>
      </c>
      <c r="B1816" t="str">
        <f>"688125"</f>
        <v>688125</v>
      </c>
      <c r="C1816" t="s">
        <v>3951</v>
      </c>
      <c r="P1816">
        <v>2</v>
      </c>
      <c r="Q1816" t="s">
        <v>3952</v>
      </c>
    </row>
    <row r="1817" spans="1:17" x14ac:dyDescent="0.3">
      <c r="A1817" t="s">
        <v>17</v>
      </c>
      <c r="B1817" t="str">
        <f>"688126"</f>
        <v>688126</v>
      </c>
      <c r="C1817" t="s">
        <v>3953</v>
      </c>
      <c r="D1817" t="s">
        <v>475</v>
      </c>
      <c r="P1817">
        <v>329</v>
      </c>
      <c r="Q1817" t="s">
        <v>3954</v>
      </c>
    </row>
    <row r="1818" spans="1:17" x14ac:dyDescent="0.3">
      <c r="A1818" t="s">
        <v>17</v>
      </c>
      <c r="B1818" t="str">
        <f>"688127"</f>
        <v>688127</v>
      </c>
      <c r="C1818" t="s">
        <v>3955</v>
      </c>
      <c r="D1818" t="s">
        <v>164</v>
      </c>
      <c r="P1818">
        <v>86</v>
      </c>
      <c r="Q1818" t="s">
        <v>3956</v>
      </c>
    </row>
    <row r="1819" spans="1:17" x14ac:dyDescent="0.3">
      <c r="A1819" t="s">
        <v>17</v>
      </c>
      <c r="B1819" t="str">
        <f>"688128"</f>
        <v>688128</v>
      </c>
      <c r="C1819" t="s">
        <v>3957</v>
      </c>
      <c r="D1819" t="s">
        <v>741</v>
      </c>
      <c r="P1819">
        <v>68</v>
      </c>
      <c r="Q1819" t="s">
        <v>3958</v>
      </c>
    </row>
    <row r="1820" spans="1:17" x14ac:dyDescent="0.3">
      <c r="A1820" t="s">
        <v>17</v>
      </c>
      <c r="B1820" t="str">
        <f>"688129"</f>
        <v>688129</v>
      </c>
      <c r="C1820" t="s">
        <v>3959</v>
      </c>
      <c r="D1820" t="s">
        <v>2576</v>
      </c>
      <c r="P1820">
        <v>38</v>
      </c>
      <c r="Q1820" t="s">
        <v>3960</v>
      </c>
    </row>
    <row r="1821" spans="1:17" x14ac:dyDescent="0.3">
      <c r="A1821" t="s">
        <v>17</v>
      </c>
      <c r="B1821" t="str">
        <f>"688131"</f>
        <v>688131</v>
      </c>
      <c r="C1821" t="s">
        <v>3961</v>
      </c>
      <c r="D1821" t="s">
        <v>496</v>
      </c>
      <c r="P1821">
        <v>88</v>
      </c>
      <c r="Q1821" t="s">
        <v>3962</v>
      </c>
    </row>
    <row r="1822" spans="1:17" x14ac:dyDescent="0.3">
      <c r="A1822" t="s">
        <v>17</v>
      </c>
      <c r="B1822" t="str">
        <f>"688133"</f>
        <v>688133</v>
      </c>
      <c r="C1822" t="s">
        <v>3963</v>
      </c>
      <c r="D1822" t="s">
        <v>386</v>
      </c>
      <c r="P1822">
        <v>118</v>
      </c>
      <c r="Q1822" t="s">
        <v>3964</v>
      </c>
    </row>
    <row r="1823" spans="1:17" x14ac:dyDescent="0.3">
      <c r="A1823" t="s">
        <v>17</v>
      </c>
      <c r="B1823" t="str">
        <f>"688135"</f>
        <v>688135</v>
      </c>
      <c r="C1823" t="s">
        <v>3965</v>
      </c>
      <c r="D1823" t="s">
        <v>1180</v>
      </c>
      <c r="P1823">
        <v>87</v>
      </c>
      <c r="Q1823" t="s">
        <v>3966</v>
      </c>
    </row>
    <row r="1824" spans="1:17" x14ac:dyDescent="0.3">
      <c r="A1824" t="s">
        <v>17</v>
      </c>
      <c r="B1824" t="str">
        <f>"688136"</f>
        <v>688136</v>
      </c>
      <c r="C1824" t="s">
        <v>3967</v>
      </c>
      <c r="D1824" t="s">
        <v>1379</v>
      </c>
      <c r="P1824">
        <v>66</v>
      </c>
      <c r="Q1824" t="s">
        <v>3968</v>
      </c>
    </row>
    <row r="1825" spans="1:17" x14ac:dyDescent="0.3">
      <c r="A1825" t="s">
        <v>17</v>
      </c>
      <c r="B1825" t="str">
        <f>"688138"</f>
        <v>688138</v>
      </c>
      <c r="C1825" t="s">
        <v>3969</v>
      </c>
      <c r="D1825" t="s">
        <v>475</v>
      </c>
      <c r="P1825">
        <v>92</v>
      </c>
      <c r="Q1825" t="s">
        <v>3970</v>
      </c>
    </row>
    <row r="1826" spans="1:17" x14ac:dyDescent="0.3">
      <c r="A1826" t="s">
        <v>17</v>
      </c>
      <c r="B1826" t="str">
        <f>"688139"</f>
        <v>688139</v>
      </c>
      <c r="C1826" t="s">
        <v>3971</v>
      </c>
      <c r="D1826" t="s">
        <v>122</v>
      </c>
      <c r="P1826">
        <v>349</v>
      </c>
      <c r="Q1826" t="s">
        <v>3972</v>
      </c>
    </row>
    <row r="1827" spans="1:17" x14ac:dyDescent="0.3">
      <c r="A1827" t="s">
        <v>17</v>
      </c>
      <c r="B1827" t="str">
        <f>"688148"</f>
        <v>688148</v>
      </c>
      <c r="C1827" t="s">
        <v>3973</v>
      </c>
      <c r="D1827" t="s">
        <v>1786</v>
      </c>
      <c r="P1827">
        <v>29</v>
      </c>
      <c r="Q1827" t="s">
        <v>3974</v>
      </c>
    </row>
    <row r="1828" spans="1:17" x14ac:dyDescent="0.3">
      <c r="A1828" t="s">
        <v>17</v>
      </c>
      <c r="B1828" t="str">
        <f>"688150"</f>
        <v>688150</v>
      </c>
      <c r="C1828" t="s">
        <v>3975</v>
      </c>
      <c r="P1828">
        <v>4</v>
      </c>
      <c r="Q1828" t="s">
        <v>3976</v>
      </c>
    </row>
    <row r="1829" spans="1:17" x14ac:dyDescent="0.3">
      <c r="A1829" t="s">
        <v>17</v>
      </c>
      <c r="B1829" t="str">
        <f>"688151"</f>
        <v>688151</v>
      </c>
      <c r="C1829" t="s">
        <v>3977</v>
      </c>
      <c r="D1829" t="s">
        <v>428</v>
      </c>
      <c r="P1829">
        <v>13</v>
      </c>
      <c r="Q1829" t="s">
        <v>3978</v>
      </c>
    </row>
    <row r="1830" spans="1:17" x14ac:dyDescent="0.3">
      <c r="A1830" t="s">
        <v>17</v>
      </c>
      <c r="B1830" t="str">
        <f>"688153"</f>
        <v>688153</v>
      </c>
      <c r="C1830" t="s">
        <v>3979</v>
      </c>
      <c r="P1830">
        <v>8</v>
      </c>
      <c r="Q1830" t="s">
        <v>3980</v>
      </c>
    </row>
    <row r="1831" spans="1:17" x14ac:dyDescent="0.3">
      <c r="A1831" t="s">
        <v>17</v>
      </c>
      <c r="B1831" t="str">
        <f>"688155"</f>
        <v>688155</v>
      </c>
      <c r="C1831" t="s">
        <v>3981</v>
      </c>
      <c r="D1831" t="s">
        <v>3761</v>
      </c>
      <c r="P1831">
        <v>101</v>
      </c>
      <c r="Q1831" t="s">
        <v>3982</v>
      </c>
    </row>
    <row r="1832" spans="1:17" x14ac:dyDescent="0.3">
      <c r="A1832" t="s">
        <v>17</v>
      </c>
      <c r="B1832" t="str">
        <f>"688156"</f>
        <v>688156</v>
      </c>
      <c r="C1832" t="s">
        <v>3983</v>
      </c>
      <c r="D1832" t="s">
        <v>499</v>
      </c>
      <c r="P1832">
        <v>41</v>
      </c>
      <c r="Q1832" t="s">
        <v>3984</v>
      </c>
    </row>
    <row r="1833" spans="1:17" x14ac:dyDescent="0.3">
      <c r="A1833" t="s">
        <v>17</v>
      </c>
      <c r="B1833" t="str">
        <f>"688157"</f>
        <v>688157</v>
      </c>
      <c r="C1833" t="s">
        <v>3985</v>
      </c>
      <c r="D1833" t="s">
        <v>2576</v>
      </c>
      <c r="P1833">
        <v>100</v>
      </c>
      <c r="Q1833" t="s">
        <v>3986</v>
      </c>
    </row>
    <row r="1834" spans="1:17" x14ac:dyDescent="0.3">
      <c r="A1834" t="s">
        <v>17</v>
      </c>
      <c r="B1834" t="str">
        <f>"688158"</f>
        <v>688158</v>
      </c>
      <c r="C1834" t="s">
        <v>3987</v>
      </c>
      <c r="D1834" t="s">
        <v>316</v>
      </c>
      <c r="P1834">
        <v>104</v>
      </c>
      <c r="Q1834" t="s">
        <v>3988</v>
      </c>
    </row>
    <row r="1835" spans="1:17" x14ac:dyDescent="0.3">
      <c r="A1835" t="s">
        <v>17</v>
      </c>
      <c r="B1835" t="str">
        <f>"688159"</f>
        <v>688159</v>
      </c>
      <c r="C1835" t="s">
        <v>3989</v>
      </c>
      <c r="D1835" t="s">
        <v>786</v>
      </c>
      <c r="P1835">
        <v>94</v>
      </c>
      <c r="Q1835" t="s">
        <v>3990</v>
      </c>
    </row>
    <row r="1836" spans="1:17" x14ac:dyDescent="0.3">
      <c r="A1836" t="s">
        <v>17</v>
      </c>
      <c r="B1836" t="str">
        <f>"688160"</f>
        <v>688160</v>
      </c>
      <c r="C1836" t="s">
        <v>3991</v>
      </c>
      <c r="D1836" t="s">
        <v>2425</v>
      </c>
      <c r="P1836">
        <v>44</v>
      </c>
      <c r="Q1836" t="s">
        <v>3992</v>
      </c>
    </row>
    <row r="1837" spans="1:17" x14ac:dyDescent="0.3">
      <c r="A1837" t="s">
        <v>17</v>
      </c>
      <c r="B1837" t="str">
        <f>"688161"</f>
        <v>688161</v>
      </c>
      <c r="C1837" t="s">
        <v>3993</v>
      </c>
      <c r="D1837" t="s">
        <v>1077</v>
      </c>
      <c r="P1837">
        <v>101</v>
      </c>
      <c r="Q1837" t="s">
        <v>3994</v>
      </c>
    </row>
    <row r="1838" spans="1:17" x14ac:dyDescent="0.3">
      <c r="A1838" t="s">
        <v>17</v>
      </c>
      <c r="B1838" t="str">
        <f>"688162"</f>
        <v>688162</v>
      </c>
      <c r="C1838" t="s">
        <v>3995</v>
      </c>
      <c r="D1838" t="s">
        <v>348</v>
      </c>
      <c r="P1838">
        <v>31</v>
      </c>
      <c r="Q1838" t="s">
        <v>3996</v>
      </c>
    </row>
    <row r="1839" spans="1:17" x14ac:dyDescent="0.3">
      <c r="A1839" t="s">
        <v>17</v>
      </c>
      <c r="B1839" t="str">
        <f>"688163"</f>
        <v>688163</v>
      </c>
      <c r="C1839" t="s">
        <v>3997</v>
      </c>
      <c r="P1839">
        <v>12</v>
      </c>
      <c r="Q1839" t="s">
        <v>3998</v>
      </c>
    </row>
    <row r="1840" spans="1:17" x14ac:dyDescent="0.3">
      <c r="A1840" t="s">
        <v>17</v>
      </c>
      <c r="B1840" t="str">
        <f>"688165"</f>
        <v>688165</v>
      </c>
      <c r="C1840" t="s">
        <v>3999</v>
      </c>
      <c r="D1840" t="s">
        <v>2923</v>
      </c>
      <c r="P1840">
        <v>64</v>
      </c>
      <c r="Q1840" t="s">
        <v>4000</v>
      </c>
    </row>
    <row r="1841" spans="1:17" x14ac:dyDescent="0.3">
      <c r="A1841" t="s">
        <v>17</v>
      </c>
      <c r="B1841" t="str">
        <f>"688166"</f>
        <v>688166</v>
      </c>
      <c r="C1841" t="s">
        <v>4001</v>
      </c>
      <c r="D1841" t="s">
        <v>143</v>
      </c>
      <c r="P1841">
        <v>190</v>
      </c>
      <c r="Q1841" t="s">
        <v>4002</v>
      </c>
    </row>
    <row r="1842" spans="1:17" x14ac:dyDescent="0.3">
      <c r="A1842" t="s">
        <v>17</v>
      </c>
      <c r="B1842" t="str">
        <f>"688167"</f>
        <v>688167</v>
      </c>
      <c r="C1842" t="s">
        <v>4003</v>
      </c>
      <c r="D1842" t="s">
        <v>3796</v>
      </c>
      <c r="P1842">
        <v>32</v>
      </c>
      <c r="Q1842" t="s">
        <v>4004</v>
      </c>
    </row>
    <row r="1843" spans="1:17" x14ac:dyDescent="0.3">
      <c r="A1843" t="s">
        <v>17</v>
      </c>
      <c r="B1843" t="str">
        <f>"688168"</f>
        <v>688168</v>
      </c>
      <c r="C1843" t="s">
        <v>4005</v>
      </c>
      <c r="D1843" t="s">
        <v>1189</v>
      </c>
      <c r="P1843">
        <v>144</v>
      </c>
      <c r="Q1843" t="s">
        <v>4006</v>
      </c>
    </row>
    <row r="1844" spans="1:17" x14ac:dyDescent="0.3">
      <c r="A1844" t="s">
        <v>17</v>
      </c>
      <c r="B1844" t="str">
        <f>"688169"</f>
        <v>688169</v>
      </c>
      <c r="C1844" t="s">
        <v>4007</v>
      </c>
      <c r="D1844" t="s">
        <v>2709</v>
      </c>
      <c r="P1844">
        <v>758</v>
      </c>
      <c r="Q1844" t="s">
        <v>4008</v>
      </c>
    </row>
    <row r="1845" spans="1:17" x14ac:dyDescent="0.3">
      <c r="A1845" t="s">
        <v>17</v>
      </c>
      <c r="B1845" t="str">
        <f>"688170"</f>
        <v>688170</v>
      </c>
      <c r="C1845" t="s">
        <v>4009</v>
      </c>
      <c r="P1845">
        <v>2</v>
      </c>
      <c r="Q1845" t="s">
        <v>4010</v>
      </c>
    </row>
    <row r="1846" spans="1:17" x14ac:dyDescent="0.3">
      <c r="A1846" t="s">
        <v>17</v>
      </c>
      <c r="B1846" t="str">
        <f>"688171"</f>
        <v>688171</v>
      </c>
      <c r="C1846" t="s">
        <v>4011</v>
      </c>
      <c r="P1846">
        <v>12</v>
      </c>
      <c r="Q1846" t="s">
        <v>4012</v>
      </c>
    </row>
    <row r="1847" spans="1:17" x14ac:dyDescent="0.3">
      <c r="A1847" t="s">
        <v>17</v>
      </c>
      <c r="B1847" t="str">
        <f>"688173"</f>
        <v>688173</v>
      </c>
      <c r="C1847" t="s">
        <v>4013</v>
      </c>
      <c r="P1847">
        <v>11</v>
      </c>
      <c r="Q1847" t="s">
        <v>4014</v>
      </c>
    </row>
    <row r="1848" spans="1:17" x14ac:dyDescent="0.3">
      <c r="A1848" t="s">
        <v>17</v>
      </c>
      <c r="B1848" t="str">
        <f>"688175"</f>
        <v>688175</v>
      </c>
      <c r="C1848" t="s">
        <v>4015</v>
      </c>
      <c r="P1848">
        <v>3</v>
      </c>
      <c r="Q1848" t="s">
        <v>4016</v>
      </c>
    </row>
    <row r="1849" spans="1:17" x14ac:dyDescent="0.3">
      <c r="A1849" t="s">
        <v>17</v>
      </c>
      <c r="B1849" t="str">
        <f>"688176"</f>
        <v>688176</v>
      </c>
      <c r="C1849" t="s">
        <v>4017</v>
      </c>
      <c r="D1849" t="s">
        <v>143</v>
      </c>
      <c r="P1849">
        <v>9</v>
      </c>
      <c r="Q1849" t="s">
        <v>4018</v>
      </c>
    </row>
    <row r="1850" spans="1:17" x14ac:dyDescent="0.3">
      <c r="A1850" t="s">
        <v>17</v>
      </c>
      <c r="B1850" t="str">
        <f>"688177"</f>
        <v>688177</v>
      </c>
      <c r="C1850" t="s">
        <v>4019</v>
      </c>
      <c r="D1850" t="s">
        <v>1379</v>
      </c>
      <c r="P1850">
        <v>98</v>
      </c>
      <c r="Q1850" t="s">
        <v>4020</v>
      </c>
    </row>
    <row r="1851" spans="1:17" x14ac:dyDescent="0.3">
      <c r="A1851" t="s">
        <v>17</v>
      </c>
      <c r="B1851" t="str">
        <f>"688178"</f>
        <v>688178</v>
      </c>
      <c r="C1851" t="s">
        <v>4021</v>
      </c>
      <c r="D1851" t="s">
        <v>33</v>
      </c>
      <c r="P1851">
        <v>69</v>
      </c>
      <c r="Q1851" t="s">
        <v>4022</v>
      </c>
    </row>
    <row r="1852" spans="1:17" x14ac:dyDescent="0.3">
      <c r="A1852" t="s">
        <v>17</v>
      </c>
      <c r="B1852" t="str">
        <f>"688179"</f>
        <v>688179</v>
      </c>
      <c r="C1852" t="s">
        <v>4023</v>
      </c>
      <c r="D1852" t="s">
        <v>386</v>
      </c>
      <c r="P1852">
        <v>156</v>
      </c>
      <c r="Q1852" t="s">
        <v>4024</v>
      </c>
    </row>
    <row r="1853" spans="1:17" x14ac:dyDescent="0.3">
      <c r="A1853" t="s">
        <v>17</v>
      </c>
      <c r="B1853" t="str">
        <f>"688180"</f>
        <v>688180</v>
      </c>
      <c r="C1853" t="s">
        <v>4025</v>
      </c>
      <c r="D1853" t="s">
        <v>1379</v>
      </c>
      <c r="P1853">
        <v>206</v>
      </c>
      <c r="Q1853" t="s">
        <v>4026</v>
      </c>
    </row>
    <row r="1854" spans="1:17" x14ac:dyDescent="0.3">
      <c r="A1854" t="s">
        <v>17</v>
      </c>
      <c r="B1854" t="str">
        <f>"688181"</f>
        <v>688181</v>
      </c>
      <c r="C1854" t="s">
        <v>4027</v>
      </c>
      <c r="D1854" t="s">
        <v>1117</v>
      </c>
      <c r="P1854">
        <v>108</v>
      </c>
      <c r="Q1854" t="s">
        <v>4028</v>
      </c>
    </row>
    <row r="1855" spans="1:17" x14ac:dyDescent="0.3">
      <c r="A1855" t="s">
        <v>17</v>
      </c>
      <c r="B1855" t="str">
        <f>"688182"</f>
        <v>688182</v>
      </c>
      <c r="C1855" t="s">
        <v>4029</v>
      </c>
      <c r="D1855" t="s">
        <v>1019</v>
      </c>
      <c r="P1855">
        <v>17</v>
      </c>
      <c r="Q1855" t="s">
        <v>4030</v>
      </c>
    </row>
    <row r="1856" spans="1:17" x14ac:dyDescent="0.3">
      <c r="A1856" t="s">
        <v>17</v>
      </c>
      <c r="B1856" t="str">
        <f>"688183"</f>
        <v>688183</v>
      </c>
      <c r="C1856" t="s">
        <v>4031</v>
      </c>
      <c r="D1856" t="s">
        <v>425</v>
      </c>
      <c r="P1856">
        <v>41</v>
      </c>
      <c r="Q1856" t="s">
        <v>4032</v>
      </c>
    </row>
    <row r="1857" spans="1:17" x14ac:dyDescent="0.3">
      <c r="A1857" t="s">
        <v>17</v>
      </c>
      <c r="B1857" t="str">
        <f>"688185"</f>
        <v>688185</v>
      </c>
      <c r="C1857" t="s">
        <v>4033</v>
      </c>
      <c r="D1857" t="s">
        <v>1499</v>
      </c>
      <c r="P1857">
        <v>266</v>
      </c>
      <c r="Q1857" t="s">
        <v>4034</v>
      </c>
    </row>
    <row r="1858" spans="1:17" x14ac:dyDescent="0.3">
      <c r="A1858" t="s">
        <v>17</v>
      </c>
      <c r="B1858" t="str">
        <f>"688186"</f>
        <v>688186</v>
      </c>
      <c r="C1858" t="s">
        <v>4035</v>
      </c>
      <c r="D1858" t="s">
        <v>281</v>
      </c>
      <c r="P1858">
        <v>110</v>
      </c>
      <c r="Q1858" t="s">
        <v>4036</v>
      </c>
    </row>
    <row r="1859" spans="1:17" x14ac:dyDescent="0.3">
      <c r="A1859" t="s">
        <v>17</v>
      </c>
      <c r="B1859" t="str">
        <f>"688187"</f>
        <v>688187</v>
      </c>
      <c r="C1859" t="s">
        <v>4037</v>
      </c>
      <c r="D1859" t="s">
        <v>1012</v>
      </c>
      <c r="P1859">
        <v>59</v>
      </c>
      <c r="Q1859" t="s">
        <v>4038</v>
      </c>
    </row>
    <row r="1860" spans="1:17" x14ac:dyDescent="0.3">
      <c r="A1860" t="s">
        <v>17</v>
      </c>
      <c r="B1860" t="str">
        <f>"688188"</f>
        <v>688188</v>
      </c>
      <c r="C1860" t="s">
        <v>4039</v>
      </c>
      <c r="D1860" t="s">
        <v>236</v>
      </c>
      <c r="P1860">
        <v>363</v>
      </c>
      <c r="Q1860" t="s">
        <v>4040</v>
      </c>
    </row>
    <row r="1861" spans="1:17" x14ac:dyDescent="0.3">
      <c r="A1861" t="s">
        <v>17</v>
      </c>
      <c r="B1861" t="str">
        <f>"688189"</f>
        <v>688189</v>
      </c>
      <c r="C1861" t="s">
        <v>4041</v>
      </c>
      <c r="D1861" t="s">
        <v>143</v>
      </c>
      <c r="P1861">
        <v>97</v>
      </c>
      <c r="Q1861" t="s">
        <v>4042</v>
      </c>
    </row>
    <row r="1862" spans="1:17" x14ac:dyDescent="0.3">
      <c r="A1862" t="s">
        <v>17</v>
      </c>
      <c r="B1862" t="str">
        <f>"688190"</f>
        <v>688190</v>
      </c>
      <c r="C1862" t="s">
        <v>4043</v>
      </c>
      <c r="D1862" t="s">
        <v>581</v>
      </c>
      <c r="P1862">
        <v>15</v>
      </c>
      <c r="Q1862" t="s">
        <v>4044</v>
      </c>
    </row>
    <row r="1863" spans="1:17" x14ac:dyDescent="0.3">
      <c r="A1863" t="s">
        <v>17</v>
      </c>
      <c r="B1863" t="str">
        <f>"688191"</f>
        <v>688191</v>
      </c>
      <c r="C1863" t="s">
        <v>4045</v>
      </c>
      <c r="D1863" t="s">
        <v>610</v>
      </c>
      <c r="P1863">
        <v>56</v>
      </c>
      <c r="Q1863" t="s">
        <v>4046</v>
      </c>
    </row>
    <row r="1864" spans="1:17" x14ac:dyDescent="0.3">
      <c r="A1864" t="s">
        <v>17</v>
      </c>
      <c r="B1864" t="str">
        <f>"688192"</f>
        <v>688192</v>
      </c>
      <c r="C1864" t="s">
        <v>4047</v>
      </c>
      <c r="D1864" t="s">
        <v>143</v>
      </c>
      <c r="P1864">
        <v>11</v>
      </c>
      <c r="Q1864" t="s">
        <v>4048</v>
      </c>
    </row>
    <row r="1865" spans="1:17" x14ac:dyDescent="0.3">
      <c r="A1865" t="s">
        <v>17</v>
      </c>
      <c r="B1865" t="str">
        <f>"688193"</f>
        <v>688193</v>
      </c>
      <c r="C1865" t="s">
        <v>4049</v>
      </c>
      <c r="P1865">
        <v>2</v>
      </c>
      <c r="Q1865" t="s">
        <v>4050</v>
      </c>
    </row>
    <row r="1866" spans="1:17" x14ac:dyDescent="0.3">
      <c r="A1866" t="s">
        <v>17</v>
      </c>
      <c r="B1866" t="str">
        <f>"688195"</f>
        <v>688195</v>
      </c>
      <c r="C1866" t="s">
        <v>4051</v>
      </c>
      <c r="D1866" t="s">
        <v>164</v>
      </c>
      <c r="P1866">
        <v>41</v>
      </c>
      <c r="Q1866" t="s">
        <v>4052</v>
      </c>
    </row>
    <row r="1867" spans="1:17" x14ac:dyDescent="0.3">
      <c r="A1867" t="s">
        <v>17</v>
      </c>
      <c r="B1867" t="str">
        <f>"688196"</f>
        <v>688196</v>
      </c>
      <c r="C1867" t="s">
        <v>4053</v>
      </c>
      <c r="D1867" t="s">
        <v>386</v>
      </c>
      <c r="P1867">
        <v>188</v>
      </c>
      <c r="Q1867" t="s">
        <v>4054</v>
      </c>
    </row>
    <row r="1868" spans="1:17" x14ac:dyDescent="0.3">
      <c r="A1868" t="s">
        <v>17</v>
      </c>
      <c r="B1868" t="str">
        <f>"688197"</f>
        <v>688197</v>
      </c>
      <c r="C1868" t="s">
        <v>4055</v>
      </c>
      <c r="P1868">
        <v>3</v>
      </c>
      <c r="Q1868" t="s">
        <v>4056</v>
      </c>
    </row>
    <row r="1869" spans="1:17" x14ac:dyDescent="0.3">
      <c r="A1869" t="s">
        <v>17</v>
      </c>
      <c r="B1869" t="str">
        <f>"688198"</f>
        <v>688198</v>
      </c>
      <c r="C1869" t="s">
        <v>4057</v>
      </c>
      <c r="D1869" t="s">
        <v>1077</v>
      </c>
      <c r="P1869">
        <v>190</v>
      </c>
      <c r="Q1869" t="s">
        <v>4058</v>
      </c>
    </row>
    <row r="1870" spans="1:17" x14ac:dyDescent="0.3">
      <c r="A1870" t="s">
        <v>17</v>
      </c>
      <c r="B1870" t="str">
        <f>"688199"</f>
        <v>688199</v>
      </c>
      <c r="C1870" t="s">
        <v>4059</v>
      </c>
      <c r="D1870" t="s">
        <v>386</v>
      </c>
      <c r="P1870">
        <v>94</v>
      </c>
      <c r="Q1870" t="s">
        <v>4060</v>
      </c>
    </row>
    <row r="1871" spans="1:17" x14ac:dyDescent="0.3">
      <c r="A1871" t="s">
        <v>17</v>
      </c>
      <c r="B1871" t="str">
        <f>"688200"</f>
        <v>688200</v>
      </c>
      <c r="C1871" t="s">
        <v>4061</v>
      </c>
      <c r="D1871" t="s">
        <v>3172</v>
      </c>
      <c r="P1871">
        <v>291</v>
      </c>
      <c r="Q1871" t="s">
        <v>4062</v>
      </c>
    </row>
    <row r="1872" spans="1:17" x14ac:dyDescent="0.3">
      <c r="A1872" t="s">
        <v>17</v>
      </c>
      <c r="B1872" t="str">
        <f>"688201"</f>
        <v>688201</v>
      </c>
      <c r="C1872" t="s">
        <v>4063</v>
      </c>
      <c r="D1872" t="s">
        <v>1189</v>
      </c>
      <c r="P1872">
        <v>62</v>
      </c>
      <c r="Q1872" t="s">
        <v>4064</v>
      </c>
    </row>
    <row r="1873" spans="1:17" x14ac:dyDescent="0.3">
      <c r="A1873" t="s">
        <v>17</v>
      </c>
      <c r="B1873" t="str">
        <f>"688202"</f>
        <v>688202</v>
      </c>
      <c r="C1873" t="s">
        <v>4065</v>
      </c>
      <c r="D1873" t="s">
        <v>1461</v>
      </c>
      <c r="P1873">
        <v>382</v>
      </c>
      <c r="Q1873" t="s">
        <v>4066</v>
      </c>
    </row>
    <row r="1874" spans="1:17" x14ac:dyDescent="0.3">
      <c r="A1874" t="s">
        <v>17</v>
      </c>
      <c r="B1874" t="str">
        <f>"688206"</f>
        <v>688206</v>
      </c>
      <c r="C1874" t="s">
        <v>4067</v>
      </c>
      <c r="D1874" t="s">
        <v>3172</v>
      </c>
      <c r="P1874">
        <v>26</v>
      </c>
      <c r="Q1874" t="s">
        <v>4068</v>
      </c>
    </row>
    <row r="1875" spans="1:17" x14ac:dyDescent="0.3">
      <c r="A1875" t="s">
        <v>17</v>
      </c>
      <c r="B1875" t="str">
        <f>"688207"</f>
        <v>688207</v>
      </c>
      <c r="C1875" t="s">
        <v>4069</v>
      </c>
      <c r="P1875">
        <v>7</v>
      </c>
      <c r="Q1875" t="s">
        <v>4070</v>
      </c>
    </row>
    <row r="1876" spans="1:17" x14ac:dyDescent="0.3">
      <c r="A1876" t="s">
        <v>17</v>
      </c>
      <c r="B1876" t="str">
        <f>"688208"</f>
        <v>688208</v>
      </c>
      <c r="C1876" t="s">
        <v>4071</v>
      </c>
      <c r="D1876" t="s">
        <v>236</v>
      </c>
      <c r="P1876">
        <v>220</v>
      </c>
      <c r="Q1876" t="s">
        <v>4072</v>
      </c>
    </row>
    <row r="1877" spans="1:17" x14ac:dyDescent="0.3">
      <c r="A1877" t="s">
        <v>17</v>
      </c>
      <c r="B1877" t="str">
        <f>"688209"</f>
        <v>688209</v>
      </c>
      <c r="C1877" t="s">
        <v>4073</v>
      </c>
      <c r="P1877">
        <v>5</v>
      </c>
      <c r="Q1877" t="s">
        <v>4074</v>
      </c>
    </row>
    <row r="1878" spans="1:17" x14ac:dyDescent="0.3">
      <c r="A1878" t="s">
        <v>17</v>
      </c>
      <c r="B1878" t="str">
        <f>"688210"</f>
        <v>688210</v>
      </c>
      <c r="C1878" t="s">
        <v>4075</v>
      </c>
      <c r="D1878" t="s">
        <v>313</v>
      </c>
      <c r="P1878">
        <v>9</v>
      </c>
      <c r="Q1878" t="s">
        <v>4076</v>
      </c>
    </row>
    <row r="1879" spans="1:17" x14ac:dyDescent="0.3">
      <c r="A1879" t="s">
        <v>17</v>
      </c>
      <c r="B1879" t="str">
        <f>"688211"</f>
        <v>688211</v>
      </c>
      <c r="C1879" t="s">
        <v>4077</v>
      </c>
      <c r="D1879" t="s">
        <v>741</v>
      </c>
      <c r="P1879">
        <v>27</v>
      </c>
      <c r="Q1879" t="s">
        <v>4078</v>
      </c>
    </row>
    <row r="1880" spans="1:17" x14ac:dyDescent="0.3">
      <c r="A1880" t="s">
        <v>17</v>
      </c>
      <c r="B1880" t="str">
        <f>"688212"</f>
        <v>688212</v>
      </c>
      <c r="C1880" t="s">
        <v>4079</v>
      </c>
      <c r="D1880" t="s">
        <v>122</v>
      </c>
      <c r="P1880">
        <v>31</v>
      </c>
      <c r="Q1880" t="s">
        <v>4080</v>
      </c>
    </row>
    <row r="1881" spans="1:17" x14ac:dyDescent="0.3">
      <c r="A1881" t="s">
        <v>17</v>
      </c>
      <c r="B1881" t="str">
        <f>"688213"</f>
        <v>688213</v>
      </c>
      <c r="C1881" t="s">
        <v>4081</v>
      </c>
      <c r="Q1881" t="s">
        <v>4082</v>
      </c>
    </row>
    <row r="1882" spans="1:17" x14ac:dyDescent="0.3">
      <c r="A1882" t="s">
        <v>17</v>
      </c>
      <c r="B1882" t="str">
        <f>"688215"</f>
        <v>688215</v>
      </c>
      <c r="C1882" t="s">
        <v>4083</v>
      </c>
      <c r="D1882" t="s">
        <v>3462</v>
      </c>
      <c r="P1882">
        <v>62</v>
      </c>
      <c r="Q1882" t="s">
        <v>4084</v>
      </c>
    </row>
    <row r="1883" spans="1:17" x14ac:dyDescent="0.3">
      <c r="A1883" t="s">
        <v>17</v>
      </c>
      <c r="B1883" t="str">
        <f>"688216"</f>
        <v>688216</v>
      </c>
      <c r="C1883" t="s">
        <v>4085</v>
      </c>
      <c r="D1883" t="s">
        <v>1180</v>
      </c>
      <c r="P1883">
        <v>26</v>
      </c>
      <c r="Q1883" t="s">
        <v>4086</v>
      </c>
    </row>
    <row r="1884" spans="1:17" x14ac:dyDescent="0.3">
      <c r="A1884" t="s">
        <v>17</v>
      </c>
      <c r="B1884" t="str">
        <f>"688217"</f>
        <v>688217</v>
      </c>
      <c r="C1884" t="s">
        <v>4087</v>
      </c>
      <c r="D1884" t="s">
        <v>1305</v>
      </c>
      <c r="P1884">
        <v>31</v>
      </c>
      <c r="Q1884" t="s">
        <v>4088</v>
      </c>
    </row>
    <row r="1885" spans="1:17" x14ac:dyDescent="0.3">
      <c r="A1885" t="s">
        <v>17</v>
      </c>
      <c r="B1885" t="str">
        <f>"688218"</f>
        <v>688218</v>
      </c>
      <c r="C1885" t="s">
        <v>4089</v>
      </c>
      <c r="D1885" t="s">
        <v>2923</v>
      </c>
      <c r="P1885">
        <v>47</v>
      </c>
      <c r="Q1885" t="s">
        <v>4090</v>
      </c>
    </row>
    <row r="1886" spans="1:17" x14ac:dyDescent="0.3">
      <c r="A1886" t="s">
        <v>17</v>
      </c>
      <c r="B1886" t="str">
        <f>"688219"</f>
        <v>688219</v>
      </c>
      <c r="C1886" t="s">
        <v>4091</v>
      </c>
      <c r="D1886" t="s">
        <v>341</v>
      </c>
      <c r="P1886">
        <v>50</v>
      </c>
      <c r="Q1886" t="s">
        <v>4092</v>
      </c>
    </row>
    <row r="1887" spans="1:17" x14ac:dyDescent="0.3">
      <c r="A1887" t="s">
        <v>17</v>
      </c>
      <c r="B1887" t="str">
        <f>"688220"</f>
        <v>688220</v>
      </c>
      <c r="C1887" t="s">
        <v>4093</v>
      </c>
      <c r="D1887" t="s">
        <v>401</v>
      </c>
      <c r="P1887">
        <v>19</v>
      </c>
      <c r="Q1887" t="s">
        <v>4094</v>
      </c>
    </row>
    <row r="1888" spans="1:17" x14ac:dyDescent="0.3">
      <c r="A1888" t="s">
        <v>17</v>
      </c>
      <c r="B1888" t="str">
        <f>"688221"</f>
        <v>688221</v>
      </c>
      <c r="C1888" t="s">
        <v>4095</v>
      </c>
      <c r="D1888" t="s">
        <v>143</v>
      </c>
      <c r="P1888">
        <v>51</v>
      </c>
      <c r="Q1888" t="s">
        <v>4096</v>
      </c>
    </row>
    <row r="1889" spans="1:17" x14ac:dyDescent="0.3">
      <c r="A1889" t="s">
        <v>17</v>
      </c>
      <c r="B1889" t="str">
        <f>"688222"</f>
        <v>688222</v>
      </c>
      <c r="C1889" t="s">
        <v>4097</v>
      </c>
      <c r="D1889" t="s">
        <v>1461</v>
      </c>
      <c r="P1889">
        <v>128</v>
      </c>
      <c r="Q1889" t="s">
        <v>4098</v>
      </c>
    </row>
    <row r="1890" spans="1:17" x14ac:dyDescent="0.3">
      <c r="A1890" t="s">
        <v>17</v>
      </c>
      <c r="B1890" t="str">
        <f>"688223"</f>
        <v>688223</v>
      </c>
      <c r="C1890" t="s">
        <v>4099</v>
      </c>
      <c r="D1890" t="s">
        <v>475</v>
      </c>
      <c r="P1890">
        <v>29</v>
      </c>
      <c r="Q1890" t="s">
        <v>4100</v>
      </c>
    </row>
    <row r="1891" spans="1:17" x14ac:dyDescent="0.3">
      <c r="A1891" t="s">
        <v>17</v>
      </c>
      <c r="B1891" t="str">
        <f>"688225"</f>
        <v>688225</v>
      </c>
      <c r="C1891" t="s">
        <v>4101</v>
      </c>
      <c r="P1891">
        <v>9</v>
      </c>
      <c r="Q1891" t="s">
        <v>4102</v>
      </c>
    </row>
    <row r="1892" spans="1:17" x14ac:dyDescent="0.3">
      <c r="A1892" t="s">
        <v>17</v>
      </c>
      <c r="B1892" t="str">
        <f>"688226"</f>
        <v>688226</v>
      </c>
      <c r="C1892" t="s">
        <v>4103</v>
      </c>
      <c r="D1892" t="s">
        <v>1164</v>
      </c>
      <c r="P1892">
        <v>19</v>
      </c>
      <c r="Q1892" t="s">
        <v>4104</v>
      </c>
    </row>
    <row r="1893" spans="1:17" x14ac:dyDescent="0.3">
      <c r="A1893" t="s">
        <v>17</v>
      </c>
      <c r="B1893" t="str">
        <f>"688227"</f>
        <v>688227</v>
      </c>
      <c r="C1893" t="s">
        <v>4105</v>
      </c>
      <c r="D1893" t="s">
        <v>316</v>
      </c>
      <c r="P1893">
        <v>13</v>
      </c>
      <c r="Q1893" t="s">
        <v>4106</v>
      </c>
    </row>
    <row r="1894" spans="1:17" x14ac:dyDescent="0.3">
      <c r="A1894" t="s">
        <v>17</v>
      </c>
      <c r="B1894" t="str">
        <f>"688228"</f>
        <v>688228</v>
      </c>
      <c r="C1894" t="s">
        <v>4107</v>
      </c>
      <c r="D1894" t="s">
        <v>316</v>
      </c>
      <c r="P1894">
        <v>93</v>
      </c>
      <c r="Q1894" t="s">
        <v>4108</v>
      </c>
    </row>
    <row r="1895" spans="1:17" x14ac:dyDescent="0.3">
      <c r="A1895" t="s">
        <v>17</v>
      </c>
      <c r="B1895" t="str">
        <f>"688229"</f>
        <v>688229</v>
      </c>
      <c r="C1895" t="s">
        <v>4109</v>
      </c>
      <c r="D1895" t="s">
        <v>316</v>
      </c>
      <c r="P1895">
        <v>63</v>
      </c>
      <c r="Q1895" t="s">
        <v>4110</v>
      </c>
    </row>
    <row r="1896" spans="1:17" x14ac:dyDescent="0.3">
      <c r="A1896" t="s">
        <v>17</v>
      </c>
      <c r="B1896" t="str">
        <f>"688230"</f>
        <v>688230</v>
      </c>
      <c r="C1896" t="s">
        <v>4111</v>
      </c>
      <c r="D1896" t="s">
        <v>795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"688232"</f>
        <v>688232</v>
      </c>
      <c r="C1897" t="s">
        <v>4113</v>
      </c>
      <c r="D1897" t="s">
        <v>945</v>
      </c>
      <c r="P1897">
        <v>26</v>
      </c>
      <c r="Q1897" t="s">
        <v>4114</v>
      </c>
    </row>
    <row r="1898" spans="1:17" x14ac:dyDescent="0.3">
      <c r="A1898" t="s">
        <v>17</v>
      </c>
      <c r="B1898" t="str">
        <f>"688233"</f>
        <v>688233</v>
      </c>
      <c r="C1898" t="s">
        <v>4115</v>
      </c>
      <c r="D1898" t="s">
        <v>475</v>
      </c>
      <c r="P1898">
        <v>170</v>
      </c>
      <c r="Q1898" t="s">
        <v>4116</v>
      </c>
    </row>
    <row r="1899" spans="1:17" x14ac:dyDescent="0.3">
      <c r="A1899" t="s">
        <v>17</v>
      </c>
      <c r="B1899" t="str">
        <f>"688234"</f>
        <v>688234</v>
      </c>
      <c r="C1899" t="s">
        <v>4117</v>
      </c>
      <c r="D1899" t="s">
        <v>475</v>
      </c>
      <c r="P1899">
        <v>32</v>
      </c>
      <c r="Q1899" t="s">
        <v>4118</v>
      </c>
    </row>
    <row r="1900" spans="1:17" x14ac:dyDescent="0.3">
      <c r="A1900" t="s">
        <v>17</v>
      </c>
      <c r="B1900" t="str">
        <f>"688236"</f>
        <v>688236</v>
      </c>
      <c r="C1900" t="s">
        <v>4119</v>
      </c>
      <c r="D1900" t="s">
        <v>1077</v>
      </c>
      <c r="P1900">
        <v>20</v>
      </c>
      <c r="Q1900" t="s">
        <v>4120</v>
      </c>
    </row>
    <row r="1901" spans="1:17" x14ac:dyDescent="0.3">
      <c r="A1901" t="s">
        <v>17</v>
      </c>
      <c r="B1901" t="str">
        <f>"688238"</f>
        <v>688238</v>
      </c>
      <c r="C1901" t="s">
        <v>4121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"688239"</f>
        <v>688239</v>
      </c>
      <c r="C1902" t="s">
        <v>4123</v>
      </c>
      <c r="D1902" t="s">
        <v>98</v>
      </c>
      <c r="P1902">
        <v>57</v>
      </c>
      <c r="Q1902" t="s">
        <v>4124</v>
      </c>
    </row>
    <row r="1903" spans="1:17" x14ac:dyDescent="0.3">
      <c r="A1903" t="s">
        <v>17</v>
      </c>
      <c r="B1903" t="str">
        <f>"688246"</f>
        <v>688246</v>
      </c>
      <c r="C1903" t="s">
        <v>4125</v>
      </c>
      <c r="D1903" t="s">
        <v>945</v>
      </c>
      <c r="P1903">
        <v>12</v>
      </c>
      <c r="Q1903" t="s">
        <v>4126</v>
      </c>
    </row>
    <row r="1904" spans="1:17" x14ac:dyDescent="0.3">
      <c r="A1904" t="s">
        <v>17</v>
      </c>
      <c r="B1904" t="str">
        <f>"688248"</f>
        <v>688248</v>
      </c>
      <c r="C1904" t="s">
        <v>4127</v>
      </c>
      <c r="D1904" t="s">
        <v>610</v>
      </c>
      <c r="P1904">
        <v>14</v>
      </c>
      <c r="Q1904" t="s">
        <v>4128</v>
      </c>
    </row>
    <row r="1905" spans="1:17" x14ac:dyDescent="0.3">
      <c r="A1905" t="s">
        <v>17</v>
      </c>
      <c r="B1905" t="str">
        <f>"688255"</f>
        <v>688255</v>
      </c>
      <c r="C1905" t="s">
        <v>4129</v>
      </c>
      <c r="D1905" t="s">
        <v>2923</v>
      </c>
      <c r="P1905">
        <v>19</v>
      </c>
      <c r="Q1905" t="s">
        <v>4130</v>
      </c>
    </row>
    <row r="1906" spans="1:17" x14ac:dyDescent="0.3">
      <c r="A1906" t="s">
        <v>17</v>
      </c>
      <c r="B1906" t="str">
        <f>"688256"</f>
        <v>688256</v>
      </c>
      <c r="C1906" t="s">
        <v>4131</v>
      </c>
      <c r="D1906" t="s">
        <v>461</v>
      </c>
      <c r="P1906">
        <v>192</v>
      </c>
      <c r="Q1906" t="s">
        <v>4132</v>
      </c>
    </row>
    <row r="1907" spans="1:17" x14ac:dyDescent="0.3">
      <c r="A1907" t="s">
        <v>17</v>
      </c>
      <c r="B1907" t="str">
        <f>"688257"</f>
        <v>688257</v>
      </c>
      <c r="C1907" t="s">
        <v>4133</v>
      </c>
      <c r="D1907" t="s">
        <v>274</v>
      </c>
      <c r="P1907">
        <v>17</v>
      </c>
      <c r="Q1907" t="s">
        <v>4134</v>
      </c>
    </row>
    <row r="1908" spans="1:17" x14ac:dyDescent="0.3">
      <c r="A1908" t="s">
        <v>17</v>
      </c>
      <c r="B1908" t="str">
        <f>"688258"</f>
        <v>688258</v>
      </c>
      <c r="C1908" t="s">
        <v>4135</v>
      </c>
      <c r="D1908" t="s">
        <v>316</v>
      </c>
      <c r="P1908">
        <v>2718</v>
      </c>
      <c r="Q1908" t="s">
        <v>4136</v>
      </c>
    </row>
    <row r="1909" spans="1:17" x14ac:dyDescent="0.3">
      <c r="A1909" t="s">
        <v>17</v>
      </c>
      <c r="B1909" t="str">
        <f>"688259"</f>
        <v>688259</v>
      </c>
      <c r="C1909" t="s">
        <v>4137</v>
      </c>
      <c r="D1909" t="s">
        <v>461</v>
      </c>
      <c r="P1909">
        <v>17</v>
      </c>
      <c r="Q1909" t="s">
        <v>4138</v>
      </c>
    </row>
    <row r="1910" spans="1:17" x14ac:dyDescent="0.3">
      <c r="A1910" t="s">
        <v>17</v>
      </c>
      <c r="B1910" t="str">
        <f>"688260"</f>
        <v>688260</v>
      </c>
      <c r="C1910" t="s">
        <v>4139</v>
      </c>
      <c r="D1910" t="s">
        <v>313</v>
      </c>
      <c r="P1910">
        <v>24</v>
      </c>
      <c r="Q1910" t="s">
        <v>4140</v>
      </c>
    </row>
    <row r="1911" spans="1:17" x14ac:dyDescent="0.3">
      <c r="A1911" t="s">
        <v>17</v>
      </c>
      <c r="B1911" t="str">
        <f>"688261"</f>
        <v>688261</v>
      </c>
      <c r="C1911" t="s">
        <v>4141</v>
      </c>
      <c r="P1911">
        <v>11</v>
      </c>
      <c r="Q1911" t="s">
        <v>4142</v>
      </c>
    </row>
    <row r="1912" spans="1:17" x14ac:dyDescent="0.3">
      <c r="A1912" t="s">
        <v>17</v>
      </c>
      <c r="B1912" t="str">
        <f>"688262"</f>
        <v>688262</v>
      </c>
      <c r="C1912" t="s">
        <v>4143</v>
      </c>
      <c r="D1912" t="s">
        <v>461</v>
      </c>
      <c r="P1912">
        <v>19</v>
      </c>
      <c r="Q1912" t="s">
        <v>4144</v>
      </c>
    </row>
    <row r="1913" spans="1:17" x14ac:dyDescent="0.3">
      <c r="A1913" t="s">
        <v>17</v>
      </c>
      <c r="B1913" t="str">
        <f>"688265"</f>
        <v>688265</v>
      </c>
      <c r="C1913" t="s">
        <v>4145</v>
      </c>
      <c r="D1913" t="s">
        <v>1461</v>
      </c>
      <c r="P1913">
        <v>17</v>
      </c>
      <c r="Q1913" t="s">
        <v>4146</v>
      </c>
    </row>
    <row r="1914" spans="1:17" x14ac:dyDescent="0.3">
      <c r="A1914" t="s">
        <v>17</v>
      </c>
      <c r="B1914" t="str">
        <f>"688266"</f>
        <v>688266</v>
      </c>
      <c r="C1914" t="s">
        <v>4147</v>
      </c>
      <c r="D1914" t="s">
        <v>143</v>
      </c>
      <c r="P1914">
        <v>102</v>
      </c>
      <c r="Q1914" t="s">
        <v>4148</v>
      </c>
    </row>
    <row r="1915" spans="1:17" x14ac:dyDescent="0.3">
      <c r="A1915" t="s">
        <v>17</v>
      </c>
      <c r="B1915" t="str">
        <f>"688267"</f>
        <v>688267</v>
      </c>
      <c r="C1915" t="s">
        <v>4149</v>
      </c>
      <c r="P1915">
        <v>7</v>
      </c>
      <c r="Q1915" t="s">
        <v>4150</v>
      </c>
    </row>
    <row r="1916" spans="1:17" x14ac:dyDescent="0.3">
      <c r="A1916" t="s">
        <v>17</v>
      </c>
      <c r="B1916" t="str">
        <f>"688268"</f>
        <v>688268</v>
      </c>
      <c r="C1916" t="s">
        <v>4151</v>
      </c>
      <c r="D1916" t="s">
        <v>2401</v>
      </c>
      <c r="P1916">
        <v>184</v>
      </c>
      <c r="Q1916" t="s">
        <v>4152</v>
      </c>
    </row>
    <row r="1917" spans="1:17" x14ac:dyDescent="0.3">
      <c r="A1917" t="s">
        <v>17</v>
      </c>
      <c r="B1917" t="str">
        <f>"688269"</f>
        <v>688269</v>
      </c>
      <c r="C1917" t="s">
        <v>4153</v>
      </c>
      <c r="D1917" t="s">
        <v>581</v>
      </c>
      <c r="P1917">
        <v>58</v>
      </c>
      <c r="Q1917" t="s">
        <v>4154</v>
      </c>
    </row>
    <row r="1918" spans="1:17" x14ac:dyDescent="0.3">
      <c r="A1918" t="s">
        <v>17</v>
      </c>
      <c r="B1918" t="str">
        <f>"688270"</f>
        <v>688270</v>
      </c>
      <c r="C1918" t="s">
        <v>4155</v>
      </c>
      <c r="P1918">
        <v>12</v>
      </c>
      <c r="Q1918" t="s">
        <v>4156</v>
      </c>
    </row>
    <row r="1919" spans="1:17" x14ac:dyDescent="0.3">
      <c r="A1919" t="s">
        <v>17</v>
      </c>
      <c r="B1919" t="str">
        <f>"688272"</f>
        <v>688272</v>
      </c>
      <c r="C1919" t="s">
        <v>4157</v>
      </c>
      <c r="D1919" t="s">
        <v>1136</v>
      </c>
      <c r="P1919">
        <v>11</v>
      </c>
      <c r="Q1919" t="s">
        <v>4158</v>
      </c>
    </row>
    <row r="1920" spans="1:17" x14ac:dyDescent="0.3">
      <c r="A1920" t="s">
        <v>17</v>
      </c>
      <c r="B1920" t="str">
        <f>"688276"</f>
        <v>688276</v>
      </c>
      <c r="C1920" t="s">
        <v>4159</v>
      </c>
      <c r="D1920" t="s">
        <v>1499</v>
      </c>
      <c r="P1920">
        <v>46</v>
      </c>
      <c r="Q1920" t="s">
        <v>4160</v>
      </c>
    </row>
    <row r="1921" spans="1:17" x14ac:dyDescent="0.3">
      <c r="A1921" t="s">
        <v>17</v>
      </c>
      <c r="B1921" t="str">
        <f>"688277"</f>
        <v>688277</v>
      </c>
      <c r="C1921" t="s">
        <v>4161</v>
      </c>
      <c r="D1921" t="s">
        <v>122</v>
      </c>
      <c r="P1921">
        <v>120</v>
      </c>
      <c r="Q1921" t="s">
        <v>4162</v>
      </c>
    </row>
    <row r="1922" spans="1:17" x14ac:dyDescent="0.3">
      <c r="A1922" t="s">
        <v>17</v>
      </c>
      <c r="B1922" t="str">
        <f>"688278"</f>
        <v>688278</v>
      </c>
      <c r="C1922" t="s">
        <v>4163</v>
      </c>
      <c r="D1922" t="s">
        <v>1379</v>
      </c>
      <c r="P1922">
        <v>154</v>
      </c>
      <c r="Q1922" t="s">
        <v>4164</v>
      </c>
    </row>
    <row r="1923" spans="1:17" x14ac:dyDescent="0.3">
      <c r="A1923" t="s">
        <v>17</v>
      </c>
      <c r="B1923" t="str">
        <f>"688279"</f>
        <v>688279</v>
      </c>
      <c r="C1923" t="s">
        <v>4165</v>
      </c>
      <c r="P1923">
        <v>6</v>
      </c>
      <c r="Q1923" t="s">
        <v>4166</v>
      </c>
    </row>
    <row r="1924" spans="1:17" x14ac:dyDescent="0.3">
      <c r="A1924" t="s">
        <v>17</v>
      </c>
      <c r="B1924" t="str">
        <f>"688280"</f>
        <v>688280</v>
      </c>
      <c r="C1924" t="s">
        <v>4167</v>
      </c>
      <c r="D1924" t="s">
        <v>348</v>
      </c>
      <c r="P1924">
        <v>22</v>
      </c>
      <c r="Q1924" t="s">
        <v>4168</v>
      </c>
    </row>
    <row r="1925" spans="1:17" x14ac:dyDescent="0.3">
      <c r="A1925" t="s">
        <v>17</v>
      </c>
      <c r="B1925" t="str">
        <f>"688281"</f>
        <v>688281</v>
      </c>
      <c r="C1925" t="s">
        <v>4169</v>
      </c>
      <c r="P1925">
        <v>13</v>
      </c>
      <c r="Q1925" t="s">
        <v>4170</v>
      </c>
    </row>
    <row r="1926" spans="1:17" x14ac:dyDescent="0.3">
      <c r="A1926" t="s">
        <v>17</v>
      </c>
      <c r="B1926" t="str">
        <f>"688282"</f>
        <v>688282</v>
      </c>
      <c r="C1926" t="s">
        <v>4171</v>
      </c>
      <c r="P1926">
        <v>3</v>
      </c>
      <c r="Q1926" t="s">
        <v>4172</v>
      </c>
    </row>
    <row r="1927" spans="1:17" x14ac:dyDescent="0.3">
      <c r="A1927" t="s">
        <v>17</v>
      </c>
      <c r="B1927" t="str">
        <f>"688283"</f>
        <v>688283</v>
      </c>
      <c r="C1927" t="s">
        <v>4173</v>
      </c>
      <c r="P1927">
        <v>17</v>
      </c>
      <c r="Q1927" t="s">
        <v>4174</v>
      </c>
    </row>
    <row r="1928" spans="1:17" x14ac:dyDescent="0.3">
      <c r="A1928" t="s">
        <v>17</v>
      </c>
      <c r="B1928" t="str">
        <f>"688285"</f>
        <v>688285</v>
      </c>
      <c r="C1928" t="s">
        <v>4175</v>
      </c>
      <c r="D1928" t="s">
        <v>1012</v>
      </c>
      <c r="P1928">
        <v>14</v>
      </c>
      <c r="Q1928" t="s">
        <v>4176</v>
      </c>
    </row>
    <row r="1929" spans="1:17" x14ac:dyDescent="0.3">
      <c r="A1929" t="s">
        <v>17</v>
      </c>
      <c r="B1929" t="str">
        <f>"688286"</f>
        <v>688286</v>
      </c>
      <c r="C1929" t="s">
        <v>4177</v>
      </c>
      <c r="D1929" t="s">
        <v>401</v>
      </c>
      <c r="P1929">
        <v>91</v>
      </c>
      <c r="Q1929" t="s">
        <v>4178</v>
      </c>
    </row>
    <row r="1930" spans="1:17" x14ac:dyDescent="0.3">
      <c r="A1930" t="s">
        <v>17</v>
      </c>
      <c r="B1930" t="str">
        <f>"688288"</f>
        <v>688288</v>
      </c>
      <c r="C1930" t="s">
        <v>4179</v>
      </c>
      <c r="D1930" t="s">
        <v>236</v>
      </c>
      <c r="P1930">
        <v>110</v>
      </c>
      <c r="Q1930" t="s">
        <v>4180</v>
      </c>
    </row>
    <row r="1931" spans="1:17" x14ac:dyDescent="0.3">
      <c r="A1931" t="s">
        <v>17</v>
      </c>
      <c r="B1931" t="str">
        <f>"688289"</f>
        <v>688289</v>
      </c>
      <c r="C1931" t="s">
        <v>4181</v>
      </c>
      <c r="D1931" t="s">
        <v>1305</v>
      </c>
      <c r="P1931">
        <v>209</v>
      </c>
      <c r="Q1931" t="s">
        <v>4182</v>
      </c>
    </row>
    <row r="1932" spans="1:17" x14ac:dyDescent="0.3">
      <c r="A1932" t="s">
        <v>17</v>
      </c>
      <c r="B1932" t="str">
        <f>"688290"</f>
        <v>688290</v>
      </c>
      <c r="C1932" t="s">
        <v>4183</v>
      </c>
      <c r="P1932">
        <v>0</v>
      </c>
      <c r="Q1932" t="s">
        <v>4184</v>
      </c>
    </row>
    <row r="1933" spans="1:17" x14ac:dyDescent="0.3">
      <c r="A1933" t="s">
        <v>17</v>
      </c>
      <c r="B1933" t="str">
        <f>"688295"</f>
        <v>688295</v>
      </c>
      <c r="C1933" t="s">
        <v>4185</v>
      </c>
      <c r="P1933">
        <v>15</v>
      </c>
      <c r="Q1933" t="s">
        <v>4186</v>
      </c>
    </row>
    <row r="1934" spans="1:17" x14ac:dyDescent="0.3">
      <c r="A1934" t="s">
        <v>17</v>
      </c>
      <c r="B1934" t="str">
        <f>"688296"</f>
        <v>688296</v>
      </c>
      <c r="C1934" t="s">
        <v>4187</v>
      </c>
      <c r="D1934" t="s">
        <v>945</v>
      </c>
      <c r="P1934">
        <v>24</v>
      </c>
      <c r="Q1934" t="s">
        <v>4188</v>
      </c>
    </row>
    <row r="1935" spans="1:17" x14ac:dyDescent="0.3">
      <c r="A1935" t="s">
        <v>17</v>
      </c>
      <c r="B1935" t="str">
        <f>"688298"</f>
        <v>688298</v>
      </c>
      <c r="C1935" t="s">
        <v>4189</v>
      </c>
      <c r="D1935" t="s">
        <v>1305</v>
      </c>
      <c r="P1935">
        <v>477</v>
      </c>
      <c r="Q1935" t="s">
        <v>4190</v>
      </c>
    </row>
    <row r="1936" spans="1:17" x14ac:dyDescent="0.3">
      <c r="A1936" t="s">
        <v>17</v>
      </c>
      <c r="B1936" t="str">
        <f>"688299"</f>
        <v>688299</v>
      </c>
      <c r="C1936" t="s">
        <v>4191</v>
      </c>
      <c r="D1936" t="s">
        <v>1117</v>
      </c>
      <c r="P1936">
        <v>239</v>
      </c>
      <c r="Q1936" t="s">
        <v>4192</v>
      </c>
    </row>
    <row r="1937" spans="1:17" x14ac:dyDescent="0.3">
      <c r="A1937" t="s">
        <v>17</v>
      </c>
      <c r="B1937" t="str">
        <f>"688300"</f>
        <v>688300</v>
      </c>
      <c r="C1937" t="s">
        <v>4193</v>
      </c>
      <c r="D1937" t="s">
        <v>2751</v>
      </c>
      <c r="P1937">
        <v>196</v>
      </c>
      <c r="Q1937" t="s">
        <v>4194</v>
      </c>
    </row>
    <row r="1938" spans="1:17" x14ac:dyDescent="0.3">
      <c r="A1938" t="s">
        <v>17</v>
      </c>
      <c r="B1938" t="str">
        <f>"688301"</f>
        <v>688301</v>
      </c>
      <c r="C1938" t="s">
        <v>4195</v>
      </c>
      <c r="D1938" t="s">
        <v>122</v>
      </c>
      <c r="P1938">
        <v>178</v>
      </c>
      <c r="Q1938" t="s">
        <v>4196</v>
      </c>
    </row>
    <row r="1939" spans="1:17" x14ac:dyDescent="0.3">
      <c r="A1939" t="s">
        <v>17</v>
      </c>
      <c r="B1939" t="str">
        <f>"688302"</f>
        <v>688302</v>
      </c>
      <c r="C1939" t="s">
        <v>4197</v>
      </c>
      <c r="P1939">
        <v>2</v>
      </c>
      <c r="Q1939" t="s">
        <v>4198</v>
      </c>
    </row>
    <row r="1940" spans="1:17" x14ac:dyDescent="0.3">
      <c r="A1940" t="s">
        <v>17</v>
      </c>
      <c r="B1940" t="str">
        <f>"688303"</f>
        <v>688303</v>
      </c>
      <c r="C1940" t="s">
        <v>4199</v>
      </c>
      <c r="D1940" t="s">
        <v>929</v>
      </c>
      <c r="P1940">
        <v>108</v>
      </c>
      <c r="Q1940" t="s">
        <v>4200</v>
      </c>
    </row>
    <row r="1941" spans="1:17" x14ac:dyDescent="0.3">
      <c r="A1941" t="s">
        <v>17</v>
      </c>
      <c r="B1941" t="str">
        <f>"688305"</f>
        <v>688305</v>
      </c>
      <c r="C1941" t="s">
        <v>4201</v>
      </c>
      <c r="D1941" t="s">
        <v>2314</v>
      </c>
      <c r="P1941">
        <v>79</v>
      </c>
      <c r="Q1941" t="s">
        <v>4202</v>
      </c>
    </row>
    <row r="1942" spans="1:17" x14ac:dyDescent="0.3">
      <c r="A1942" t="s">
        <v>17</v>
      </c>
      <c r="B1942" t="str">
        <f>"688306"</f>
        <v>688306</v>
      </c>
      <c r="C1942" t="s">
        <v>4203</v>
      </c>
      <c r="P1942">
        <v>3</v>
      </c>
      <c r="Q1942" t="s">
        <v>4204</v>
      </c>
    </row>
    <row r="1943" spans="1:17" x14ac:dyDescent="0.3">
      <c r="A1943" t="s">
        <v>17</v>
      </c>
      <c r="B1943" t="str">
        <f>"688308"</f>
        <v>688308</v>
      </c>
      <c r="C1943" t="s">
        <v>4205</v>
      </c>
      <c r="D1943" t="s">
        <v>274</v>
      </c>
      <c r="P1943">
        <v>91</v>
      </c>
      <c r="Q1943" t="s">
        <v>4206</v>
      </c>
    </row>
    <row r="1944" spans="1:17" x14ac:dyDescent="0.3">
      <c r="A1944" t="s">
        <v>17</v>
      </c>
      <c r="B1944" t="str">
        <f>"688309"</f>
        <v>688309</v>
      </c>
      <c r="C1944" t="s">
        <v>4207</v>
      </c>
      <c r="D1944" t="s">
        <v>1070</v>
      </c>
      <c r="P1944">
        <v>30</v>
      </c>
      <c r="Q1944" t="s">
        <v>4208</v>
      </c>
    </row>
    <row r="1945" spans="1:17" x14ac:dyDescent="0.3">
      <c r="A1945" t="s">
        <v>17</v>
      </c>
      <c r="B1945" t="str">
        <f>"688310"</f>
        <v>688310</v>
      </c>
      <c r="C1945" t="s">
        <v>4209</v>
      </c>
      <c r="D1945" t="s">
        <v>3462</v>
      </c>
      <c r="P1945">
        <v>92</v>
      </c>
      <c r="Q1945" t="s">
        <v>4210</v>
      </c>
    </row>
    <row r="1946" spans="1:17" x14ac:dyDescent="0.3">
      <c r="A1946" t="s">
        <v>17</v>
      </c>
      <c r="B1946" t="str">
        <f>"688311"</f>
        <v>688311</v>
      </c>
      <c r="C1946" t="s">
        <v>4211</v>
      </c>
      <c r="D1946" t="s">
        <v>1136</v>
      </c>
      <c r="P1946">
        <v>74</v>
      </c>
      <c r="Q1946" t="s">
        <v>4212</v>
      </c>
    </row>
    <row r="1947" spans="1:17" x14ac:dyDescent="0.3">
      <c r="A1947" t="s">
        <v>17</v>
      </c>
      <c r="B1947" t="str">
        <f>"688312"</f>
        <v>688312</v>
      </c>
      <c r="C1947" t="s">
        <v>4213</v>
      </c>
      <c r="D1947" t="s">
        <v>741</v>
      </c>
      <c r="P1947">
        <v>64</v>
      </c>
      <c r="Q1947" t="s">
        <v>4214</v>
      </c>
    </row>
    <row r="1948" spans="1:17" x14ac:dyDescent="0.3">
      <c r="A1948" t="s">
        <v>17</v>
      </c>
      <c r="B1948" t="str">
        <f>"688313"</f>
        <v>688313</v>
      </c>
      <c r="C1948" t="s">
        <v>4215</v>
      </c>
      <c r="D1948" t="s">
        <v>1019</v>
      </c>
      <c r="P1948">
        <v>50</v>
      </c>
      <c r="Q1948" t="s">
        <v>4216</v>
      </c>
    </row>
    <row r="1949" spans="1:17" x14ac:dyDescent="0.3">
      <c r="A1949" t="s">
        <v>17</v>
      </c>
      <c r="B1949" t="str">
        <f>"688314"</f>
        <v>688314</v>
      </c>
      <c r="C1949" t="s">
        <v>4217</v>
      </c>
      <c r="D1949" t="s">
        <v>1077</v>
      </c>
      <c r="P1949">
        <v>53</v>
      </c>
      <c r="Q1949" t="s">
        <v>4218</v>
      </c>
    </row>
    <row r="1950" spans="1:17" x14ac:dyDescent="0.3">
      <c r="A1950" t="s">
        <v>17</v>
      </c>
      <c r="B1950" t="str">
        <f>"688315"</f>
        <v>688315</v>
      </c>
      <c r="C1950" t="s">
        <v>4219</v>
      </c>
      <c r="D1950" t="s">
        <v>4220</v>
      </c>
      <c r="P1950">
        <v>46</v>
      </c>
      <c r="Q1950" t="s">
        <v>4221</v>
      </c>
    </row>
    <row r="1951" spans="1:17" x14ac:dyDescent="0.3">
      <c r="A1951" t="s">
        <v>17</v>
      </c>
      <c r="B1951" t="str">
        <f>"688316"</f>
        <v>688316</v>
      </c>
      <c r="C1951" t="s">
        <v>4222</v>
      </c>
      <c r="D1951" t="s">
        <v>316</v>
      </c>
      <c r="P1951">
        <v>31</v>
      </c>
      <c r="Q1951" t="s">
        <v>4223</v>
      </c>
    </row>
    <row r="1952" spans="1:17" x14ac:dyDescent="0.3">
      <c r="A1952" t="s">
        <v>17</v>
      </c>
      <c r="B1952" t="str">
        <f>"688317"</f>
        <v>688317</v>
      </c>
      <c r="C1952" t="s">
        <v>4224</v>
      </c>
      <c r="D1952" t="s">
        <v>1305</v>
      </c>
      <c r="P1952">
        <v>120</v>
      </c>
      <c r="Q1952" t="s">
        <v>4225</v>
      </c>
    </row>
    <row r="1953" spans="1:17" x14ac:dyDescent="0.3">
      <c r="A1953" t="s">
        <v>17</v>
      </c>
      <c r="B1953" t="str">
        <f>"688318"</f>
        <v>688318</v>
      </c>
      <c r="C1953" t="s">
        <v>4226</v>
      </c>
      <c r="D1953" t="s">
        <v>945</v>
      </c>
      <c r="P1953">
        <v>155</v>
      </c>
      <c r="Q1953" t="s">
        <v>4227</v>
      </c>
    </row>
    <row r="1954" spans="1:17" x14ac:dyDescent="0.3">
      <c r="A1954" t="s">
        <v>17</v>
      </c>
      <c r="B1954" t="str">
        <f>"688319"</f>
        <v>688319</v>
      </c>
      <c r="C1954" t="s">
        <v>4228</v>
      </c>
      <c r="D1954" t="s">
        <v>1499</v>
      </c>
      <c r="P1954">
        <v>46</v>
      </c>
      <c r="Q1954" t="s">
        <v>4229</v>
      </c>
    </row>
    <row r="1955" spans="1:17" x14ac:dyDescent="0.3">
      <c r="A1955" t="s">
        <v>17</v>
      </c>
      <c r="B1955" t="str">
        <f>"688320"</f>
        <v>688320</v>
      </c>
      <c r="C1955" t="s">
        <v>4230</v>
      </c>
      <c r="P1955">
        <v>1</v>
      </c>
      <c r="Q1955" t="s">
        <v>4231</v>
      </c>
    </row>
    <row r="1956" spans="1:17" x14ac:dyDescent="0.3">
      <c r="A1956" t="s">
        <v>17</v>
      </c>
      <c r="B1956" t="str">
        <f>"688321"</f>
        <v>688321</v>
      </c>
      <c r="C1956" t="s">
        <v>4232</v>
      </c>
      <c r="D1956" t="s">
        <v>143</v>
      </c>
      <c r="P1956">
        <v>157</v>
      </c>
      <c r="Q1956" t="s">
        <v>4233</v>
      </c>
    </row>
    <row r="1957" spans="1:17" x14ac:dyDescent="0.3">
      <c r="A1957" t="s">
        <v>17</v>
      </c>
      <c r="B1957" t="str">
        <f>"688323"</f>
        <v>688323</v>
      </c>
      <c r="C1957" t="s">
        <v>4234</v>
      </c>
      <c r="D1957" t="s">
        <v>324</v>
      </c>
      <c r="P1957">
        <v>26</v>
      </c>
      <c r="Q1957" t="s">
        <v>4235</v>
      </c>
    </row>
    <row r="1958" spans="1:17" x14ac:dyDescent="0.3">
      <c r="A1958" t="s">
        <v>17</v>
      </c>
      <c r="B1958" t="str">
        <f>"688325"</f>
        <v>688325</v>
      </c>
      <c r="C1958" t="s">
        <v>4236</v>
      </c>
      <c r="P1958">
        <v>3</v>
      </c>
      <c r="Q1958" t="s">
        <v>4237</v>
      </c>
    </row>
    <row r="1959" spans="1:17" x14ac:dyDescent="0.3">
      <c r="A1959" t="s">
        <v>17</v>
      </c>
      <c r="B1959" t="str">
        <f>"688326"</f>
        <v>688326</v>
      </c>
      <c r="C1959" t="s">
        <v>4238</v>
      </c>
      <c r="P1959">
        <v>3</v>
      </c>
      <c r="Q1959" t="s">
        <v>4239</v>
      </c>
    </row>
    <row r="1960" spans="1:17" x14ac:dyDescent="0.3">
      <c r="A1960" t="s">
        <v>17</v>
      </c>
      <c r="B1960" t="str">
        <f>"688328"</f>
        <v>688328</v>
      </c>
      <c r="C1960" t="s">
        <v>4240</v>
      </c>
      <c r="D1960" t="s">
        <v>741</v>
      </c>
      <c r="P1960">
        <v>39</v>
      </c>
      <c r="Q1960" t="s">
        <v>4241</v>
      </c>
    </row>
    <row r="1961" spans="1:17" x14ac:dyDescent="0.3">
      <c r="A1961" t="s">
        <v>17</v>
      </c>
      <c r="B1961" t="str">
        <f>"688329"</f>
        <v>688329</v>
      </c>
      <c r="C1961" t="s">
        <v>4242</v>
      </c>
      <c r="D1961" t="s">
        <v>3462</v>
      </c>
      <c r="P1961">
        <v>43</v>
      </c>
      <c r="Q1961" t="s">
        <v>4243</v>
      </c>
    </row>
    <row r="1962" spans="1:17" x14ac:dyDescent="0.3">
      <c r="A1962" t="s">
        <v>17</v>
      </c>
      <c r="B1962" t="str">
        <f>"688330"</f>
        <v>688330</v>
      </c>
      <c r="C1962" t="s">
        <v>4244</v>
      </c>
      <c r="D1962" t="s">
        <v>610</v>
      </c>
      <c r="P1962">
        <v>90</v>
      </c>
      <c r="Q1962" t="s">
        <v>4245</v>
      </c>
    </row>
    <row r="1963" spans="1:17" x14ac:dyDescent="0.3">
      <c r="A1963" t="s">
        <v>17</v>
      </c>
      <c r="B1963" t="str">
        <f>"688331"</f>
        <v>688331</v>
      </c>
      <c r="C1963" t="s">
        <v>4246</v>
      </c>
      <c r="P1963">
        <v>5</v>
      </c>
      <c r="Q1963" t="s">
        <v>4247</v>
      </c>
    </row>
    <row r="1964" spans="1:17" x14ac:dyDescent="0.3">
      <c r="A1964" t="s">
        <v>17</v>
      </c>
      <c r="B1964" t="str">
        <f>"688333"</f>
        <v>688333</v>
      </c>
      <c r="C1964" t="s">
        <v>4248</v>
      </c>
      <c r="D1964" t="s">
        <v>2314</v>
      </c>
      <c r="P1964">
        <v>117</v>
      </c>
      <c r="Q1964" t="s">
        <v>4249</v>
      </c>
    </row>
    <row r="1965" spans="1:17" x14ac:dyDescent="0.3">
      <c r="A1965" t="s">
        <v>17</v>
      </c>
      <c r="B1965" t="str">
        <f>"688335"</f>
        <v>688335</v>
      </c>
      <c r="C1965" t="s">
        <v>4250</v>
      </c>
      <c r="D1965" t="s">
        <v>33</v>
      </c>
      <c r="P1965">
        <v>61</v>
      </c>
      <c r="Q1965" t="s">
        <v>4251</v>
      </c>
    </row>
    <row r="1966" spans="1:17" x14ac:dyDescent="0.3">
      <c r="A1966" t="s">
        <v>17</v>
      </c>
      <c r="B1966" t="str">
        <f>"688336"</f>
        <v>688336</v>
      </c>
      <c r="C1966" t="s">
        <v>4252</v>
      </c>
      <c r="D1966" t="s">
        <v>1379</v>
      </c>
      <c r="P1966">
        <v>52</v>
      </c>
      <c r="Q1966" t="s">
        <v>4253</v>
      </c>
    </row>
    <row r="1967" spans="1:17" x14ac:dyDescent="0.3">
      <c r="A1967" t="s">
        <v>17</v>
      </c>
      <c r="B1967" t="str">
        <f>"688337"</f>
        <v>688337</v>
      </c>
      <c r="C1967" t="s">
        <v>4254</v>
      </c>
      <c r="P1967">
        <v>3</v>
      </c>
      <c r="Q1967" t="s">
        <v>4255</v>
      </c>
    </row>
    <row r="1968" spans="1:17" x14ac:dyDescent="0.3">
      <c r="A1968" t="s">
        <v>17</v>
      </c>
      <c r="B1968" t="str">
        <f>"688338"</f>
        <v>688338</v>
      </c>
      <c r="C1968" t="s">
        <v>4256</v>
      </c>
      <c r="D1968" t="s">
        <v>1305</v>
      </c>
      <c r="P1968">
        <v>56</v>
      </c>
      <c r="Q1968" t="s">
        <v>4257</v>
      </c>
    </row>
    <row r="1969" spans="1:17" x14ac:dyDescent="0.3">
      <c r="A1969" t="s">
        <v>17</v>
      </c>
      <c r="B1969" t="str">
        <f>"688339"</f>
        <v>688339</v>
      </c>
      <c r="C1969" t="s">
        <v>4258</v>
      </c>
      <c r="D1969" t="s">
        <v>4259</v>
      </c>
      <c r="P1969">
        <v>153</v>
      </c>
      <c r="Q1969" t="s">
        <v>4260</v>
      </c>
    </row>
    <row r="1970" spans="1:17" x14ac:dyDescent="0.3">
      <c r="A1970" t="s">
        <v>17</v>
      </c>
      <c r="B1970" t="str">
        <f>"688345"</f>
        <v>688345</v>
      </c>
      <c r="C1970" t="s">
        <v>4261</v>
      </c>
      <c r="D1970" t="s">
        <v>359</v>
      </c>
      <c r="P1970">
        <v>39</v>
      </c>
      <c r="Q1970" t="s">
        <v>4262</v>
      </c>
    </row>
    <row r="1971" spans="1:17" x14ac:dyDescent="0.3">
      <c r="A1971" t="s">
        <v>17</v>
      </c>
      <c r="B1971" t="str">
        <f>"688350"</f>
        <v>688350</v>
      </c>
      <c r="C1971" t="s">
        <v>4263</v>
      </c>
      <c r="D1971" t="s">
        <v>386</v>
      </c>
      <c r="P1971">
        <v>34</v>
      </c>
      <c r="Q1971" t="s">
        <v>4264</v>
      </c>
    </row>
    <row r="1972" spans="1:17" x14ac:dyDescent="0.3">
      <c r="A1972" t="s">
        <v>17</v>
      </c>
      <c r="B1972" t="str">
        <f>"688355"</f>
        <v>688355</v>
      </c>
      <c r="C1972" t="s">
        <v>4265</v>
      </c>
      <c r="D1972" t="s">
        <v>274</v>
      </c>
      <c r="P1972">
        <v>21</v>
      </c>
      <c r="Q1972" t="s">
        <v>4266</v>
      </c>
    </row>
    <row r="1973" spans="1:17" x14ac:dyDescent="0.3">
      <c r="A1973" t="s">
        <v>17</v>
      </c>
      <c r="B1973" t="str">
        <f>"688356"</f>
        <v>688356</v>
      </c>
      <c r="C1973" t="s">
        <v>4267</v>
      </c>
      <c r="D1973" t="s">
        <v>496</v>
      </c>
      <c r="P1973">
        <v>152</v>
      </c>
      <c r="Q1973" t="s">
        <v>4268</v>
      </c>
    </row>
    <row r="1974" spans="1:17" x14ac:dyDescent="0.3">
      <c r="A1974" t="s">
        <v>17</v>
      </c>
      <c r="B1974" t="str">
        <f>"688357"</f>
        <v>688357</v>
      </c>
      <c r="C1974" t="s">
        <v>4269</v>
      </c>
      <c r="D1974" t="s">
        <v>2751</v>
      </c>
      <c r="P1974">
        <v>157</v>
      </c>
      <c r="Q1974" t="s">
        <v>4270</v>
      </c>
    </row>
    <row r="1975" spans="1:17" x14ac:dyDescent="0.3">
      <c r="A1975" t="s">
        <v>17</v>
      </c>
      <c r="B1975" t="str">
        <f>"688358"</f>
        <v>688358</v>
      </c>
      <c r="C1975" t="s">
        <v>4271</v>
      </c>
      <c r="D1975" t="s">
        <v>122</v>
      </c>
      <c r="P1975">
        <v>122</v>
      </c>
      <c r="Q1975" t="s">
        <v>4272</v>
      </c>
    </row>
    <row r="1976" spans="1:17" x14ac:dyDescent="0.3">
      <c r="A1976" t="s">
        <v>17</v>
      </c>
      <c r="B1976" t="str">
        <f>"688359"</f>
        <v>688359</v>
      </c>
      <c r="C1976" t="s">
        <v>4273</v>
      </c>
      <c r="D1976" t="s">
        <v>2401</v>
      </c>
      <c r="P1976">
        <v>23</v>
      </c>
      <c r="Q1976" t="s">
        <v>4274</v>
      </c>
    </row>
    <row r="1977" spans="1:17" x14ac:dyDescent="0.3">
      <c r="A1977" t="s">
        <v>17</v>
      </c>
      <c r="B1977" t="str">
        <f>"688360"</f>
        <v>688360</v>
      </c>
      <c r="C1977" t="s">
        <v>4275</v>
      </c>
      <c r="D1977" t="s">
        <v>560</v>
      </c>
      <c r="P1977">
        <v>84</v>
      </c>
      <c r="Q1977" t="s">
        <v>4276</v>
      </c>
    </row>
    <row r="1978" spans="1:17" x14ac:dyDescent="0.3">
      <c r="A1978" t="s">
        <v>17</v>
      </c>
      <c r="B1978" t="str">
        <f>"688363"</f>
        <v>688363</v>
      </c>
      <c r="C1978" t="s">
        <v>4277</v>
      </c>
      <c r="D1978" t="s">
        <v>4278</v>
      </c>
      <c r="P1978">
        <v>1156</v>
      </c>
      <c r="Q1978" t="s">
        <v>4279</v>
      </c>
    </row>
    <row r="1979" spans="1:17" x14ac:dyDescent="0.3">
      <c r="A1979" t="s">
        <v>17</v>
      </c>
      <c r="B1979" t="str">
        <f>"688365"</f>
        <v>688365</v>
      </c>
      <c r="C1979" t="s">
        <v>4280</v>
      </c>
      <c r="D1979" t="s">
        <v>316</v>
      </c>
      <c r="P1979">
        <v>72</v>
      </c>
      <c r="Q1979" t="s">
        <v>4281</v>
      </c>
    </row>
    <row r="1980" spans="1:17" x14ac:dyDescent="0.3">
      <c r="A1980" t="s">
        <v>17</v>
      </c>
      <c r="B1980" t="str">
        <f>"688366"</f>
        <v>688366</v>
      </c>
      <c r="C1980" t="s">
        <v>4282</v>
      </c>
      <c r="D1980" t="s">
        <v>1077</v>
      </c>
      <c r="P1980">
        <v>265</v>
      </c>
      <c r="Q1980" t="s">
        <v>4283</v>
      </c>
    </row>
    <row r="1981" spans="1:17" x14ac:dyDescent="0.3">
      <c r="A1981" t="s">
        <v>17</v>
      </c>
      <c r="B1981" t="str">
        <f>"688367"</f>
        <v>688367</v>
      </c>
      <c r="C1981" t="s">
        <v>4284</v>
      </c>
      <c r="D1981" t="s">
        <v>1012</v>
      </c>
      <c r="P1981">
        <v>30</v>
      </c>
      <c r="Q1981" t="s">
        <v>4285</v>
      </c>
    </row>
    <row r="1982" spans="1:17" x14ac:dyDescent="0.3">
      <c r="A1982" t="s">
        <v>17</v>
      </c>
      <c r="B1982" t="str">
        <f>"688368"</f>
        <v>688368</v>
      </c>
      <c r="C1982" t="s">
        <v>4286</v>
      </c>
      <c r="D1982" t="s">
        <v>401</v>
      </c>
      <c r="P1982">
        <v>213</v>
      </c>
      <c r="Q1982" t="s">
        <v>4287</v>
      </c>
    </row>
    <row r="1983" spans="1:17" x14ac:dyDescent="0.3">
      <c r="A1983" t="s">
        <v>17</v>
      </c>
      <c r="B1983" t="str">
        <f>"688369"</f>
        <v>688369</v>
      </c>
      <c r="C1983" t="s">
        <v>4288</v>
      </c>
      <c r="D1983" t="s">
        <v>1189</v>
      </c>
      <c r="P1983">
        <v>168</v>
      </c>
      <c r="Q1983" t="s">
        <v>4289</v>
      </c>
    </row>
    <row r="1984" spans="1:17" x14ac:dyDescent="0.3">
      <c r="A1984" t="s">
        <v>17</v>
      </c>
      <c r="B1984" t="str">
        <f>"688377"</f>
        <v>688377</v>
      </c>
      <c r="C1984" t="s">
        <v>4290</v>
      </c>
      <c r="D1984" t="s">
        <v>395</v>
      </c>
      <c r="P1984">
        <v>52</v>
      </c>
      <c r="Q1984" t="s">
        <v>4291</v>
      </c>
    </row>
    <row r="1985" spans="1:17" x14ac:dyDescent="0.3">
      <c r="A1985" t="s">
        <v>17</v>
      </c>
      <c r="B1985" t="str">
        <f>"688378"</f>
        <v>688378</v>
      </c>
      <c r="C1985" t="s">
        <v>4292</v>
      </c>
      <c r="D1985" t="s">
        <v>741</v>
      </c>
      <c r="P1985">
        <v>50</v>
      </c>
      <c r="Q1985" t="s">
        <v>4293</v>
      </c>
    </row>
    <row r="1986" spans="1:17" x14ac:dyDescent="0.3">
      <c r="A1986" t="s">
        <v>17</v>
      </c>
      <c r="B1986" t="str">
        <f>"688379"</f>
        <v>688379</v>
      </c>
      <c r="C1986" t="s">
        <v>4294</v>
      </c>
      <c r="D1986" t="s">
        <v>274</v>
      </c>
      <c r="P1986">
        <v>36</v>
      </c>
      <c r="Q1986" t="s">
        <v>4295</v>
      </c>
    </row>
    <row r="1987" spans="1:17" x14ac:dyDescent="0.3">
      <c r="A1987" t="s">
        <v>17</v>
      </c>
      <c r="B1987" t="str">
        <f>"688383"</f>
        <v>688383</v>
      </c>
      <c r="C1987" t="s">
        <v>4296</v>
      </c>
      <c r="D1987" t="s">
        <v>741</v>
      </c>
      <c r="P1987">
        <v>49</v>
      </c>
      <c r="Q1987" t="s">
        <v>4297</v>
      </c>
    </row>
    <row r="1988" spans="1:17" x14ac:dyDescent="0.3">
      <c r="A1988" t="s">
        <v>17</v>
      </c>
      <c r="B1988" t="str">
        <f>"688385"</f>
        <v>688385</v>
      </c>
      <c r="C1988" t="s">
        <v>4298</v>
      </c>
      <c r="D1988" t="s">
        <v>461</v>
      </c>
      <c r="P1988">
        <v>47</v>
      </c>
      <c r="Q1988" t="s">
        <v>4299</v>
      </c>
    </row>
    <row r="1989" spans="1:17" x14ac:dyDescent="0.3">
      <c r="A1989" t="s">
        <v>17</v>
      </c>
      <c r="B1989" t="str">
        <f>"688386"</f>
        <v>688386</v>
      </c>
      <c r="C1989" t="s">
        <v>4300</v>
      </c>
      <c r="D1989" t="s">
        <v>324</v>
      </c>
      <c r="P1989">
        <v>43</v>
      </c>
      <c r="Q1989" t="s">
        <v>4301</v>
      </c>
    </row>
    <row r="1990" spans="1:17" x14ac:dyDescent="0.3">
      <c r="A1990" t="s">
        <v>17</v>
      </c>
      <c r="B1990" t="str">
        <f>"688388"</f>
        <v>688388</v>
      </c>
      <c r="C1990" t="s">
        <v>4302</v>
      </c>
      <c r="D1990" t="s">
        <v>263</v>
      </c>
      <c r="P1990">
        <v>286</v>
      </c>
      <c r="Q1990" t="s">
        <v>4303</v>
      </c>
    </row>
    <row r="1991" spans="1:17" x14ac:dyDescent="0.3">
      <c r="A1991" t="s">
        <v>17</v>
      </c>
      <c r="B1991" t="str">
        <f>"688389"</f>
        <v>688389</v>
      </c>
      <c r="C1991" t="s">
        <v>4304</v>
      </c>
      <c r="D1991" t="s">
        <v>1305</v>
      </c>
      <c r="P1991">
        <v>161</v>
      </c>
      <c r="Q1991" t="s">
        <v>4305</v>
      </c>
    </row>
    <row r="1992" spans="1:17" x14ac:dyDescent="0.3">
      <c r="A1992" t="s">
        <v>17</v>
      </c>
      <c r="B1992" t="str">
        <f>"688390"</f>
        <v>688390</v>
      </c>
      <c r="C1992" t="s">
        <v>4306</v>
      </c>
      <c r="D1992" t="s">
        <v>3809</v>
      </c>
      <c r="P1992">
        <v>283</v>
      </c>
      <c r="Q1992" t="s">
        <v>4307</v>
      </c>
    </row>
    <row r="1993" spans="1:17" x14ac:dyDescent="0.3">
      <c r="A1993" t="s">
        <v>17</v>
      </c>
      <c r="B1993" t="str">
        <f>"688393"</f>
        <v>688393</v>
      </c>
      <c r="C1993" t="s">
        <v>4308</v>
      </c>
      <c r="D1993" t="s">
        <v>1305</v>
      </c>
      <c r="P1993">
        <v>76</v>
      </c>
      <c r="Q1993" t="s">
        <v>4309</v>
      </c>
    </row>
    <row r="1994" spans="1:17" x14ac:dyDescent="0.3">
      <c r="A1994" t="s">
        <v>17</v>
      </c>
      <c r="B1994" t="str">
        <f>"688395"</f>
        <v>688395</v>
      </c>
      <c r="C1994" t="s">
        <v>4310</v>
      </c>
      <c r="D1994" t="s">
        <v>2425</v>
      </c>
      <c r="P1994">
        <v>36</v>
      </c>
      <c r="Q1994" t="s">
        <v>4311</v>
      </c>
    </row>
    <row r="1995" spans="1:17" x14ac:dyDescent="0.3">
      <c r="A1995" t="s">
        <v>17</v>
      </c>
      <c r="B1995" t="str">
        <f>"688396"</f>
        <v>688396</v>
      </c>
      <c r="C1995" t="s">
        <v>4312</v>
      </c>
      <c r="D1995" t="s">
        <v>4313</v>
      </c>
      <c r="P1995">
        <v>495</v>
      </c>
      <c r="Q1995" t="s">
        <v>4314</v>
      </c>
    </row>
    <row r="1996" spans="1:17" x14ac:dyDescent="0.3">
      <c r="A1996" t="s">
        <v>17</v>
      </c>
      <c r="B1996" t="str">
        <f>"688398"</f>
        <v>688398</v>
      </c>
      <c r="C1996" t="s">
        <v>4315</v>
      </c>
      <c r="D1996" t="s">
        <v>386</v>
      </c>
      <c r="P1996">
        <v>81</v>
      </c>
      <c r="Q1996" t="s">
        <v>4316</v>
      </c>
    </row>
    <row r="1997" spans="1:17" x14ac:dyDescent="0.3">
      <c r="A1997" t="s">
        <v>17</v>
      </c>
      <c r="B1997" t="str">
        <f>"688399"</f>
        <v>688399</v>
      </c>
      <c r="C1997" t="s">
        <v>4317</v>
      </c>
      <c r="D1997" t="s">
        <v>1305</v>
      </c>
      <c r="P1997">
        <v>373</v>
      </c>
      <c r="Q1997" t="s">
        <v>4318</v>
      </c>
    </row>
    <row r="1998" spans="1:17" x14ac:dyDescent="0.3">
      <c r="A1998" t="s">
        <v>17</v>
      </c>
      <c r="B1998" t="str">
        <f>"688408"</f>
        <v>688408</v>
      </c>
      <c r="C1998" t="s">
        <v>4319</v>
      </c>
      <c r="D1998" t="s">
        <v>478</v>
      </c>
      <c r="P1998">
        <v>114</v>
      </c>
      <c r="Q1998" t="s">
        <v>4320</v>
      </c>
    </row>
    <row r="1999" spans="1:17" x14ac:dyDescent="0.3">
      <c r="A1999" t="s">
        <v>17</v>
      </c>
      <c r="B1999" t="str">
        <f>"688418"</f>
        <v>688418</v>
      </c>
      <c r="C1999" t="s">
        <v>4321</v>
      </c>
      <c r="D1999" t="s">
        <v>595</v>
      </c>
      <c r="P1999">
        <v>40</v>
      </c>
      <c r="Q1999" t="s">
        <v>4322</v>
      </c>
    </row>
    <row r="2000" spans="1:17" x14ac:dyDescent="0.3">
      <c r="A2000" t="s">
        <v>17</v>
      </c>
      <c r="B2000" t="str">
        <f>"688425"</f>
        <v>688425</v>
      </c>
      <c r="C2000" t="s">
        <v>4323</v>
      </c>
      <c r="D2000" t="s">
        <v>83</v>
      </c>
      <c r="P2000">
        <v>40</v>
      </c>
      <c r="Q2000" t="s">
        <v>4324</v>
      </c>
    </row>
    <row r="2001" spans="1:17" x14ac:dyDescent="0.3">
      <c r="A2001" t="s">
        <v>17</v>
      </c>
      <c r="B2001" t="str">
        <f>"688456"</f>
        <v>688456</v>
      </c>
      <c r="C2001" t="s">
        <v>4325</v>
      </c>
      <c r="D2001" t="s">
        <v>263</v>
      </c>
      <c r="P2001">
        <v>28</v>
      </c>
      <c r="Q2001" t="s">
        <v>4326</v>
      </c>
    </row>
    <row r="2002" spans="1:17" x14ac:dyDescent="0.3">
      <c r="A2002" t="s">
        <v>17</v>
      </c>
      <c r="B2002" t="str">
        <f>"688466"</f>
        <v>688466</v>
      </c>
      <c r="C2002" t="s">
        <v>4327</v>
      </c>
      <c r="D2002" t="s">
        <v>33</v>
      </c>
      <c r="P2002">
        <v>60</v>
      </c>
      <c r="Q2002" t="s">
        <v>4328</v>
      </c>
    </row>
    <row r="2003" spans="1:17" x14ac:dyDescent="0.3">
      <c r="A2003" t="s">
        <v>17</v>
      </c>
      <c r="B2003" t="str">
        <f>"688468"</f>
        <v>688468</v>
      </c>
      <c r="C2003" t="s">
        <v>4329</v>
      </c>
      <c r="D2003" t="s">
        <v>1305</v>
      </c>
      <c r="P2003">
        <v>39</v>
      </c>
      <c r="Q2003" t="s">
        <v>4330</v>
      </c>
    </row>
    <row r="2004" spans="1:17" x14ac:dyDescent="0.3">
      <c r="A2004" t="s">
        <v>17</v>
      </c>
      <c r="B2004" t="str">
        <f>"688488"</f>
        <v>688488</v>
      </c>
      <c r="C2004" t="s">
        <v>4331</v>
      </c>
      <c r="D2004" t="s">
        <v>1379</v>
      </c>
      <c r="P2004">
        <v>44</v>
      </c>
      <c r="Q2004" t="s">
        <v>4332</v>
      </c>
    </row>
    <row r="2005" spans="1:17" x14ac:dyDescent="0.3">
      <c r="A2005" t="s">
        <v>17</v>
      </c>
      <c r="B2005" t="str">
        <f>"688499"</f>
        <v>688499</v>
      </c>
      <c r="C2005" t="s">
        <v>4333</v>
      </c>
      <c r="D2005" t="s">
        <v>3761</v>
      </c>
      <c r="P2005">
        <v>65</v>
      </c>
      <c r="Q2005" t="s">
        <v>4334</v>
      </c>
    </row>
    <row r="2006" spans="1:17" x14ac:dyDescent="0.3">
      <c r="A2006" t="s">
        <v>17</v>
      </c>
      <c r="B2006" t="str">
        <f>"688500"</f>
        <v>688500</v>
      </c>
      <c r="C2006" t="s">
        <v>4335</v>
      </c>
      <c r="D2006" t="s">
        <v>316</v>
      </c>
      <c r="P2006">
        <v>26</v>
      </c>
      <c r="Q2006" t="s">
        <v>4336</v>
      </c>
    </row>
    <row r="2007" spans="1:17" x14ac:dyDescent="0.3">
      <c r="A2007" t="s">
        <v>17</v>
      </c>
      <c r="B2007" t="str">
        <f>"688501"</f>
        <v>688501</v>
      </c>
      <c r="C2007" t="s">
        <v>4337</v>
      </c>
      <c r="D2007" t="s">
        <v>1070</v>
      </c>
      <c r="P2007">
        <v>24</v>
      </c>
      <c r="Q2007" t="s">
        <v>4338</v>
      </c>
    </row>
    <row r="2008" spans="1:17" x14ac:dyDescent="0.3">
      <c r="A2008" t="s">
        <v>17</v>
      </c>
      <c r="B2008" t="str">
        <f>"688505"</f>
        <v>688505</v>
      </c>
      <c r="C2008" t="s">
        <v>4339</v>
      </c>
      <c r="D2008" t="s">
        <v>143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"688508"</f>
        <v>688508</v>
      </c>
      <c r="C2009" t="s">
        <v>4341</v>
      </c>
      <c r="D2009" t="s">
        <v>401</v>
      </c>
      <c r="P2009">
        <v>165</v>
      </c>
      <c r="Q2009" t="s">
        <v>4342</v>
      </c>
    </row>
    <row r="2010" spans="1:17" x14ac:dyDescent="0.3">
      <c r="A2010" t="s">
        <v>17</v>
      </c>
      <c r="B2010" t="str">
        <f>"688509"</f>
        <v>688509</v>
      </c>
      <c r="C2010" t="s">
        <v>4343</v>
      </c>
      <c r="D2010" t="s">
        <v>316</v>
      </c>
      <c r="P2010">
        <v>17</v>
      </c>
      <c r="Q2010" t="s">
        <v>4344</v>
      </c>
    </row>
    <row r="2011" spans="1:17" x14ac:dyDescent="0.3">
      <c r="A2011" t="s">
        <v>17</v>
      </c>
      <c r="B2011" t="str">
        <f>"688510"</f>
        <v>688510</v>
      </c>
      <c r="C2011" t="s">
        <v>4345</v>
      </c>
      <c r="D2011" t="s">
        <v>98</v>
      </c>
      <c r="P2011">
        <v>66</v>
      </c>
      <c r="Q2011" t="s">
        <v>4346</v>
      </c>
    </row>
    <row r="2012" spans="1:17" x14ac:dyDescent="0.3">
      <c r="A2012" t="s">
        <v>17</v>
      </c>
      <c r="B2012" t="str">
        <f>"688511"</f>
        <v>688511</v>
      </c>
      <c r="C2012" t="s">
        <v>4347</v>
      </c>
      <c r="D2012" t="s">
        <v>1136</v>
      </c>
      <c r="P2012">
        <v>23</v>
      </c>
      <c r="Q2012" t="s">
        <v>4348</v>
      </c>
    </row>
    <row r="2013" spans="1:17" x14ac:dyDescent="0.3">
      <c r="A2013" t="s">
        <v>17</v>
      </c>
      <c r="B2013" t="str">
        <f>"688513"</f>
        <v>688513</v>
      </c>
      <c r="C2013" t="s">
        <v>4349</v>
      </c>
      <c r="D2013" t="s">
        <v>143</v>
      </c>
      <c r="P2013">
        <v>58</v>
      </c>
      <c r="Q2013" t="s">
        <v>4350</v>
      </c>
    </row>
    <row r="2014" spans="1:17" x14ac:dyDescent="0.3">
      <c r="A2014" t="s">
        <v>17</v>
      </c>
      <c r="B2014" t="str">
        <f>"688516"</f>
        <v>688516</v>
      </c>
      <c r="C2014" t="s">
        <v>4351</v>
      </c>
      <c r="D2014" t="s">
        <v>2662</v>
      </c>
      <c r="P2014">
        <v>152</v>
      </c>
      <c r="Q2014" t="s">
        <v>4352</v>
      </c>
    </row>
    <row r="2015" spans="1:17" x14ac:dyDescent="0.3">
      <c r="A2015" t="s">
        <v>17</v>
      </c>
      <c r="B2015" t="str">
        <f>"688517"</f>
        <v>688517</v>
      </c>
      <c r="C2015" t="s">
        <v>4353</v>
      </c>
      <c r="D2015" t="s">
        <v>657</v>
      </c>
      <c r="P2015">
        <v>19</v>
      </c>
      <c r="Q2015" t="s">
        <v>4354</v>
      </c>
    </row>
    <row r="2016" spans="1:17" x14ac:dyDescent="0.3">
      <c r="A2016" t="s">
        <v>17</v>
      </c>
      <c r="B2016" t="str">
        <f>"688518"</f>
        <v>688518</v>
      </c>
      <c r="C2016" t="s">
        <v>4355</v>
      </c>
      <c r="D2016" t="s">
        <v>3796</v>
      </c>
      <c r="P2016">
        <v>65</v>
      </c>
      <c r="Q2016" t="s">
        <v>4356</v>
      </c>
    </row>
    <row r="2017" spans="1:17" x14ac:dyDescent="0.3">
      <c r="A2017" t="s">
        <v>17</v>
      </c>
      <c r="B2017" t="str">
        <f>"688519"</f>
        <v>688519</v>
      </c>
      <c r="C2017" t="s">
        <v>4357</v>
      </c>
      <c r="D2017" t="s">
        <v>425</v>
      </c>
      <c r="P2017">
        <v>80</v>
      </c>
      <c r="Q2017" t="s">
        <v>4358</v>
      </c>
    </row>
    <row r="2018" spans="1:17" x14ac:dyDescent="0.3">
      <c r="A2018" t="s">
        <v>17</v>
      </c>
      <c r="B2018" t="str">
        <f>"688520"</f>
        <v>688520</v>
      </c>
      <c r="C2018" t="s">
        <v>4359</v>
      </c>
      <c r="D2018" t="s">
        <v>1379</v>
      </c>
      <c r="P2018">
        <v>90</v>
      </c>
      <c r="Q2018" t="s">
        <v>4360</v>
      </c>
    </row>
    <row r="2019" spans="1:17" x14ac:dyDescent="0.3">
      <c r="A2019" t="s">
        <v>17</v>
      </c>
      <c r="B2019" t="str">
        <f>"688521"</f>
        <v>688521</v>
      </c>
      <c r="C2019" t="s">
        <v>4361</v>
      </c>
      <c r="D2019" t="s">
        <v>461</v>
      </c>
      <c r="P2019">
        <v>140</v>
      </c>
      <c r="Q2019" t="s">
        <v>4362</v>
      </c>
    </row>
    <row r="2020" spans="1:17" x14ac:dyDescent="0.3">
      <c r="A2020" t="s">
        <v>17</v>
      </c>
      <c r="B2020" t="str">
        <f>"688526"</f>
        <v>688526</v>
      </c>
      <c r="C2020" t="s">
        <v>4363</v>
      </c>
      <c r="D2020" t="s">
        <v>453</v>
      </c>
      <c r="P2020">
        <v>147</v>
      </c>
      <c r="Q2020" t="s">
        <v>4364</v>
      </c>
    </row>
    <row r="2021" spans="1:17" x14ac:dyDescent="0.3">
      <c r="A2021" t="s">
        <v>17</v>
      </c>
      <c r="B2021" t="str">
        <f>"688528"</f>
        <v>688528</v>
      </c>
      <c r="C2021" t="s">
        <v>4365</v>
      </c>
      <c r="D2021" t="s">
        <v>2557</v>
      </c>
      <c r="P2021">
        <v>42</v>
      </c>
      <c r="Q2021" t="s">
        <v>4366</v>
      </c>
    </row>
    <row r="2022" spans="1:17" x14ac:dyDescent="0.3">
      <c r="A2022" t="s">
        <v>17</v>
      </c>
      <c r="B2022" t="str">
        <f>"688529"</f>
        <v>688529</v>
      </c>
      <c r="C2022" t="s">
        <v>4367</v>
      </c>
      <c r="D2022" t="s">
        <v>741</v>
      </c>
      <c r="P2022">
        <v>33</v>
      </c>
      <c r="Q2022" t="s">
        <v>4368</v>
      </c>
    </row>
    <row r="2023" spans="1:17" x14ac:dyDescent="0.3">
      <c r="A2023" t="s">
        <v>17</v>
      </c>
      <c r="B2023" t="str">
        <f>"688533"</f>
        <v>688533</v>
      </c>
      <c r="C2023" t="s">
        <v>4369</v>
      </c>
      <c r="D2023" t="s">
        <v>1415</v>
      </c>
      <c r="P2023">
        <v>39</v>
      </c>
      <c r="Q2023" t="s">
        <v>4370</v>
      </c>
    </row>
    <row r="2024" spans="1:17" x14ac:dyDescent="0.3">
      <c r="A2024" t="s">
        <v>17</v>
      </c>
      <c r="B2024" t="str">
        <f>"688536"</f>
        <v>688536</v>
      </c>
      <c r="C2024" t="s">
        <v>4371</v>
      </c>
      <c r="D2024" t="s">
        <v>401</v>
      </c>
      <c r="P2024">
        <v>199</v>
      </c>
      <c r="Q2024" t="s">
        <v>4372</v>
      </c>
    </row>
    <row r="2025" spans="1:17" x14ac:dyDescent="0.3">
      <c r="A2025" t="s">
        <v>17</v>
      </c>
      <c r="B2025" t="str">
        <f>"688538"</f>
        <v>688538</v>
      </c>
      <c r="C2025" t="s">
        <v>4373</v>
      </c>
      <c r="D2025" t="s">
        <v>1117</v>
      </c>
      <c r="P2025">
        <v>37</v>
      </c>
      <c r="Q2025" t="s">
        <v>4374</v>
      </c>
    </row>
    <row r="2026" spans="1:17" x14ac:dyDescent="0.3">
      <c r="A2026" t="s">
        <v>17</v>
      </c>
      <c r="B2026" t="str">
        <f>"688550"</f>
        <v>688550</v>
      </c>
      <c r="C2026" t="s">
        <v>4375</v>
      </c>
      <c r="D2026" t="s">
        <v>2401</v>
      </c>
      <c r="P2026">
        <v>54</v>
      </c>
      <c r="Q2026" t="s">
        <v>4376</v>
      </c>
    </row>
    <row r="2027" spans="1:17" x14ac:dyDescent="0.3">
      <c r="A2027" t="s">
        <v>17</v>
      </c>
      <c r="B2027" t="str">
        <f>"688551"</f>
        <v>688551</v>
      </c>
      <c r="C2027" t="s">
        <v>4377</v>
      </c>
      <c r="D2027" t="s">
        <v>880</v>
      </c>
      <c r="P2027">
        <v>39</v>
      </c>
      <c r="Q2027" t="s">
        <v>4378</v>
      </c>
    </row>
    <row r="2028" spans="1:17" x14ac:dyDescent="0.3">
      <c r="A2028" t="s">
        <v>17</v>
      </c>
      <c r="B2028" t="str">
        <f>"688553"</f>
        <v>688553</v>
      </c>
      <c r="C2028" t="s">
        <v>4379</v>
      </c>
      <c r="D2028" t="s">
        <v>143</v>
      </c>
      <c r="P2028">
        <v>30</v>
      </c>
      <c r="Q2028" t="s">
        <v>4380</v>
      </c>
    </row>
    <row r="2029" spans="1:17" x14ac:dyDescent="0.3">
      <c r="A2029" t="s">
        <v>17</v>
      </c>
      <c r="B2029" t="str">
        <f>"688555"</f>
        <v>688555</v>
      </c>
      <c r="C2029" t="s">
        <v>4381</v>
      </c>
      <c r="D2029" t="s">
        <v>945</v>
      </c>
      <c r="P2029">
        <v>55</v>
      </c>
      <c r="Q2029" t="s">
        <v>4382</v>
      </c>
    </row>
    <row r="2030" spans="1:17" x14ac:dyDescent="0.3">
      <c r="A2030" t="s">
        <v>17</v>
      </c>
      <c r="B2030" t="str">
        <f>"688556"</f>
        <v>688556</v>
      </c>
      <c r="C2030" t="s">
        <v>4383</v>
      </c>
      <c r="D2030" t="s">
        <v>2662</v>
      </c>
      <c r="P2030">
        <v>69</v>
      </c>
      <c r="Q2030" t="s">
        <v>4384</v>
      </c>
    </row>
    <row r="2031" spans="1:17" x14ac:dyDescent="0.3">
      <c r="A2031" t="s">
        <v>17</v>
      </c>
      <c r="B2031" t="str">
        <f>"688557"</f>
        <v>688557</v>
      </c>
      <c r="C2031" t="s">
        <v>4385</v>
      </c>
      <c r="D2031" t="s">
        <v>560</v>
      </c>
      <c r="P2031">
        <v>47</v>
      </c>
      <c r="Q2031" t="s">
        <v>4386</v>
      </c>
    </row>
    <row r="2032" spans="1:17" x14ac:dyDescent="0.3">
      <c r="A2032" t="s">
        <v>17</v>
      </c>
      <c r="B2032" t="str">
        <f>"688558"</f>
        <v>688558</v>
      </c>
      <c r="C2032" t="s">
        <v>4387</v>
      </c>
      <c r="D2032" t="s">
        <v>2314</v>
      </c>
      <c r="P2032">
        <v>95</v>
      </c>
      <c r="Q2032" t="s">
        <v>4388</v>
      </c>
    </row>
    <row r="2033" spans="1:17" x14ac:dyDescent="0.3">
      <c r="A2033" t="s">
        <v>17</v>
      </c>
      <c r="B2033" t="str">
        <f>"688559"</f>
        <v>688559</v>
      </c>
      <c r="C2033" t="s">
        <v>4389</v>
      </c>
      <c r="D2033" t="s">
        <v>3796</v>
      </c>
      <c r="P2033">
        <v>68</v>
      </c>
      <c r="Q2033" t="s">
        <v>4390</v>
      </c>
    </row>
    <row r="2034" spans="1:17" x14ac:dyDescent="0.3">
      <c r="A2034" t="s">
        <v>17</v>
      </c>
      <c r="B2034" t="str">
        <f>"688560"</f>
        <v>688560</v>
      </c>
      <c r="C2034" t="s">
        <v>4391</v>
      </c>
      <c r="D2034" t="s">
        <v>478</v>
      </c>
      <c r="P2034">
        <v>38</v>
      </c>
      <c r="Q2034" t="s">
        <v>4392</v>
      </c>
    </row>
    <row r="2035" spans="1:17" x14ac:dyDescent="0.3">
      <c r="A2035" t="s">
        <v>17</v>
      </c>
      <c r="B2035" t="str">
        <f>"688561"</f>
        <v>688561</v>
      </c>
      <c r="C2035" t="s">
        <v>4393</v>
      </c>
      <c r="D2035" t="s">
        <v>1189</v>
      </c>
      <c r="P2035">
        <v>192</v>
      </c>
      <c r="Q2035" t="s">
        <v>4394</v>
      </c>
    </row>
    <row r="2036" spans="1:17" x14ac:dyDescent="0.3">
      <c r="A2036" t="s">
        <v>17</v>
      </c>
      <c r="B2036" t="str">
        <f>"688565"</f>
        <v>688565</v>
      </c>
      <c r="C2036" t="s">
        <v>4395</v>
      </c>
      <c r="D2036" t="s">
        <v>33</v>
      </c>
      <c r="P2036">
        <v>38</v>
      </c>
      <c r="Q2036" t="s">
        <v>4396</v>
      </c>
    </row>
    <row r="2037" spans="1:17" x14ac:dyDescent="0.3">
      <c r="A2037" t="s">
        <v>17</v>
      </c>
      <c r="B2037" t="str">
        <f>"688566"</f>
        <v>688566</v>
      </c>
      <c r="C2037" t="s">
        <v>4397</v>
      </c>
      <c r="D2037" t="s">
        <v>143</v>
      </c>
      <c r="P2037">
        <v>69</v>
      </c>
      <c r="Q2037" t="s">
        <v>4398</v>
      </c>
    </row>
    <row r="2038" spans="1:17" x14ac:dyDescent="0.3">
      <c r="A2038" t="s">
        <v>17</v>
      </c>
      <c r="B2038" t="str">
        <f>"688567"</f>
        <v>688567</v>
      </c>
      <c r="C2038" t="s">
        <v>4399</v>
      </c>
      <c r="D2038" t="s">
        <v>359</v>
      </c>
      <c r="P2038">
        <v>107</v>
      </c>
      <c r="Q2038" t="s">
        <v>4400</v>
      </c>
    </row>
    <row r="2039" spans="1:17" x14ac:dyDescent="0.3">
      <c r="A2039" t="s">
        <v>17</v>
      </c>
      <c r="B2039" t="str">
        <f>"688568"</f>
        <v>688568</v>
      </c>
      <c r="C2039" t="s">
        <v>4401</v>
      </c>
      <c r="D2039" t="s">
        <v>316</v>
      </c>
      <c r="P2039">
        <v>98</v>
      </c>
      <c r="Q2039" t="s">
        <v>4402</v>
      </c>
    </row>
    <row r="2040" spans="1:17" x14ac:dyDescent="0.3">
      <c r="A2040" t="s">
        <v>17</v>
      </c>
      <c r="B2040" t="str">
        <f>"688569"</f>
        <v>688569</v>
      </c>
      <c r="C2040" t="s">
        <v>4403</v>
      </c>
      <c r="D2040" t="s">
        <v>1012</v>
      </c>
      <c r="P2040">
        <v>31</v>
      </c>
      <c r="Q2040" t="s">
        <v>4404</v>
      </c>
    </row>
    <row r="2041" spans="1:17" x14ac:dyDescent="0.3">
      <c r="A2041" t="s">
        <v>17</v>
      </c>
      <c r="B2041" t="str">
        <f>"688571"</f>
        <v>688571</v>
      </c>
      <c r="C2041" t="s">
        <v>4405</v>
      </c>
      <c r="D2041" t="s">
        <v>2576</v>
      </c>
      <c r="P2041">
        <v>29</v>
      </c>
      <c r="Q2041" t="s">
        <v>4406</v>
      </c>
    </row>
    <row r="2042" spans="1:17" x14ac:dyDescent="0.3">
      <c r="A2042" t="s">
        <v>17</v>
      </c>
      <c r="B2042" t="str">
        <f>"688575"</f>
        <v>688575</v>
      </c>
      <c r="C2042" t="s">
        <v>4407</v>
      </c>
      <c r="D2042" t="s">
        <v>1305</v>
      </c>
      <c r="P2042">
        <v>46</v>
      </c>
      <c r="Q2042" t="s">
        <v>4408</v>
      </c>
    </row>
    <row r="2043" spans="1:17" x14ac:dyDescent="0.3">
      <c r="A2043" t="s">
        <v>17</v>
      </c>
      <c r="B2043" t="str">
        <f>"688577"</f>
        <v>688577</v>
      </c>
      <c r="C2043" t="s">
        <v>4409</v>
      </c>
      <c r="D2043" t="s">
        <v>2314</v>
      </c>
      <c r="P2043">
        <v>56</v>
      </c>
      <c r="Q2043" t="s">
        <v>4410</v>
      </c>
    </row>
    <row r="2044" spans="1:17" x14ac:dyDescent="0.3">
      <c r="A2044" t="s">
        <v>17</v>
      </c>
      <c r="B2044" t="str">
        <f>"688578"</f>
        <v>688578</v>
      </c>
      <c r="C2044" t="s">
        <v>4411</v>
      </c>
      <c r="D2044" t="s">
        <v>143</v>
      </c>
      <c r="P2044">
        <v>47</v>
      </c>
      <c r="Q2044" t="s">
        <v>4412</v>
      </c>
    </row>
    <row r="2045" spans="1:17" x14ac:dyDescent="0.3">
      <c r="A2045" t="s">
        <v>17</v>
      </c>
      <c r="B2045" t="str">
        <f>"688579"</f>
        <v>688579</v>
      </c>
      <c r="C2045" t="s">
        <v>4413</v>
      </c>
      <c r="D2045" t="s">
        <v>945</v>
      </c>
      <c r="P2045">
        <v>34</v>
      </c>
      <c r="Q2045" t="s">
        <v>4414</v>
      </c>
    </row>
    <row r="2046" spans="1:17" x14ac:dyDescent="0.3">
      <c r="A2046" t="s">
        <v>17</v>
      </c>
      <c r="B2046" t="str">
        <f>"688580"</f>
        <v>688580</v>
      </c>
      <c r="C2046" t="s">
        <v>4415</v>
      </c>
      <c r="D2046" t="s">
        <v>122</v>
      </c>
      <c r="P2046">
        <v>246</v>
      </c>
      <c r="Q2046" t="s">
        <v>4416</v>
      </c>
    </row>
    <row r="2047" spans="1:17" x14ac:dyDescent="0.3">
      <c r="A2047" t="s">
        <v>17</v>
      </c>
      <c r="B2047" t="str">
        <f>"688585"</f>
        <v>688585</v>
      </c>
      <c r="C2047" t="s">
        <v>4417</v>
      </c>
      <c r="D2047" t="s">
        <v>3362</v>
      </c>
      <c r="P2047">
        <v>26</v>
      </c>
      <c r="Q2047" t="s">
        <v>4418</v>
      </c>
    </row>
    <row r="2048" spans="1:17" x14ac:dyDescent="0.3">
      <c r="A2048" t="s">
        <v>17</v>
      </c>
      <c r="B2048" t="str">
        <f>"688586"</f>
        <v>688586</v>
      </c>
      <c r="C2048" t="s">
        <v>4419</v>
      </c>
      <c r="D2048" t="s">
        <v>98</v>
      </c>
      <c r="P2048">
        <v>70</v>
      </c>
      <c r="Q2048" t="s">
        <v>4420</v>
      </c>
    </row>
    <row r="2049" spans="1:17" x14ac:dyDescent="0.3">
      <c r="A2049" t="s">
        <v>17</v>
      </c>
      <c r="B2049" t="str">
        <f>"688588"</f>
        <v>688588</v>
      </c>
      <c r="C2049" t="s">
        <v>4421</v>
      </c>
      <c r="D2049" t="s">
        <v>945</v>
      </c>
      <c r="P2049">
        <v>79</v>
      </c>
      <c r="Q2049" t="s">
        <v>4422</v>
      </c>
    </row>
    <row r="2050" spans="1:17" x14ac:dyDescent="0.3">
      <c r="A2050" t="s">
        <v>17</v>
      </c>
      <c r="B2050" t="str">
        <f>"688589"</f>
        <v>688589</v>
      </c>
      <c r="C2050" t="s">
        <v>4423</v>
      </c>
      <c r="D2050" t="s">
        <v>461</v>
      </c>
      <c r="P2050">
        <v>73</v>
      </c>
      <c r="Q2050" t="s">
        <v>4424</v>
      </c>
    </row>
    <row r="2051" spans="1:17" x14ac:dyDescent="0.3">
      <c r="A2051" t="s">
        <v>17</v>
      </c>
      <c r="B2051" t="str">
        <f>"688590"</f>
        <v>688590</v>
      </c>
      <c r="C2051" t="s">
        <v>4425</v>
      </c>
      <c r="D2051" t="s">
        <v>945</v>
      </c>
      <c r="P2051">
        <v>29</v>
      </c>
      <c r="Q2051" t="s">
        <v>4426</v>
      </c>
    </row>
    <row r="2052" spans="1:17" x14ac:dyDescent="0.3">
      <c r="A2052" t="s">
        <v>17</v>
      </c>
      <c r="B2052" t="str">
        <f>"688595"</f>
        <v>688595</v>
      </c>
      <c r="C2052" t="s">
        <v>4427</v>
      </c>
      <c r="D2052" t="s">
        <v>401</v>
      </c>
      <c r="P2052">
        <v>128</v>
      </c>
      <c r="Q2052" t="s">
        <v>4428</v>
      </c>
    </row>
    <row r="2053" spans="1:17" x14ac:dyDescent="0.3">
      <c r="A2053" t="s">
        <v>17</v>
      </c>
      <c r="B2053" t="str">
        <f>"688596"</f>
        <v>688596</v>
      </c>
      <c r="C2053" t="s">
        <v>4429</v>
      </c>
      <c r="D2053" t="s">
        <v>741</v>
      </c>
      <c r="P2053">
        <v>61</v>
      </c>
      <c r="Q2053" t="s">
        <v>4430</v>
      </c>
    </row>
    <row r="2054" spans="1:17" x14ac:dyDescent="0.3">
      <c r="A2054" t="s">
        <v>17</v>
      </c>
      <c r="B2054" t="str">
        <f>"688597"</f>
        <v>688597</v>
      </c>
      <c r="C2054" t="s">
        <v>4431</v>
      </c>
      <c r="D2054" t="s">
        <v>2173</v>
      </c>
      <c r="P2054">
        <v>17</v>
      </c>
      <c r="Q2054" t="s">
        <v>4432</v>
      </c>
    </row>
    <row r="2055" spans="1:17" x14ac:dyDescent="0.3">
      <c r="A2055" t="s">
        <v>17</v>
      </c>
      <c r="B2055" t="str">
        <f>"688598"</f>
        <v>688598</v>
      </c>
      <c r="C2055" t="s">
        <v>4433</v>
      </c>
      <c r="D2055" t="s">
        <v>478</v>
      </c>
      <c r="P2055">
        <v>262</v>
      </c>
      <c r="Q2055" t="s">
        <v>4434</v>
      </c>
    </row>
    <row r="2056" spans="1:17" x14ac:dyDescent="0.3">
      <c r="A2056" t="s">
        <v>17</v>
      </c>
      <c r="B2056" t="str">
        <f>"688599"</f>
        <v>688599</v>
      </c>
      <c r="C2056" t="s">
        <v>4435</v>
      </c>
      <c r="D2056" t="s">
        <v>356</v>
      </c>
      <c r="P2056">
        <v>371</v>
      </c>
      <c r="Q2056" t="s">
        <v>4436</v>
      </c>
    </row>
    <row r="2057" spans="1:17" x14ac:dyDescent="0.3">
      <c r="A2057" t="s">
        <v>17</v>
      </c>
      <c r="B2057" t="str">
        <f>"688600"</f>
        <v>688600</v>
      </c>
      <c r="C2057" t="s">
        <v>4437</v>
      </c>
      <c r="D2057" t="s">
        <v>1070</v>
      </c>
      <c r="P2057">
        <v>62</v>
      </c>
      <c r="Q2057" t="s">
        <v>4438</v>
      </c>
    </row>
    <row r="2058" spans="1:17" x14ac:dyDescent="0.3">
      <c r="A2058" t="s">
        <v>17</v>
      </c>
      <c r="B2058" t="str">
        <f>"688601"</f>
        <v>688601</v>
      </c>
      <c r="C2058" t="s">
        <v>4439</v>
      </c>
      <c r="D2058" t="s">
        <v>401</v>
      </c>
      <c r="P2058">
        <v>57</v>
      </c>
      <c r="Q2058" t="s">
        <v>4440</v>
      </c>
    </row>
    <row r="2059" spans="1:17" x14ac:dyDescent="0.3">
      <c r="A2059" t="s">
        <v>17</v>
      </c>
      <c r="B2059" t="str">
        <f>"688606"</f>
        <v>688606</v>
      </c>
      <c r="C2059" t="s">
        <v>4441</v>
      </c>
      <c r="D2059" t="s">
        <v>1305</v>
      </c>
      <c r="P2059">
        <v>104</v>
      </c>
      <c r="Q2059" t="s">
        <v>4442</v>
      </c>
    </row>
    <row r="2060" spans="1:17" x14ac:dyDescent="0.3">
      <c r="A2060" t="s">
        <v>17</v>
      </c>
      <c r="B2060" t="str">
        <f>"688607"</f>
        <v>688607</v>
      </c>
      <c r="C2060" t="s">
        <v>4443</v>
      </c>
      <c r="D2060" t="s">
        <v>122</v>
      </c>
      <c r="P2060">
        <v>55</v>
      </c>
      <c r="Q2060" t="s">
        <v>4444</v>
      </c>
    </row>
    <row r="2061" spans="1:17" x14ac:dyDescent="0.3">
      <c r="A2061" t="s">
        <v>17</v>
      </c>
      <c r="B2061" t="str">
        <f>"688608"</f>
        <v>688608</v>
      </c>
      <c r="C2061" t="s">
        <v>4445</v>
      </c>
      <c r="D2061" t="s">
        <v>461</v>
      </c>
      <c r="P2061">
        <v>123</v>
      </c>
      <c r="Q2061" t="s">
        <v>4446</v>
      </c>
    </row>
    <row r="2062" spans="1:17" x14ac:dyDescent="0.3">
      <c r="A2062" t="s">
        <v>17</v>
      </c>
      <c r="B2062" t="str">
        <f>"688609"</f>
        <v>688609</v>
      </c>
      <c r="C2062" t="s">
        <v>4447</v>
      </c>
      <c r="D2062" t="s">
        <v>4448</v>
      </c>
      <c r="P2062">
        <v>31</v>
      </c>
      <c r="Q2062" t="s">
        <v>4449</v>
      </c>
    </row>
    <row r="2063" spans="1:17" x14ac:dyDescent="0.3">
      <c r="A2063" t="s">
        <v>17</v>
      </c>
      <c r="B2063" t="str">
        <f>"688611"</f>
        <v>688611</v>
      </c>
      <c r="C2063" t="s">
        <v>4450</v>
      </c>
      <c r="D2063" t="s">
        <v>610</v>
      </c>
      <c r="P2063">
        <v>38</v>
      </c>
      <c r="Q2063" t="s">
        <v>4451</v>
      </c>
    </row>
    <row r="2064" spans="1:17" x14ac:dyDescent="0.3">
      <c r="A2064" t="s">
        <v>17</v>
      </c>
      <c r="B2064" t="str">
        <f>"688613"</f>
        <v>688613</v>
      </c>
      <c r="C2064" t="s">
        <v>4452</v>
      </c>
      <c r="D2064" t="s">
        <v>1077</v>
      </c>
      <c r="P2064">
        <v>51</v>
      </c>
      <c r="Q2064" t="s">
        <v>4453</v>
      </c>
    </row>
    <row r="2065" spans="1:17" x14ac:dyDescent="0.3">
      <c r="A2065" t="s">
        <v>17</v>
      </c>
      <c r="B2065" t="str">
        <f>"688616"</f>
        <v>688616</v>
      </c>
      <c r="C2065" t="s">
        <v>4454</v>
      </c>
      <c r="D2065" t="s">
        <v>2173</v>
      </c>
      <c r="P2065">
        <v>23</v>
      </c>
      <c r="Q2065" t="s">
        <v>4455</v>
      </c>
    </row>
    <row r="2066" spans="1:17" x14ac:dyDescent="0.3">
      <c r="A2066" t="s">
        <v>17</v>
      </c>
      <c r="B2066" t="str">
        <f>"688617"</f>
        <v>688617</v>
      </c>
      <c r="C2066" t="s">
        <v>4456</v>
      </c>
      <c r="D2066" t="s">
        <v>1077</v>
      </c>
      <c r="P2066">
        <v>137</v>
      </c>
      <c r="Q2066" t="s">
        <v>4457</v>
      </c>
    </row>
    <row r="2067" spans="1:17" x14ac:dyDescent="0.3">
      <c r="A2067" t="s">
        <v>17</v>
      </c>
      <c r="B2067" t="str">
        <f>"688618"</f>
        <v>688618</v>
      </c>
      <c r="C2067" t="s">
        <v>4458</v>
      </c>
      <c r="D2067" t="s">
        <v>1019</v>
      </c>
      <c r="P2067">
        <v>41</v>
      </c>
      <c r="Q2067" t="s">
        <v>4459</v>
      </c>
    </row>
    <row r="2068" spans="1:17" x14ac:dyDescent="0.3">
      <c r="A2068" t="s">
        <v>17</v>
      </c>
      <c r="B2068" t="str">
        <f>"688619"</f>
        <v>688619</v>
      </c>
      <c r="C2068" t="s">
        <v>4460</v>
      </c>
      <c r="D2068" t="s">
        <v>2965</v>
      </c>
      <c r="P2068">
        <v>31</v>
      </c>
      <c r="Q2068" t="s">
        <v>4461</v>
      </c>
    </row>
    <row r="2069" spans="1:17" x14ac:dyDescent="0.3">
      <c r="A2069" t="s">
        <v>17</v>
      </c>
      <c r="B2069" t="str">
        <f>"688621"</f>
        <v>688621</v>
      </c>
      <c r="C2069" t="s">
        <v>4462</v>
      </c>
      <c r="D2069" t="s">
        <v>1461</v>
      </c>
      <c r="P2069">
        <v>63</v>
      </c>
      <c r="Q2069" t="s">
        <v>4463</v>
      </c>
    </row>
    <row r="2070" spans="1:17" x14ac:dyDescent="0.3">
      <c r="A2070" t="s">
        <v>17</v>
      </c>
      <c r="B2070" t="str">
        <f>"688622"</f>
        <v>688622</v>
      </c>
      <c r="C2070" t="s">
        <v>4464</v>
      </c>
      <c r="D2070" t="s">
        <v>2557</v>
      </c>
      <c r="P2070">
        <v>29</v>
      </c>
      <c r="Q2070" t="s">
        <v>4465</v>
      </c>
    </row>
    <row r="2071" spans="1:17" x14ac:dyDescent="0.3">
      <c r="A2071" t="s">
        <v>17</v>
      </c>
      <c r="B2071" t="str">
        <f>"688625"</f>
        <v>688625</v>
      </c>
      <c r="C2071" t="s">
        <v>4466</v>
      </c>
      <c r="D2071" t="s">
        <v>386</v>
      </c>
      <c r="P2071">
        <v>63</v>
      </c>
      <c r="Q2071" t="s">
        <v>4467</v>
      </c>
    </row>
    <row r="2072" spans="1:17" x14ac:dyDescent="0.3">
      <c r="A2072" t="s">
        <v>17</v>
      </c>
      <c r="B2072" t="str">
        <f>"688626"</f>
        <v>688626</v>
      </c>
      <c r="C2072" t="s">
        <v>4468</v>
      </c>
      <c r="D2072" t="s">
        <v>122</v>
      </c>
      <c r="P2072">
        <v>82</v>
      </c>
      <c r="Q2072" t="s">
        <v>4469</v>
      </c>
    </row>
    <row r="2073" spans="1:17" x14ac:dyDescent="0.3">
      <c r="A2073" t="s">
        <v>17</v>
      </c>
      <c r="B2073" t="str">
        <f>"688628"</f>
        <v>688628</v>
      </c>
      <c r="C2073" t="s">
        <v>4470</v>
      </c>
      <c r="D2073" t="s">
        <v>2557</v>
      </c>
      <c r="P2073">
        <v>35</v>
      </c>
      <c r="Q2073" t="s">
        <v>4471</v>
      </c>
    </row>
    <row r="2074" spans="1:17" x14ac:dyDescent="0.3">
      <c r="A2074" t="s">
        <v>17</v>
      </c>
      <c r="B2074" t="str">
        <f>"688630"</f>
        <v>688630</v>
      </c>
      <c r="C2074" t="s">
        <v>4472</v>
      </c>
      <c r="D2074" t="s">
        <v>741</v>
      </c>
      <c r="P2074">
        <v>63</v>
      </c>
      <c r="Q2074" t="s">
        <v>4473</v>
      </c>
    </row>
    <row r="2075" spans="1:17" x14ac:dyDescent="0.3">
      <c r="A2075" t="s">
        <v>17</v>
      </c>
      <c r="B2075" t="str">
        <f>"688633"</f>
        <v>688633</v>
      </c>
      <c r="C2075" t="s">
        <v>4474</v>
      </c>
      <c r="D2075" t="s">
        <v>395</v>
      </c>
      <c r="P2075">
        <v>38</v>
      </c>
      <c r="Q2075" t="s">
        <v>4475</v>
      </c>
    </row>
    <row r="2076" spans="1:17" x14ac:dyDescent="0.3">
      <c r="A2076" t="s">
        <v>17</v>
      </c>
      <c r="B2076" t="str">
        <f>"688636"</f>
        <v>688636</v>
      </c>
      <c r="C2076" t="s">
        <v>4476</v>
      </c>
      <c r="D2076" t="s">
        <v>1136</v>
      </c>
      <c r="P2076">
        <v>32</v>
      </c>
      <c r="Q2076" t="s">
        <v>4477</v>
      </c>
    </row>
    <row r="2077" spans="1:17" x14ac:dyDescent="0.3">
      <c r="A2077" t="s">
        <v>17</v>
      </c>
      <c r="B2077" t="str">
        <f>"688639"</f>
        <v>688639</v>
      </c>
      <c r="C2077" t="s">
        <v>4478</v>
      </c>
      <c r="D2077" t="s">
        <v>677</v>
      </c>
      <c r="P2077">
        <v>58</v>
      </c>
      <c r="Q2077" t="s">
        <v>4479</v>
      </c>
    </row>
    <row r="2078" spans="1:17" x14ac:dyDescent="0.3">
      <c r="A2078" t="s">
        <v>17</v>
      </c>
      <c r="B2078" t="str">
        <f>"688655"</f>
        <v>688655</v>
      </c>
      <c r="C2078" t="s">
        <v>4480</v>
      </c>
      <c r="D2078" t="s">
        <v>425</v>
      </c>
      <c r="P2078">
        <v>21</v>
      </c>
      <c r="Q2078" t="s">
        <v>4481</v>
      </c>
    </row>
    <row r="2079" spans="1:17" x14ac:dyDescent="0.3">
      <c r="A2079" t="s">
        <v>17</v>
      </c>
      <c r="B2079" t="str">
        <f>"688656"</f>
        <v>688656</v>
      </c>
      <c r="C2079" t="s">
        <v>4482</v>
      </c>
      <c r="D2079" t="s">
        <v>1305</v>
      </c>
      <c r="P2079">
        <v>59</v>
      </c>
      <c r="Q2079" t="s">
        <v>4483</v>
      </c>
    </row>
    <row r="2080" spans="1:17" x14ac:dyDescent="0.3">
      <c r="A2080" t="s">
        <v>17</v>
      </c>
      <c r="B2080" t="str">
        <f>"688658"</f>
        <v>688658</v>
      </c>
      <c r="C2080" t="s">
        <v>4484</v>
      </c>
      <c r="D2080" t="s">
        <v>143</v>
      </c>
      <c r="P2080">
        <v>75</v>
      </c>
      <c r="Q2080" t="s">
        <v>4485</v>
      </c>
    </row>
    <row r="2081" spans="1:17" x14ac:dyDescent="0.3">
      <c r="A2081" t="s">
        <v>17</v>
      </c>
      <c r="B2081" t="str">
        <f>"688659"</f>
        <v>688659</v>
      </c>
      <c r="C2081" t="s">
        <v>4486</v>
      </c>
      <c r="D2081" t="s">
        <v>386</v>
      </c>
      <c r="P2081">
        <v>40</v>
      </c>
      <c r="Q2081" t="s">
        <v>4487</v>
      </c>
    </row>
    <row r="2082" spans="1:17" x14ac:dyDescent="0.3">
      <c r="A2082" t="s">
        <v>17</v>
      </c>
      <c r="B2082" t="str">
        <f>"688660"</f>
        <v>688660</v>
      </c>
      <c r="C2082" t="s">
        <v>4488</v>
      </c>
      <c r="D2082" t="s">
        <v>895</v>
      </c>
      <c r="P2082">
        <v>54</v>
      </c>
      <c r="Q2082" t="s">
        <v>4489</v>
      </c>
    </row>
    <row r="2083" spans="1:17" x14ac:dyDescent="0.3">
      <c r="A2083" t="s">
        <v>17</v>
      </c>
      <c r="B2083" t="str">
        <f>"688661"</f>
        <v>688661</v>
      </c>
      <c r="C2083" t="s">
        <v>4490</v>
      </c>
      <c r="D2083" t="s">
        <v>313</v>
      </c>
      <c r="P2083">
        <v>64</v>
      </c>
      <c r="Q2083" t="s">
        <v>4491</v>
      </c>
    </row>
    <row r="2084" spans="1:17" x14ac:dyDescent="0.3">
      <c r="A2084" t="s">
        <v>17</v>
      </c>
      <c r="B2084" t="str">
        <f>"688662"</f>
        <v>688662</v>
      </c>
      <c r="C2084" t="s">
        <v>4492</v>
      </c>
      <c r="D2084" t="s">
        <v>651</v>
      </c>
      <c r="P2084">
        <v>23</v>
      </c>
      <c r="Q2084" t="s">
        <v>4493</v>
      </c>
    </row>
    <row r="2085" spans="1:17" x14ac:dyDescent="0.3">
      <c r="A2085" t="s">
        <v>17</v>
      </c>
      <c r="B2085" t="str">
        <f>"688663"</f>
        <v>688663</v>
      </c>
      <c r="C2085" t="s">
        <v>4494</v>
      </c>
      <c r="D2085" t="s">
        <v>657</v>
      </c>
      <c r="P2085">
        <v>32</v>
      </c>
      <c r="Q2085" t="s">
        <v>4495</v>
      </c>
    </row>
    <row r="2086" spans="1:17" x14ac:dyDescent="0.3">
      <c r="A2086" t="s">
        <v>17</v>
      </c>
      <c r="B2086" t="str">
        <f>"688665"</f>
        <v>688665</v>
      </c>
      <c r="C2086" t="s">
        <v>4496</v>
      </c>
      <c r="D2086" t="s">
        <v>2557</v>
      </c>
      <c r="P2086">
        <v>63</v>
      </c>
      <c r="Q2086" t="s">
        <v>4497</v>
      </c>
    </row>
    <row r="2087" spans="1:17" x14ac:dyDescent="0.3">
      <c r="A2087" t="s">
        <v>17</v>
      </c>
      <c r="B2087" t="str">
        <f>"688667"</f>
        <v>688667</v>
      </c>
      <c r="C2087" t="s">
        <v>4498</v>
      </c>
      <c r="D2087" t="s">
        <v>1415</v>
      </c>
      <c r="P2087">
        <v>66</v>
      </c>
      <c r="Q2087" t="s">
        <v>4499</v>
      </c>
    </row>
    <row r="2088" spans="1:17" x14ac:dyDescent="0.3">
      <c r="A2088" t="s">
        <v>17</v>
      </c>
      <c r="B2088" t="str">
        <f>"688668"</f>
        <v>688668</v>
      </c>
      <c r="C2088" t="s">
        <v>4500</v>
      </c>
      <c r="D2088" t="s">
        <v>1019</v>
      </c>
      <c r="P2088">
        <v>44</v>
      </c>
      <c r="Q2088" t="s">
        <v>4501</v>
      </c>
    </row>
    <row r="2089" spans="1:17" x14ac:dyDescent="0.3">
      <c r="A2089" t="s">
        <v>17</v>
      </c>
      <c r="B2089" t="str">
        <f>"688669"</f>
        <v>688669</v>
      </c>
      <c r="C2089" t="s">
        <v>4502</v>
      </c>
      <c r="D2089" t="s">
        <v>341</v>
      </c>
      <c r="P2089">
        <v>36</v>
      </c>
      <c r="Q2089" t="s">
        <v>4503</v>
      </c>
    </row>
    <row r="2090" spans="1:17" x14ac:dyDescent="0.3">
      <c r="A2090" t="s">
        <v>17</v>
      </c>
      <c r="B2090" t="str">
        <f>"688670"</f>
        <v>688670</v>
      </c>
      <c r="C2090" t="s">
        <v>4504</v>
      </c>
      <c r="D2090" t="s">
        <v>1499</v>
      </c>
      <c r="P2090">
        <v>19</v>
      </c>
      <c r="Q2090" t="s">
        <v>4505</v>
      </c>
    </row>
    <row r="2091" spans="1:17" x14ac:dyDescent="0.3">
      <c r="A2091" t="s">
        <v>17</v>
      </c>
      <c r="B2091" t="str">
        <f>"688676"</f>
        <v>688676</v>
      </c>
      <c r="C2091" t="s">
        <v>4506</v>
      </c>
      <c r="D2091" t="s">
        <v>210</v>
      </c>
      <c r="P2091">
        <v>42</v>
      </c>
      <c r="Q2091" t="s">
        <v>4507</v>
      </c>
    </row>
    <row r="2092" spans="1:17" x14ac:dyDescent="0.3">
      <c r="A2092" t="s">
        <v>17</v>
      </c>
      <c r="B2092" t="str">
        <f>"688677"</f>
        <v>688677</v>
      </c>
      <c r="C2092" t="s">
        <v>4508</v>
      </c>
      <c r="D2092" t="s">
        <v>122</v>
      </c>
      <c r="P2092">
        <v>94</v>
      </c>
      <c r="Q2092" t="s">
        <v>4509</v>
      </c>
    </row>
    <row r="2093" spans="1:17" x14ac:dyDescent="0.3">
      <c r="A2093" t="s">
        <v>17</v>
      </c>
      <c r="B2093" t="str">
        <f>"688678"</f>
        <v>688678</v>
      </c>
      <c r="C2093" t="s">
        <v>4510</v>
      </c>
      <c r="D2093" t="s">
        <v>313</v>
      </c>
      <c r="P2093">
        <v>29</v>
      </c>
      <c r="Q2093" t="s">
        <v>4511</v>
      </c>
    </row>
    <row r="2094" spans="1:17" x14ac:dyDescent="0.3">
      <c r="A2094" t="s">
        <v>17</v>
      </c>
      <c r="B2094" t="str">
        <f>"688679"</f>
        <v>688679</v>
      </c>
      <c r="C2094" t="s">
        <v>4512</v>
      </c>
      <c r="D2094" t="s">
        <v>499</v>
      </c>
      <c r="P2094">
        <v>31</v>
      </c>
      <c r="Q2094" t="s">
        <v>4513</v>
      </c>
    </row>
    <row r="2095" spans="1:17" x14ac:dyDescent="0.3">
      <c r="A2095" t="s">
        <v>17</v>
      </c>
      <c r="B2095" t="str">
        <f>"688680"</f>
        <v>688680</v>
      </c>
      <c r="C2095" t="s">
        <v>4514</v>
      </c>
      <c r="D2095" t="s">
        <v>478</v>
      </c>
      <c r="P2095">
        <v>79</v>
      </c>
      <c r="Q2095" t="s">
        <v>4515</v>
      </c>
    </row>
    <row r="2096" spans="1:17" x14ac:dyDescent="0.3">
      <c r="A2096" t="s">
        <v>17</v>
      </c>
      <c r="B2096" t="str">
        <f>"688681"</f>
        <v>688681</v>
      </c>
      <c r="C2096" t="s">
        <v>4516</v>
      </c>
      <c r="D2096" t="s">
        <v>610</v>
      </c>
      <c r="P2096">
        <v>31</v>
      </c>
      <c r="Q2096" t="s">
        <v>4517</v>
      </c>
    </row>
    <row r="2097" spans="1:17" x14ac:dyDescent="0.3">
      <c r="A2097" t="s">
        <v>17</v>
      </c>
      <c r="B2097" t="str">
        <f>"688682"</f>
        <v>688682</v>
      </c>
      <c r="C2097" t="s">
        <v>4518</v>
      </c>
      <c r="D2097" t="s">
        <v>1136</v>
      </c>
      <c r="P2097">
        <v>33</v>
      </c>
      <c r="Q2097" t="s">
        <v>4519</v>
      </c>
    </row>
    <row r="2098" spans="1:17" x14ac:dyDescent="0.3">
      <c r="A2098" t="s">
        <v>17</v>
      </c>
      <c r="B2098" t="str">
        <f>"688683"</f>
        <v>688683</v>
      </c>
      <c r="C2098" t="s">
        <v>4520</v>
      </c>
      <c r="D2098" t="s">
        <v>313</v>
      </c>
      <c r="P2098">
        <v>18</v>
      </c>
      <c r="Q2098" t="s">
        <v>4521</v>
      </c>
    </row>
    <row r="2099" spans="1:17" x14ac:dyDescent="0.3">
      <c r="A2099" t="s">
        <v>17</v>
      </c>
      <c r="B2099" t="str">
        <f>"688685"</f>
        <v>688685</v>
      </c>
      <c r="C2099" t="s">
        <v>4522</v>
      </c>
      <c r="D2099" t="s">
        <v>98</v>
      </c>
      <c r="P2099">
        <v>21</v>
      </c>
      <c r="Q2099" t="s">
        <v>4523</v>
      </c>
    </row>
    <row r="2100" spans="1:17" x14ac:dyDescent="0.3">
      <c r="A2100" t="s">
        <v>17</v>
      </c>
      <c r="B2100" t="str">
        <f>"688686"</f>
        <v>688686</v>
      </c>
      <c r="C2100" t="s">
        <v>4524</v>
      </c>
      <c r="D2100" t="s">
        <v>3462</v>
      </c>
      <c r="P2100">
        <v>117</v>
      </c>
      <c r="Q2100" t="s">
        <v>4525</v>
      </c>
    </row>
    <row r="2101" spans="1:17" x14ac:dyDescent="0.3">
      <c r="A2101" t="s">
        <v>17</v>
      </c>
      <c r="B2101" t="str">
        <f>"688687"</f>
        <v>688687</v>
      </c>
      <c r="C2101" t="s">
        <v>4526</v>
      </c>
      <c r="D2101" t="s">
        <v>1379</v>
      </c>
      <c r="P2101">
        <v>41</v>
      </c>
      <c r="Q2101" t="s">
        <v>4527</v>
      </c>
    </row>
    <row r="2102" spans="1:17" x14ac:dyDescent="0.3">
      <c r="A2102" t="s">
        <v>17</v>
      </c>
      <c r="B2102" t="str">
        <f>"688689"</f>
        <v>688689</v>
      </c>
      <c r="C2102" t="s">
        <v>4528</v>
      </c>
      <c r="D2102" t="s">
        <v>795</v>
      </c>
      <c r="P2102">
        <v>46</v>
      </c>
      <c r="Q2102" t="s">
        <v>4529</v>
      </c>
    </row>
    <row r="2103" spans="1:17" x14ac:dyDescent="0.3">
      <c r="A2103" t="s">
        <v>17</v>
      </c>
      <c r="B2103" t="str">
        <f>"688690"</f>
        <v>688690</v>
      </c>
      <c r="C2103" t="s">
        <v>4530</v>
      </c>
      <c r="D2103" t="s">
        <v>496</v>
      </c>
      <c r="P2103">
        <v>116</v>
      </c>
      <c r="Q2103" t="s">
        <v>4531</v>
      </c>
    </row>
    <row r="2104" spans="1:17" x14ac:dyDescent="0.3">
      <c r="A2104" t="s">
        <v>17</v>
      </c>
      <c r="B2104" t="str">
        <f>"688696"</f>
        <v>688696</v>
      </c>
      <c r="C2104" t="s">
        <v>4532</v>
      </c>
      <c r="D2104" t="s">
        <v>137</v>
      </c>
      <c r="P2104">
        <v>150</v>
      </c>
      <c r="Q2104" t="s">
        <v>4533</v>
      </c>
    </row>
    <row r="2105" spans="1:17" x14ac:dyDescent="0.3">
      <c r="A2105" t="s">
        <v>17</v>
      </c>
      <c r="B2105" t="str">
        <f>"688697"</f>
        <v>688697</v>
      </c>
      <c r="C2105" t="s">
        <v>4534</v>
      </c>
      <c r="D2105" t="s">
        <v>2314</v>
      </c>
      <c r="P2105">
        <v>16</v>
      </c>
      <c r="Q2105" t="s">
        <v>4535</v>
      </c>
    </row>
    <row r="2106" spans="1:17" x14ac:dyDescent="0.3">
      <c r="A2106" t="s">
        <v>17</v>
      </c>
      <c r="B2106" t="str">
        <f>"688698"</f>
        <v>688698</v>
      </c>
      <c r="C2106" t="s">
        <v>4536</v>
      </c>
      <c r="D2106" t="s">
        <v>2425</v>
      </c>
      <c r="P2106">
        <v>74</v>
      </c>
      <c r="Q2106" t="s">
        <v>4537</v>
      </c>
    </row>
    <row r="2107" spans="1:17" x14ac:dyDescent="0.3">
      <c r="A2107" t="s">
        <v>17</v>
      </c>
      <c r="B2107" t="str">
        <f>"688699"</f>
        <v>688699</v>
      </c>
      <c r="C2107" t="s">
        <v>4538</v>
      </c>
      <c r="D2107" t="s">
        <v>401</v>
      </c>
      <c r="P2107">
        <v>140</v>
      </c>
      <c r="Q2107" t="s">
        <v>4539</v>
      </c>
    </row>
    <row r="2108" spans="1:17" x14ac:dyDescent="0.3">
      <c r="A2108" t="s">
        <v>17</v>
      </c>
      <c r="B2108" t="str">
        <f>"688700"</f>
        <v>688700</v>
      </c>
      <c r="C2108" t="s">
        <v>4540</v>
      </c>
      <c r="D2108" t="s">
        <v>741</v>
      </c>
      <c r="P2108">
        <v>34</v>
      </c>
      <c r="Q2108" t="s">
        <v>4541</v>
      </c>
    </row>
    <row r="2109" spans="1:17" x14ac:dyDescent="0.3">
      <c r="A2109" t="s">
        <v>17</v>
      </c>
      <c r="B2109" t="str">
        <f>"688701"</f>
        <v>688701</v>
      </c>
      <c r="C2109" t="s">
        <v>4542</v>
      </c>
      <c r="D2109" t="s">
        <v>3560</v>
      </c>
      <c r="P2109">
        <v>19</v>
      </c>
      <c r="Q2109" t="s">
        <v>4543</v>
      </c>
    </row>
    <row r="2110" spans="1:17" x14ac:dyDescent="0.3">
      <c r="A2110" t="s">
        <v>17</v>
      </c>
      <c r="B2110" t="str">
        <f>"688707"</f>
        <v>688707</v>
      </c>
      <c r="C2110" t="s">
        <v>4544</v>
      </c>
      <c r="D2110" t="s">
        <v>1786</v>
      </c>
      <c r="P2110">
        <v>31</v>
      </c>
      <c r="Q2110" t="s">
        <v>4545</v>
      </c>
    </row>
    <row r="2111" spans="1:17" x14ac:dyDescent="0.3">
      <c r="A2111" t="s">
        <v>17</v>
      </c>
      <c r="B2111" t="str">
        <f>"688711"</f>
        <v>688711</v>
      </c>
      <c r="C2111" t="s">
        <v>4546</v>
      </c>
      <c r="D2111" t="s">
        <v>795</v>
      </c>
      <c r="P2111">
        <v>38</v>
      </c>
      <c r="Q2111" t="s">
        <v>4547</v>
      </c>
    </row>
    <row r="2112" spans="1:17" x14ac:dyDescent="0.3">
      <c r="A2112" t="s">
        <v>17</v>
      </c>
      <c r="B2112" t="str">
        <f>"688718"</f>
        <v>688718</v>
      </c>
      <c r="C2112" t="s">
        <v>4548</v>
      </c>
      <c r="D2112" t="s">
        <v>324</v>
      </c>
      <c r="P2112">
        <v>20</v>
      </c>
      <c r="Q2112" t="s">
        <v>4549</v>
      </c>
    </row>
    <row r="2113" spans="1:17" x14ac:dyDescent="0.3">
      <c r="A2113" t="s">
        <v>17</v>
      </c>
      <c r="B2113" t="str">
        <f>"688722"</f>
        <v>688722</v>
      </c>
      <c r="C2113" t="s">
        <v>4550</v>
      </c>
      <c r="D2113" t="s">
        <v>146</v>
      </c>
      <c r="P2113">
        <v>13</v>
      </c>
      <c r="Q2113" t="s">
        <v>4551</v>
      </c>
    </row>
    <row r="2114" spans="1:17" x14ac:dyDescent="0.3">
      <c r="A2114" t="s">
        <v>17</v>
      </c>
      <c r="B2114" t="str">
        <f>"688728"</f>
        <v>688728</v>
      </c>
      <c r="C2114" t="s">
        <v>4552</v>
      </c>
      <c r="D2114" t="s">
        <v>461</v>
      </c>
      <c r="P2114">
        <v>58</v>
      </c>
      <c r="Q2114" t="s">
        <v>4553</v>
      </c>
    </row>
    <row r="2115" spans="1:17" x14ac:dyDescent="0.3">
      <c r="A2115" t="s">
        <v>17</v>
      </c>
      <c r="B2115" t="str">
        <f>"688733"</f>
        <v>688733</v>
      </c>
      <c r="C2115" t="s">
        <v>4554</v>
      </c>
      <c r="D2115" t="s">
        <v>1786</v>
      </c>
      <c r="P2115">
        <v>47</v>
      </c>
      <c r="Q2115" t="s">
        <v>4555</v>
      </c>
    </row>
    <row r="2116" spans="1:17" x14ac:dyDescent="0.3">
      <c r="A2116" t="s">
        <v>17</v>
      </c>
      <c r="B2116" t="str">
        <f>"688737"</f>
        <v>688737</v>
      </c>
      <c r="C2116" t="s">
        <v>4556</v>
      </c>
      <c r="D2116" t="s">
        <v>985</v>
      </c>
      <c r="P2116">
        <v>15</v>
      </c>
      <c r="Q2116" t="s">
        <v>4557</v>
      </c>
    </row>
    <row r="2117" spans="1:17" x14ac:dyDescent="0.3">
      <c r="A2117" t="s">
        <v>17</v>
      </c>
      <c r="B2117" t="str">
        <f>"688739"</f>
        <v>688739</v>
      </c>
      <c r="C2117" t="s">
        <v>4558</v>
      </c>
      <c r="D2117" t="s">
        <v>1499</v>
      </c>
      <c r="P2117">
        <v>36</v>
      </c>
      <c r="Q2117" t="s">
        <v>4559</v>
      </c>
    </row>
    <row r="2118" spans="1:17" x14ac:dyDescent="0.3">
      <c r="A2118" t="s">
        <v>17</v>
      </c>
      <c r="B2118" t="str">
        <f>"688766"</f>
        <v>688766</v>
      </c>
      <c r="C2118" t="s">
        <v>4560</v>
      </c>
      <c r="D2118" t="s">
        <v>461</v>
      </c>
      <c r="P2118">
        <v>42</v>
      </c>
      <c r="Q2118" t="s">
        <v>4561</v>
      </c>
    </row>
    <row r="2119" spans="1:17" x14ac:dyDescent="0.3">
      <c r="A2119" t="s">
        <v>17</v>
      </c>
      <c r="B2119" t="str">
        <f>"688767"</f>
        <v>688767</v>
      </c>
      <c r="C2119" t="s">
        <v>4562</v>
      </c>
      <c r="D2119" t="s">
        <v>1305</v>
      </c>
      <c r="P2119">
        <v>43</v>
      </c>
      <c r="Q2119" t="s">
        <v>4563</v>
      </c>
    </row>
    <row r="2120" spans="1:17" x14ac:dyDescent="0.3">
      <c r="A2120" t="s">
        <v>17</v>
      </c>
      <c r="B2120" t="str">
        <f>"688768"</f>
        <v>688768</v>
      </c>
      <c r="C2120" t="s">
        <v>4564</v>
      </c>
      <c r="D2120" t="s">
        <v>2557</v>
      </c>
      <c r="P2120">
        <v>30</v>
      </c>
      <c r="Q2120" t="s">
        <v>4565</v>
      </c>
    </row>
    <row r="2121" spans="1:17" x14ac:dyDescent="0.3">
      <c r="A2121" t="s">
        <v>17</v>
      </c>
      <c r="B2121" t="str">
        <f>"688772"</f>
        <v>688772</v>
      </c>
      <c r="C2121" t="s">
        <v>4566</v>
      </c>
      <c r="D2121" t="s">
        <v>359</v>
      </c>
      <c r="P2121">
        <v>33</v>
      </c>
      <c r="Q2121" t="s">
        <v>4567</v>
      </c>
    </row>
    <row r="2122" spans="1:17" x14ac:dyDescent="0.3">
      <c r="A2122" t="s">
        <v>17</v>
      </c>
      <c r="B2122" t="str">
        <f>"688776"</f>
        <v>688776</v>
      </c>
      <c r="C2122" t="s">
        <v>4568</v>
      </c>
      <c r="D2122" t="s">
        <v>1136</v>
      </c>
      <c r="P2122">
        <v>23</v>
      </c>
      <c r="Q2122" t="s">
        <v>4569</v>
      </c>
    </row>
    <row r="2123" spans="1:17" x14ac:dyDescent="0.3">
      <c r="A2123" t="s">
        <v>17</v>
      </c>
      <c r="B2123" t="str">
        <f>"688777"</f>
        <v>688777</v>
      </c>
      <c r="C2123" t="s">
        <v>4570</v>
      </c>
      <c r="D2123" t="s">
        <v>2425</v>
      </c>
      <c r="P2123">
        <v>180</v>
      </c>
      <c r="Q2123" t="s">
        <v>4571</v>
      </c>
    </row>
    <row r="2124" spans="1:17" x14ac:dyDescent="0.3">
      <c r="A2124" t="s">
        <v>17</v>
      </c>
      <c r="B2124" t="str">
        <f>"688778"</f>
        <v>688778</v>
      </c>
      <c r="C2124" t="s">
        <v>4572</v>
      </c>
      <c r="D2124" t="s">
        <v>1786</v>
      </c>
      <c r="P2124">
        <v>44</v>
      </c>
      <c r="Q2124" t="s">
        <v>4573</v>
      </c>
    </row>
    <row r="2125" spans="1:17" x14ac:dyDescent="0.3">
      <c r="A2125" t="s">
        <v>17</v>
      </c>
      <c r="B2125" t="str">
        <f>"688779"</f>
        <v>688779</v>
      </c>
      <c r="C2125" t="s">
        <v>4574</v>
      </c>
      <c r="D2125" t="s">
        <v>1786</v>
      </c>
      <c r="P2125">
        <v>53</v>
      </c>
      <c r="Q2125" t="s">
        <v>4575</v>
      </c>
    </row>
    <row r="2126" spans="1:17" x14ac:dyDescent="0.3">
      <c r="A2126" t="s">
        <v>17</v>
      </c>
      <c r="B2126" t="str">
        <f>"688786"</f>
        <v>688786</v>
      </c>
      <c r="C2126" t="s">
        <v>4576</v>
      </c>
      <c r="D2126" t="s">
        <v>581</v>
      </c>
      <c r="P2126">
        <v>31</v>
      </c>
      <c r="Q2126" t="s">
        <v>4577</v>
      </c>
    </row>
    <row r="2127" spans="1:17" x14ac:dyDescent="0.3">
      <c r="A2127" t="s">
        <v>17</v>
      </c>
      <c r="B2127" t="str">
        <f>"688787"</f>
        <v>688787</v>
      </c>
      <c r="C2127" t="s">
        <v>4578</v>
      </c>
      <c r="D2127" t="s">
        <v>316</v>
      </c>
      <c r="P2127">
        <v>32</v>
      </c>
      <c r="Q2127" t="s">
        <v>4579</v>
      </c>
    </row>
    <row r="2128" spans="1:17" x14ac:dyDescent="0.3">
      <c r="A2128" t="s">
        <v>17</v>
      </c>
      <c r="B2128" t="str">
        <f>"688788"</f>
        <v>688788</v>
      </c>
      <c r="C2128" t="s">
        <v>4580</v>
      </c>
      <c r="D2128" t="s">
        <v>1136</v>
      </c>
      <c r="P2128">
        <v>57</v>
      </c>
      <c r="Q2128" t="s">
        <v>4581</v>
      </c>
    </row>
    <row r="2129" spans="1:17" x14ac:dyDescent="0.3">
      <c r="A2129" t="s">
        <v>17</v>
      </c>
      <c r="B2129" t="str">
        <f>"688789"</f>
        <v>688789</v>
      </c>
      <c r="C2129" t="s">
        <v>4582</v>
      </c>
      <c r="D2129" t="s">
        <v>534</v>
      </c>
      <c r="P2129">
        <v>43</v>
      </c>
      <c r="Q2129" t="s">
        <v>4583</v>
      </c>
    </row>
    <row r="2130" spans="1:17" x14ac:dyDescent="0.3">
      <c r="A2130" t="s">
        <v>17</v>
      </c>
      <c r="B2130" t="str">
        <f>"688793"</f>
        <v>688793</v>
      </c>
      <c r="C2130" t="s">
        <v>4584</v>
      </c>
      <c r="D2130" t="s">
        <v>3349</v>
      </c>
      <c r="P2130">
        <v>48</v>
      </c>
      <c r="Q2130" t="s">
        <v>4585</v>
      </c>
    </row>
    <row r="2131" spans="1:17" x14ac:dyDescent="0.3">
      <c r="A2131" t="s">
        <v>17</v>
      </c>
      <c r="B2131" t="str">
        <f>"688798"</f>
        <v>688798</v>
      </c>
      <c r="C2131" t="s">
        <v>4586</v>
      </c>
      <c r="D2131" t="s">
        <v>401</v>
      </c>
      <c r="P2131">
        <v>67</v>
      </c>
      <c r="Q2131" t="s">
        <v>4587</v>
      </c>
    </row>
    <row r="2132" spans="1:17" x14ac:dyDescent="0.3">
      <c r="A2132" t="s">
        <v>17</v>
      </c>
      <c r="B2132" t="str">
        <f>"688799"</f>
        <v>688799</v>
      </c>
      <c r="C2132" t="s">
        <v>4588</v>
      </c>
      <c r="D2132" t="s">
        <v>143</v>
      </c>
      <c r="P2132">
        <v>35</v>
      </c>
      <c r="Q2132" t="s">
        <v>4589</v>
      </c>
    </row>
    <row r="2133" spans="1:17" x14ac:dyDescent="0.3">
      <c r="A2133" t="s">
        <v>17</v>
      </c>
      <c r="B2133" t="str">
        <f>"688800"</f>
        <v>688800</v>
      </c>
      <c r="C2133" t="s">
        <v>4590</v>
      </c>
      <c r="D2133" t="s">
        <v>651</v>
      </c>
      <c r="P2133">
        <v>51</v>
      </c>
      <c r="Q2133" t="s">
        <v>4591</v>
      </c>
    </row>
    <row r="2134" spans="1:17" x14ac:dyDescent="0.3">
      <c r="A2134" t="s">
        <v>17</v>
      </c>
      <c r="B2134" t="str">
        <f>"688819"</f>
        <v>688819</v>
      </c>
      <c r="C2134" t="s">
        <v>4592</v>
      </c>
      <c r="D2134" t="s">
        <v>555</v>
      </c>
      <c r="P2134">
        <v>159</v>
      </c>
      <c r="Q2134" t="s">
        <v>4593</v>
      </c>
    </row>
    <row r="2135" spans="1:17" x14ac:dyDescent="0.3">
      <c r="A2135" t="s">
        <v>17</v>
      </c>
      <c r="B2135" t="str">
        <f>"688981"</f>
        <v>688981</v>
      </c>
      <c r="C2135" t="s">
        <v>4594</v>
      </c>
      <c r="D2135" t="s">
        <v>4313</v>
      </c>
      <c r="P2135">
        <v>1041</v>
      </c>
      <c r="Q2135" t="s">
        <v>4595</v>
      </c>
    </row>
    <row r="2136" spans="1:17" x14ac:dyDescent="0.3">
      <c r="A2136" t="s">
        <v>17</v>
      </c>
      <c r="B2136" t="str">
        <f>"689009"</f>
        <v>689009</v>
      </c>
      <c r="C2136" t="s">
        <v>4596</v>
      </c>
      <c r="D2136" t="s">
        <v>233</v>
      </c>
      <c r="P2136">
        <v>114</v>
      </c>
      <c r="Q2136" t="s">
        <v>4597</v>
      </c>
    </row>
    <row r="2137" spans="1:17" x14ac:dyDescent="0.3">
      <c r="A2137" t="s">
        <v>17</v>
      </c>
      <c r="B2137" t="str">
        <f>"900901"</f>
        <v>900901</v>
      </c>
      <c r="C2137" t="s">
        <v>4598</v>
      </c>
      <c r="P2137">
        <v>7</v>
      </c>
      <c r="Q2137" t="s">
        <v>4599</v>
      </c>
    </row>
    <row r="2138" spans="1:17" x14ac:dyDescent="0.3">
      <c r="A2138" t="s">
        <v>17</v>
      </c>
      <c r="B2138" t="str">
        <f>"900902"</f>
        <v>900902</v>
      </c>
      <c r="C2138" t="s">
        <v>4600</v>
      </c>
      <c r="P2138">
        <v>10</v>
      </c>
      <c r="Q2138" t="s">
        <v>4601</v>
      </c>
    </row>
    <row r="2139" spans="1:17" x14ac:dyDescent="0.3">
      <c r="A2139" t="s">
        <v>17</v>
      </c>
      <c r="B2139" t="str">
        <f>"900903"</f>
        <v>900903</v>
      </c>
      <c r="C2139" t="s">
        <v>4602</v>
      </c>
      <c r="P2139">
        <v>32</v>
      </c>
      <c r="Q2139" t="s">
        <v>4603</v>
      </c>
    </row>
    <row r="2140" spans="1:17" x14ac:dyDescent="0.3">
      <c r="A2140" t="s">
        <v>17</v>
      </c>
      <c r="B2140" t="str">
        <f>"900904"</f>
        <v>900904</v>
      </c>
      <c r="C2140" t="s">
        <v>4604</v>
      </c>
      <c r="P2140">
        <v>8</v>
      </c>
      <c r="Q2140" t="s">
        <v>4605</v>
      </c>
    </row>
    <row r="2141" spans="1:17" x14ac:dyDescent="0.3">
      <c r="A2141" t="s">
        <v>17</v>
      </c>
      <c r="B2141" t="str">
        <f>"900905"</f>
        <v>900905</v>
      </c>
      <c r="C2141" t="s">
        <v>4606</v>
      </c>
      <c r="P2141">
        <v>473</v>
      </c>
      <c r="Q2141" t="s">
        <v>4607</v>
      </c>
    </row>
    <row r="2142" spans="1:17" x14ac:dyDescent="0.3">
      <c r="A2142" t="s">
        <v>17</v>
      </c>
      <c r="B2142" t="str">
        <f>"900906"</f>
        <v>900906</v>
      </c>
      <c r="C2142" t="s">
        <v>4608</v>
      </c>
      <c r="P2142">
        <v>4</v>
      </c>
      <c r="Q2142" t="s">
        <v>4609</v>
      </c>
    </row>
    <row r="2143" spans="1:17" x14ac:dyDescent="0.3">
      <c r="A2143" t="s">
        <v>17</v>
      </c>
      <c r="B2143" t="str">
        <f>"900907"</f>
        <v>900907</v>
      </c>
      <c r="C2143" t="s">
        <v>4610</v>
      </c>
      <c r="P2143">
        <v>4</v>
      </c>
      <c r="Q2143" t="s">
        <v>4611</v>
      </c>
    </row>
    <row r="2144" spans="1:17" x14ac:dyDescent="0.3">
      <c r="A2144" t="s">
        <v>17</v>
      </c>
      <c r="B2144" t="str">
        <f>"900908"</f>
        <v>900908</v>
      </c>
      <c r="C2144" t="s">
        <v>4612</v>
      </c>
      <c r="P2144">
        <v>50</v>
      </c>
      <c r="Q2144" t="s">
        <v>4613</v>
      </c>
    </row>
    <row r="2145" spans="1:17" x14ac:dyDescent="0.3">
      <c r="A2145" t="s">
        <v>17</v>
      </c>
      <c r="B2145" t="str">
        <f>"900909"</f>
        <v>900909</v>
      </c>
      <c r="C2145" t="s">
        <v>4614</v>
      </c>
      <c r="P2145">
        <v>24</v>
      </c>
      <c r="Q2145" t="s">
        <v>4615</v>
      </c>
    </row>
    <row r="2146" spans="1:17" x14ac:dyDescent="0.3">
      <c r="A2146" t="s">
        <v>17</v>
      </c>
      <c r="B2146" t="str">
        <f>"900910"</f>
        <v>900910</v>
      </c>
      <c r="C2146" t="s">
        <v>4616</v>
      </c>
      <c r="P2146">
        <v>13</v>
      </c>
      <c r="Q2146" t="s">
        <v>4617</v>
      </c>
    </row>
    <row r="2147" spans="1:17" x14ac:dyDescent="0.3">
      <c r="A2147" t="s">
        <v>17</v>
      </c>
      <c r="B2147" t="str">
        <f>"900911"</f>
        <v>900911</v>
      </c>
      <c r="C2147" t="s">
        <v>4618</v>
      </c>
      <c r="P2147">
        <v>73</v>
      </c>
      <c r="Q2147" t="s">
        <v>4619</v>
      </c>
    </row>
    <row r="2148" spans="1:17" x14ac:dyDescent="0.3">
      <c r="A2148" t="s">
        <v>17</v>
      </c>
      <c r="B2148" t="str">
        <f>"900912"</f>
        <v>900912</v>
      </c>
      <c r="C2148" t="s">
        <v>4620</v>
      </c>
      <c r="P2148">
        <v>18</v>
      </c>
      <c r="Q2148" t="s">
        <v>4621</v>
      </c>
    </row>
    <row r="2149" spans="1:17" x14ac:dyDescent="0.3">
      <c r="A2149" t="s">
        <v>17</v>
      </c>
      <c r="B2149" t="str">
        <f>"900913"</f>
        <v>900913</v>
      </c>
      <c r="C2149" t="s">
        <v>4622</v>
      </c>
      <c r="P2149">
        <v>7</v>
      </c>
      <c r="Q2149" t="s">
        <v>4623</v>
      </c>
    </row>
    <row r="2150" spans="1:17" x14ac:dyDescent="0.3">
      <c r="A2150" t="s">
        <v>17</v>
      </c>
      <c r="B2150" t="str">
        <f>"900914"</f>
        <v>900914</v>
      </c>
      <c r="C2150" t="s">
        <v>4624</v>
      </c>
      <c r="P2150">
        <v>20</v>
      </c>
      <c r="Q2150" t="s">
        <v>4625</v>
      </c>
    </row>
    <row r="2151" spans="1:17" x14ac:dyDescent="0.3">
      <c r="A2151" t="s">
        <v>17</v>
      </c>
      <c r="B2151" t="str">
        <f>"900915"</f>
        <v>900915</v>
      </c>
      <c r="C2151" t="s">
        <v>4626</v>
      </c>
      <c r="P2151">
        <v>6</v>
      </c>
      <c r="Q2151" t="s">
        <v>4627</v>
      </c>
    </row>
    <row r="2152" spans="1:17" x14ac:dyDescent="0.3">
      <c r="A2152" t="s">
        <v>17</v>
      </c>
      <c r="B2152" t="str">
        <f>"900916"</f>
        <v>900916</v>
      </c>
      <c r="C2152" t="s">
        <v>4628</v>
      </c>
      <c r="P2152">
        <v>7</v>
      </c>
      <c r="Q2152" t="s">
        <v>4629</v>
      </c>
    </row>
    <row r="2153" spans="1:17" x14ac:dyDescent="0.3">
      <c r="A2153" t="s">
        <v>17</v>
      </c>
      <c r="B2153" t="str">
        <f>"900917"</f>
        <v>900917</v>
      </c>
      <c r="C2153" t="s">
        <v>4630</v>
      </c>
      <c r="P2153">
        <v>12</v>
      </c>
      <c r="Q2153" t="s">
        <v>4631</v>
      </c>
    </row>
    <row r="2154" spans="1:17" x14ac:dyDescent="0.3">
      <c r="A2154" t="s">
        <v>17</v>
      </c>
      <c r="B2154" t="str">
        <f>"900918"</f>
        <v>900918</v>
      </c>
      <c r="C2154" t="s">
        <v>4632</v>
      </c>
      <c r="P2154">
        <v>10</v>
      </c>
      <c r="Q2154" t="s">
        <v>4633</v>
      </c>
    </row>
    <row r="2155" spans="1:17" x14ac:dyDescent="0.3">
      <c r="A2155" t="s">
        <v>17</v>
      </c>
      <c r="B2155" t="str">
        <f>"900919"</f>
        <v>900919</v>
      </c>
      <c r="C2155" t="s">
        <v>4634</v>
      </c>
      <c r="P2155">
        <v>5</v>
      </c>
      <c r="Q2155" t="s">
        <v>4635</v>
      </c>
    </row>
    <row r="2156" spans="1:17" x14ac:dyDescent="0.3">
      <c r="A2156" t="s">
        <v>17</v>
      </c>
      <c r="B2156" t="str">
        <f>"900920"</f>
        <v>900920</v>
      </c>
      <c r="C2156" t="s">
        <v>4636</v>
      </c>
      <c r="P2156">
        <v>12</v>
      </c>
      <c r="Q2156" t="s">
        <v>4637</v>
      </c>
    </row>
    <row r="2157" spans="1:17" x14ac:dyDescent="0.3">
      <c r="A2157" t="s">
        <v>17</v>
      </c>
      <c r="B2157" t="str">
        <f>"900921"</f>
        <v>900921</v>
      </c>
      <c r="C2157" t="s">
        <v>4638</v>
      </c>
      <c r="P2157">
        <v>6</v>
      </c>
      <c r="Q2157" t="s">
        <v>4639</v>
      </c>
    </row>
    <row r="2158" spans="1:17" x14ac:dyDescent="0.3">
      <c r="A2158" t="s">
        <v>17</v>
      </c>
      <c r="B2158" t="str">
        <f>"900922"</f>
        <v>900922</v>
      </c>
      <c r="C2158" t="s">
        <v>4640</v>
      </c>
      <c r="P2158">
        <v>9</v>
      </c>
      <c r="Q2158" t="s">
        <v>4641</v>
      </c>
    </row>
    <row r="2159" spans="1:17" x14ac:dyDescent="0.3">
      <c r="A2159" t="s">
        <v>17</v>
      </c>
      <c r="B2159" t="str">
        <f>"900923"</f>
        <v>900923</v>
      </c>
      <c r="C2159" t="s">
        <v>4642</v>
      </c>
      <c r="P2159">
        <v>26</v>
      </c>
      <c r="Q2159" t="s">
        <v>4643</v>
      </c>
    </row>
    <row r="2160" spans="1:17" x14ac:dyDescent="0.3">
      <c r="A2160" t="s">
        <v>17</v>
      </c>
      <c r="B2160" t="str">
        <f>"900924"</f>
        <v>900924</v>
      </c>
      <c r="C2160" t="s">
        <v>4644</v>
      </c>
      <c r="P2160">
        <v>11</v>
      </c>
      <c r="Q2160" t="s">
        <v>4645</v>
      </c>
    </row>
    <row r="2161" spans="1:17" x14ac:dyDescent="0.3">
      <c r="A2161" t="s">
        <v>17</v>
      </c>
      <c r="B2161" t="str">
        <f>"900925"</f>
        <v>900925</v>
      </c>
      <c r="C2161" t="s">
        <v>4646</v>
      </c>
      <c r="P2161">
        <v>83</v>
      </c>
      <c r="Q2161" t="s">
        <v>4647</v>
      </c>
    </row>
    <row r="2162" spans="1:17" x14ac:dyDescent="0.3">
      <c r="A2162" t="s">
        <v>17</v>
      </c>
      <c r="B2162" t="str">
        <f>"900926"</f>
        <v>900926</v>
      </c>
      <c r="C2162" t="s">
        <v>4648</v>
      </c>
      <c r="P2162">
        <v>63</v>
      </c>
      <c r="Q2162" t="s">
        <v>4649</v>
      </c>
    </row>
    <row r="2163" spans="1:17" x14ac:dyDescent="0.3">
      <c r="A2163" t="s">
        <v>17</v>
      </c>
      <c r="B2163" t="str">
        <f>"900927"</f>
        <v>900927</v>
      </c>
      <c r="C2163" t="s">
        <v>4650</v>
      </c>
      <c r="P2163">
        <v>5</v>
      </c>
      <c r="Q2163" t="s">
        <v>4651</v>
      </c>
    </row>
    <row r="2164" spans="1:17" x14ac:dyDescent="0.3">
      <c r="A2164" t="s">
        <v>17</v>
      </c>
      <c r="B2164" t="str">
        <f>"900928"</f>
        <v>900928</v>
      </c>
      <c r="C2164" t="s">
        <v>4652</v>
      </c>
      <c r="P2164">
        <v>14</v>
      </c>
      <c r="Q2164" t="s">
        <v>4653</v>
      </c>
    </row>
    <row r="2165" spans="1:17" x14ac:dyDescent="0.3">
      <c r="A2165" t="s">
        <v>17</v>
      </c>
      <c r="B2165" t="str">
        <f>"900929"</f>
        <v>900929</v>
      </c>
      <c r="C2165" t="s">
        <v>4654</v>
      </c>
      <c r="P2165">
        <v>11</v>
      </c>
      <c r="Q2165" t="s">
        <v>4655</v>
      </c>
    </row>
    <row r="2166" spans="1:17" x14ac:dyDescent="0.3">
      <c r="A2166" t="s">
        <v>17</v>
      </c>
      <c r="B2166" t="str">
        <f>"900930"</f>
        <v>900930</v>
      </c>
      <c r="C2166" t="s">
        <v>4656</v>
      </c>
      <c r="P2166">
        <v>1</v>
      </c>
      <c r="Q2166" t="s">
        <v>4657</v>
      </c>
    </row>
    <row r="2167" spans="1:17" x14ac:dyDescent="0.3">
      <c r="A2167" t="s">
        <v>17</v>
      </c>
      <c r="B2167" t="str">
        <f>"900931"</f>
        <v>900931</v>
      </c>
      <c r="C2167" t="s">
        <v>4658</v>
      </c>
      <c r="P2167">
        <v>1</v>
      </c>
      <c r="Q2167" t="s">
        <v>4659</v>
      </c>
    </row>
    <row r="2168" spans="1:17" x14ac:dyDescent="0.3">
      <c r="A2168" t="s">
        <v>17</v>
      </c>
      <c r="B2168" t="str">
        <f>"900932"</f>
        <v>900932</v>
      </c>
      <c r="C2168" t="s">
        <v>4660</v>
      </c>
      <c r="P2168">
        <v>138</v>
      </c>
      <c r="Q2168" t="s">
        <v>4661</v>
      </c>
    </row>
    <row r="2169" spans="1:17" x14ac:dyDescent="0.3">
      <c r="A2169" t="s">
        <v>17</v>
      </c>
      <c r="B2169" t="str">
        <f>"900933"</f>
        <v>900933</v>
      </c>
      <c r="C2169" t="s">
        <v>4662</v>
      </c>
      <c r="P2169">
        <v>142</v>
      </c>
      <c r="Q2169" t="s">
        <v>4663</v>
      </c>
    </row>
    <row r="2170" spans="1:17" x14ac:dyDescent="0.3">
      <c r="A2170" t="s">
        <v>17</v>
      </c>
      <c r="B2170" t="str">
        <f>"900934"</f>
        <v>900934</v>
      </c>
      <c r="C2170" t="s">
        <v>4664</v>
      </c>
      <c r="P2170">
        <v>47</v>
      </c>
      <c r="Q2170" t="s">
        <v>4665</v>
      </c>
    </row>
    <row r="2171" spans="1:17" x14ac:dyDescent="0.3">
      <c r="A2171" t="s">
        <v>17</v>
      </c>
      <c r="B2171" t="str">
        <f>"900935"</f>
        <v>900935</v>
      </c>
      <c r="C2171" t="s">
        <v>4666</v>
      </c>
      <c r="P2171">
        <v>1</v>
      </c>
      <c r="Q2171" t="s">
        <v>4667</v>
      </c>
    </row>
    <row r="2172" spans="1:17" x14ac:dyDescent="0.3">
      <c r="A2172" t="s">
        <v>17</v>
      </c>
      <c r="B2172" t="str">
        <f>"900936"</f>
        <v>900936</v>
      </c>
      <c r="C2172" t="s">
        <v>4668</v>
      </c>
      <c r="P2172">
        <v>53</v>
      </c>
      <c r="Q2172" t="s">
        <v>4669</v>
      </c>
    </row>
    <row r="2173" spans="1:17" x14ac:dyDescent="0.3">
      <c r="A2173" t="s">
        <v>17</v>
      </c>
      <c r="B2173" t="str">
        <f>"900937"</f>
        <v>900937</v>
      </c>
      <c r="C2173" t="s">
        <v>4670</v>
      </c>
      <c r="P2173">
        <v>10</v>
      </c>
      <c r="Q2173" t="s">
        <v>4671</v>
      </c>
    </row>
    <row r="2174" spans="1:17" x14ac:dyDescent="0.3">
      <c r="A2174" t="s">
        <v>17</v>
      </c>
      <c r="B2174" t="str">
        <f>"900938"</f>
        <v>900938</v>
      </c>
      <c r="C2174" t="s">
        <v>4672</v>
      </c>
      <c r="P2174">
        <v>12</v>
      </c>
      <c r="Q2174" t="s">
        <v>4673</v>
      </c>
    </row>
    <row r="2175" spans="1:17" x14ac:dyDescent="0.3">
      <c r="A2175" t="s">
        <v>17</v>
      </c>
      <c r="B2175" t="str">
        <f>"900939"</f>
        <v>900939</v>
      </c>
      <c r="C2175" t="s">
        <v>4674</v>
      </c>
      <c r="P2175">
        <v>7</v>
      </c>
      <c r="Q2175" t="s">
        <v>4675</v>
      </c>
    </row>
    <row r="2176" spans="1:17" x14ac:dyDescent="0.3">
      <c r="A2176" t="s">
        <v>17</v>
      </c>
      <c r="B2176" t="str">
        <f>"900940"</f>
        <v>900940</v>
      </c>
      <c r="C2176" t="s">
        <v>4676</v>
      </c>
      <c r="P2176">
        <v>15</v>
      </c>
      <c r="Q2176" t="s">
        <v>4677</v>
      </c>
    </row>
    <row r="2177" spans="1:17" x14ac:dyDescent="0.3">
      <c r="A2177" t="s">
        <v>17</v>
      </c>
      <c r="B2177" t="str">
        <f>"900941"</f>
        <v>900941</v>
      </c>
      <c r="C2177" t="s">
        <v>4678</v>
      </c>
      <c r="P2177">
        <v>8</v>
      </c>
      <c r="Q2177" t="s">
        <v>4679</v>
      </c>
    </row>
    <row r="2178" spans="1:17" x14ac:dyDescent="0.3">
      <c r="A2178" t="s">
        <v>17</v>
      </c>
      <c r="B2178" t="str">
        <f>"900942"</f>
        <v>900942</v>
      </c>
      <c r="C2178" t="s">
        <v>4680</v>
      </c>
      <c r="P2178">
        <v>55</v>
      </c>
      <c r="Q2178" t="s">
        <v>4681</v>
      </c>
    </row>
    <row r="2179" spans="1:17" x14ac:dyDescent="0.3">
      <c r="A2179" t="s">
        <v>17</v>
      </c>
      <c r="B2179" t="str">
        <f>"900943"</f>
        <v>900943</v>
      </c>
      <c r="C2179" t="s">
        <v>4682</v>
      </c>
      <c r="P2179">
        <v>3</v>
      </c>
      <c r="Q2179" t="s">
        <v>4683</v>
      </c>
    </row>
    <row r="2180" spans="1:17" x14ac:dyDescent="0.3">
      <c r="A2180" t="s">
        <v>17</v>
      </c>
      <c r="B2180" t="str">
        <f>"900945"</f>
        <v>900945</v>
      </c>
      <c r="C2180" t="s">
        <v>4684</v>
      </c>
      <c r="P2180">
        <v>7</v>
      </c>
      <c r="Q2180" t="s">
        <v>4685</v>
      </c>
    </row>
    <row r="2181" spans="1:17" x14ac:dyDescent="0.3">
      <c r="A2181" t="s">
        <v>17</v>
      </c>
      <c r="B2181" t="str">
        <f>"900946"</f>
        <v>900946</v>
      </c>
      <c r="C2181" t="s">
        <v>4686</v>
      </c>
      <c r="P2181">
        <v>3</v>
      </c>
      <c r="Q2181" t="s">
        <v>4687</v>
      </c>
    </row>
    <row r="2182" spans="1:17" x14ac:dyDescent="0.3">
      <c r="A2182" t="s">
        <v>17</v>
      </c>
      <c r="B2182" t="str">
        <f>"900947"</f>
        <v>900947</v>
      </c>
      <c r="C2182" t="s">
        <v>4688</v>
      </c>
      <c r="P2182">
        <v>18</v>
      </c>
      <c r="Q2182" t="s">
        <v>4689</v>
      </c>
    </row>
    <row r="2183" spans="1:17" x14ac:dyDescent="0.3">
      <c r="A2183" t="s">
        <v>17</v>
      </c>
      <c r="B2183" t="str">
        <f>"900948"</f>
        <v>900948</v>
      </c>
      <c r="C2183" t="s">
        <v>4690</v>
      </c>
      <c r="P2183">
        <v>225</v>
      </c>
      <c r="Q2183" t="s">
        <v>4691</v>
      </c>
    </row>
    <row r="2184" spans="1:17" x14ac:dyDescent="0.3">
      <c r="A2184" t="s">
        <v>17</v>
      </c>
      <c r="B2184" t="str">
        <f>"900949"</f>
        <v>900949</v>
      </c>
      <c r="C2184" t="s">
        <v>4692</v>
      </c>
      <c r="P2184">
        <v>2</v>
      </c>
      <c r="Q2184" t="s">
        <v>4693</v>
      </c>
    </row>
    <row r="2185" spans="1:17" x14ac:dyDescent="0.3">
      <c r="A2185" t="s">
        <v>17</v>
      </c>
      <c r="B2185" t="str">
        <f>"900950"</f>
        <v>900950</v>
      </c>
      <c r="C2185" t="s">
        <v>4694</v>
      </c>
      <c r="P2185">
        <v>7</v>
      </c>
      <c r="Q2185" t="s">
        <v>4695</v>
      </c>
    </row>
    <row r="2186" spans="1:17" x14ac:dyDescent="0.3">
      <c r="A2186" t="s">
        <v>17</v>
      </c>
      <c r="B2186" t="str">
        <f>"900951"</f>
        <v>900951</v>
      </c>
      <c r="C2186" t="s">
        <v>4696</v>
      </c>
      <c r="P2186">
        <v>2</v>
      </c>
      <c r="Q2186" t="s">
        <v>4697</v>
      </c>
    </row>
    <row r="2187" spans="1:17" x14ac:dyDescent="0.3">
      <c r="A2187" t="s">
        <v>17</v>
      </c>
      <c r="B2187" t="str">
        <f>"900952"</f>
        <v>900952</v>
      </c>
      <c r="C2187" t="s">
        <v>4698</v>
      </c>
      <c r="P2187">
        <v>8</v>
      </c>
      <c r="Q2187" t="s">
        <v>4699</v>
      </c>
    </row>
    <row r="2188" spans="1:17" x14ac:dyDescent="0.3">
      <c r="A2188" t="s">
        <v>17</v>
      </c>
      <c r="B2188" t="str">
        <f>"900953"</f>
        <v>900953</v>
      </c>
      <c r="C2188" t="s">
        <v>4700</v>
      </c>
      <c r="P2188">
        <v>6</v>
      </c>
      <c r="Q2188" t="s">
        <v>4701</v>
      </c>
    </row>
    <row r="2189" spans="1:17" x14ac:dyDescent="0.3">
      <c r="A2189" t="s">
        <v>17</v>
      </c>
      <c r="B2189" t="str">
        <f>"900955"</f>
        <v>900955</v>
      </c>
      <c r="C2189" t="s">
        <v>4702</v>
      </c>
      <c r="P2189">
        <v>4</v>
      </c>
      <c r="Q2189" t="s">
        <v>4703</v>
      </c>
    </row>
    <row r="2190" spans="1:17" x14ac:dyDescent="0.3">
      <c r="A2190" t="s">
        <v>17</v>
      </c>
      <c r="B2190" t="str">
        <f>"900956"</f>
        <v>900956</v>
      </c>
      <c r="C2190" t="s">
        <v>4704</v>
      </c>
      <c r="P2190">
        <v>10</v>
      </c>
      <c r="Q2190" t="s">
        <v>4705</v>
      </c>
    </row>
    <row r="2191" spans="1:17" x14ac:dyDescent="0.3">
      <c r="A2191" t="s">
        <v>17</v>
      </c>
      <c r="B2191" t="str">
        <f>"900957"</f>
        <v>900957</v>
      </c>
      <c r="C2191" t="s">
        <v>4706</v>
      </c>
      <c r="P2191">
        <v>2</v>
      </c>
      <c r="Q2191" t="s">
        <v>4707</v>
      </c>
    </row>
    <row r="2192" spans="1:17" x14ac:dyDescent="0.3">
      <c r="A2192" t="s">
        <v>4708</v>
      </c>
      <c r="B2192" t="str">
        <f>"000001"</f>
        <v>000001</v>
      </c>
      <c r="C2192" t="s">
        <v>4709</v>
      </c>
      <c r="D2192" t="s">
        <v>19</v>
      </c>
      <c r="P2192">
        <v>6180</v>
      </c>
      <c r="Q2192" t="s">
        <v>4710</v>
      </c>
    </row>
    <row r="2193" spans="1:17" x14ac:dyDescent="0.3">
      <c r="A2193" t="s">
        <v>4708</v>
      </c>
      <c r="B2193" t="str">
        <f>"000002"</f>
        <v>000002</v>
      </c>
      <c r="C2193" t="s">
        <v>4711</v>
      </c>
      <c r="D2193" t="s">
        <v>104</v>
      </c>
      <c r="P2193">
        <v>12436</v>
      </c>
      <c r="Q2193" t="s">
        <v>4712</v>
      </c>
    </row>
    <row r="2194" spans="1:17" x14ac:dyDescent="0.3">
      <c r="A2194" t="s">
        <v>4708</v>
      </c>
      <c r="B2194" t="str">
        <f>"000004"</f>
        <v>000004</v>
      </c>
      <c r="C2194" t="s">
        <v>4713</v>
      </c>
      <c r="D2194" t="s">
        <v>1189</v>
      </c>
      <c r="P2194">
        <v>187</v>
      </c>
      <c r="Q2194" t="s">
        <v>4714</v>
      </c>
    </row>
    <row r="2195" spans="1:17" x14ac:dyDescent="0.3">
      <c r="A2195" t="s">
        <v>4708</v>
      </c>
      <c r="B2195" t="str">
        <f>"000005"</f>
        <v>000005</v>
      </c>
      <c r="C2195" t="s">
        <v>4715</v>
      </c>
      <c r="D2195" t="s">
        <v>3560</v>
      </c>
      <c r="P2195">
        <v>87</v>
      </c>
      <c r="Q2195" t="s">
        <v>4716</v>
      </c>
    </row>
    <row r="2196" spans="1:17" x14ac:dyDescent="0.3">
      <c r="A2196" t="s">
        <v>4708</v>
      </c>
      <c r="B2196" t="str">
        <f>"000006"</f>
        <v>000006</v>
      </c>
      <c r="C2196" t="s">
        <v>4717</v>
      </c>
      <c r="D2196" t="s">
        <v>104</v>
      </c>
      <c r="P2196">
        <v>424</v>
      </c>
      <c r="Q2196" t="s">
        <v>4718</v>
      </c>
    </row>
    <row r="2197" spans="1:17" x14ac:dyDescent="0.3">
      <c r="A2197" t="s">
        <v>4708</v>
      </c>
      <c r="B2197" t="str">
        <f>"000007"</f>
        <v>000007</v>
      </c>
      <c r="C2197" t="s">
        <v>4719</v>
      </c>
      <c r="D2197" t="s">
        <v>271</v>
      </c>
      <c r="P2197">
        <v>93</v>
      </c>
      <c r="Q2197" t="s">
        <v>4720</v>
      </c>
    </row>
    <row r="2198" spans="1:17" x14ac:dyDescent="0.3">
      <c r="A2198" t="s">
        <v>4708</v>
      </c>
      <c r="B2198" t="str">
        <f>"000008"</f>
        <v>000008</v>
      </c>
      <c r="C2198" t="s">
        <v>4721</v>
      </c>
      <c r="D2198" t="s">
        <v>1012</v>
      </c>
      <c r="P2198">
        <v>301</v>
      </c>
      <c r="Q2198" t="s">
        <v>4722</v>
      </c>
    </row>
    <row r="2199" spans="1:17" x14ac:dyDescent="0.3">
      <c r="A2199" t="s">
        <v>4708</v>
      </c>
      <c r="B2199" t="str">
        <f>"000009"</f>
        <v>000009</v>
      </c>
      <c r="C2199" t="s">
        <v>4723</v>
      </c>
      <c r="D2199" t="s">
        <v>1786</v>
      </c>
      <c r="P2199">
        <v>468</v>
      </c>
      <c r="Q2199" t="s">
        <v>4724</v>
      </c>
    </row>
    <row r="2200" spans="1:17" x14ac:dyDescent="0.3">
      <c r="A2200" t="s">
        <v>4708</v>
      </c>
      <c r="B2200" t="str">
        <f>"000010"</f>
        <v>000010</v>
      </c>
      <c r="C2200" t="s">
        <v>4725</v>
      </c>
      <c r="D2200" t="s">
        <v>2410</v>
      </c>
      <c r="P2200">
        <v>93</v>
      </c>
      <c r="Q2200" t="s">
        <v>4726</v>
      </c>
    </row>
    <row r="2201" spans="1:17" x14ac:dyDescent="0.3">
      <c r="A2201" t="s">
        <v>4708</v>
      </c>
      <c r="B2201" t="str">
        <f>"000011"</f>
        <v>000011</v>
      </c>
      <c r="C2201" t="s">
        <v>4727</v>
      </c>
      <c r="D2201" t="s">
        <v>104</v>
      </c>
      <c r="P2201">
        <v>479</v>
      </c>
      <c r="Q2201" t="s">
        <v>4728</v>
      </c>
    </row>
    <row r="2202" spans="1:17" x14ac:dyDescent="0.3">
      <c r="A2202" t="s">
        <v>4708</v>
      </c>
      <c r="B2202" t="str">
        <f>"000012"</f>
        <v>000012</v>
      </c>
      <c r="C2202" t="s">
        <v>4729</v>
      </c>
      <c r="D2202" t="s">
        <v>666</v>
      </c>
      <c r="P2202">
        <v>409</v>
      </c>
      <c r="Q2202" t="s">
        <v>4730</v>
      </c>
    </row>
    <row r="2203" spans="1:17" x14ac:dyDescent="0.3">
      <c r="A2203" t="s">
        <v>4708</v>
      </c>
      <c r="B2203" t="str">
        <f>"000014"</f>
        <v>000014</v>
      </c>
      <c r="C2203" t="s">
        <v>4731</v>
      </c>
      <c r="D2203" t="s">
        <v>104</v>
      </c>
      <c r="P2203">
        <v>96</v>
      </c>
      <c r="Q2203" t="s">
        <v>4732</v>
      </c>
    </row>
    <row r="2204" spans="1:17" x14ac:dyDescent="0.3">
      <c r="A2204" t="s">
        <v>4708</v>
      </c>
      <c r="B2204" t="str">
        <f>"000015"</f>
        <v>000015</v>
      </c>
      <c r="C2204" t="s">
        <v>4733</v>
      </c>
      <c r="P2204">
        <v>13</v>
      </c>
      <c r="Q2204" t="s">
        <v>4734</v>
      </c>
    </row>
    <row r="2205" spans="1:17" x14ac:dyDescent="0.3">
      <c r="A2205" t="s">
        <v>4708</v>
      </c>
      <c r="B2205" t="str">
        <f>"000016"</f>
        <v>000016</v>
      </c>
      <c r="C2205" t="s">
        <v>4735</v>
      </c>
      <c r="D2205" t="s">
        <v>137</v>
      </c>
      <c r="P2205">
        <v>266</v>
      </c>
      <c r="Q2205" t="s">
        <v>4736</v>
      </c>
    </row>
    <row r="2206" spans="1:17" x14ac:dyDescent="0.3">
      <c r="A2206" t="s">
        <v>4708</v>
      </c>
      <c r="B2206" t="str">
        <f>"000017"</f>
        <v>000017</v>
      </c>
      <c r="C2206" t="s">
        <v>4737</v>
      </c>
      <c r="D2206" t="s">
        <v>233</v>
      </c>
      <c r="P2206">
        <v>64</v>
      </c>
      <c r="Q2206" t="s">
        <v>4738</v>
      </c>
    </row>
    <row r="2207" spans="1:17" x14ac:dyDescent="0.3">
      <c r="A2207" t="s">
        <v>4708</v>
      </c>
      <c r="B2207" t="str">
        <f>"000018"</f>
        <v>000018</v>
      </c>
      <c r="C2207" t="s">
        <v>4739</v>
      </c>
      <c r="P2207">
        <v>99</v>
      </c>
      <c r="Q2207" t="s">
        <v>4740</v>
      </c>
    </row>
    <row r="2208" spans="1:17" x14ac:dyDescent="0.3">
      <c r="A2208" t="s">
        <v>4708</v>
      </c>
      <c r="B2208" t="str">
        <f>"000019"</f>
        <v>000019</v>
      </c>
      <c r="C2208" t="s">
        <v>4741</v>
      </c>
      <c r="D2208" t="s">
        <v>306</v>
      </c>
      <c r="P2208">
        <v>176</v>
      </c>
      <c r="Q2208" t="s">
        <v>4742</v>
      </c>
    </row>
    <row r="2209" spans="1:17" x14ac:dyDescent="0.3">
      <c r="A2209" t="s">
        <v>4708</v>
      </c>
      <c r="B2209" t="str">
        <f>"000020"</f>
        <v>000020</v>
      </c>
      <c r="C2209" t="s">
        <v>4743</v>
      </c>
      <c r="D2209" t="s">
        <v>1117</v>
      </c>
      <c r="P2209">
        <v>75</v>
      </c>
      <c r="Q2209" t="s">
        <v>4744</v>
      </c>
    </row>
    <row r="2210" spans="1:17" x14ac:dyDescent="0.3">
      <c r="A2210" t="s">
        <v>4708</v>
      </c>
      <c r="B2210" t="str">
        <f>"000021"</f>
        <v>000021</v>
      </c>
      <c r="C2210" t="s">
        <v>4745</v>
      </c>
      <c r="D2210" t="s">
        <v>313</v>
      </c>
      <c r="P2210">
        <v>442</v>
      </c>
      <c r="Q2210" t="s">
        <v>4746</v>
      </c>
    </row>
    <row r="2211" spans="1:17" x14ac:dyDescent="0.3">
      <c r="A2211" t="s">
        <v>4708</v>
      </c>
      <c r="B2211" t="str">
        <f>"000022"</f>
        <v>000022</v>
      </c>
      <c r="C2211" t="s">
        <v>4747</v>
      </c>
      <c r="P2211">
        <v>83</v>
      </c>
      <c r="Q2211" t="s">
        <v>4748</v>
      </c>
    </row>
    <row r="2212" spans="1:17" x14ac:dyDescent="0.3">
      <c r="A2212" t="s">
        <v>4708</v>
      </c>
      <c r="B2212" t="str">
        <f>"000023"</f>
        <v>000023</v>
      </c>
      <c r="C2212" t="s">
        <v>4749</v>
      </c>
      <c r="D2212" t="s">
        <v>3083</v>
      </c>
      <c r="P2212">
        <v>78</v>
      </c>
      <c r="Q2212" t="s">
        <v>4750</v>
      </c>
    </row>
    <row r="2213" spans="1:17" x14ac:dyDescent="0.3">
      <c r="A2213" t="s">
        <v>4708</v>
      </c>
      <c r="B2213" t="str">
        <f>"000024"</f>
        <v>000024</v>
      </c>
      <c r="C2213" t="s">
        <v>4751</v>
      </c>
      <c r="P2213">
        <v>36</v>
      </c>
      <c r="Q2213" t="s">
        <v>4752</v>
      </c>
    </row>
    <row r="2214" spans="1:17" x14ac:dyDescent="0.3">
      <c r="A2214" t="s">
        <v>4708</v>
      </c>
      <c r="B2214" t="str">
        <f>"000025"</f>
        <v>000025</v>
      </c>
      <c r="C2214" t="s">
        <v>4753</v>
      </c>
      <c r="D2214" t="s">
        <v>672</v>
      </c>
      <c r="P2214">
        <v>140</v>
      </c>
      <c r="Q2214" t="s">
        <v>4754</v>
      </c>
    </row>
    <row r="2215" spans="1:17" x14ac:dyDescent="0.3">
      <c r="A2215" t="s">
        <v>4708</v>
      </c>
      <c r="B2215" t="str">
        <f>"000026"</f>
        <v>000026</v>
      </c>
      <c r="C2215" t="s">
        <v>4755</v>
      </c>
      <c r="D2215" t="s">
        <v>1238</v>
      </c>
      <c r="P2215">
        <v>321</v>
      </c>
      <c r="Q2215" t="s">
        <v>4756</v>
      </c>
    </row>
    <row r="2216" spans="1:17" x14ac:dyDescent="0.3">
      <c r="A2216" t="s">
        <v>4708</v>
      </c>
      <c r="B2216" t="str">
        <f>"000027"</f>
        <v>000027</v>
      </c>
      <c r="C2216" t="s">
        <v>4757</v>
      </c>
      <c r="D2216" t="s">
        <v>41</v>
      </c>
      <c r="P2216">
        <v>509</v>
      </c>
      <c r="Q2216" t="s">
        <v>4758</v>
      </c>
    </row>
    <row r="2217" spans="1:17" x14ac:dyDescent="0.3">
      <c r="A2217" t="s">
        <v>4708</v>
      </c>
      <c r="B2217" t="str">
        <f>"000028"</f>
        <v>000028</v>
      </c>
      <c r="C2217" t="s">
        <v>4759</v>
      </c>
      <c r="D2217" t="s">
        <v>125</v>
      </c>
      <c r="P2217">
        <v>1098</v>
      </c>
      <c r="Q2217" t="s">
        <v>4760</v>
      </c>
    </row>
    <row r="2218" spans="1:17" x14ac:dyDescent="0.3">
      <c r="A2218" t="s">
        <v>4708</v>
      </c>
      <c r="B2218" t="str">
        <f>"000029"</f>
        <v>000029</v>
      </c>
      <c r="C2218" t="s">
        <v>4761</v>
      </c>
      <c r="D2218" t="s">
        <v>104</v>
      </c>
      <c r="P2218">
        <v>137</v>
      </c>
      <c r="Q2218" t="s">
        <v>4762</v>
      </c>
    </row>
    <row r="2219" spans="1:17" x14ac:dyDescent="0.3">
      <c r="A2219" t="s">
        <v>4708</v>
      </c>
      <c r="B2219" t="str">
        <f>"000030"</f>
        <v>000030</v>
      </c>
      <c r="C2219" t="s">
        <v>4763</v>
      </c>
      <c r="D2219" t="s">
        <v>348</v>
      </c>
      <c r="P2219">
        <v>330</v>
      </c>
      <c r="Q2219" t="s">
        <v>4764</v>
      </c>
    </row>
    <row r="2220" spans="1:17" x14ac:dyDescent="0.3">
      <c r="A2220" t="s">
        <v>4708</v>
      </c>
      <c r="B2220" t="str">
        <f>"000031"</f>
        <v>000031</v>
      </c>
      <c r="C2220" t="s">
        <v>4765</v>
      </c>
      <c r="D2220" t="s">
        <v>30</v>
      </c>
      <c r="P2220">
        <v>327</v>
      </c>
      <c r="Q2220" t="s">
        <v>4766</v>
      </c>
    </row>
    <row r="2221" spans="1:17" x14ac:dyDescent="0.3">
      <c r="A2221" t="s">
        <v>4708</v>
      </c>
      <c r="B2221" t="str">
        <f>"000032"</f>
        <v>000032</v>
      </c>
      <c r="C2221" t="s">
        <v>4767</v>
      </c>
      <c r="D2221" t="s">
        <v>786</v>
      </c>
      <c r="P2221">
        <v>121</v>
      </c>
      <c r="Q2221" t="s">
        <v>4768</v>
      </c>
    </row>
    <row r="2222" spans="1:17" x14ac:dyDescent="0.3">
      <c r="A2222" t="s">
        <v>4708</v>
      </c>
      <c r="B2222" t="str">
        <f>"000033"</f>
        <v>000033</v>
      </c>
      <c r="C2222" t="s">
        <v>4769</v>
      </c>
      <c r="P2222">
        <v>7</v>
      </c>
      <c r="Q2222" t="s">
        <v>4770</v>
      </c>
    </row>
    <row r="2223" spans="1:17" x14ac:dyDescent="0.3">
      <c r="A2223" t="s">
        <v>4708</v>
      </c>
      <c r="B2223" t="str">
        <f>"000034"</f>
        <v>000034</v>
      </c>
      <c r="C2223" t="s">
        <v>4771</v>
      </c>
      <c r="D2223" t="s">
        <v>316</v>
      </c>
      <c r="P2223">
        <v>412</v>
      </c>
      <c r="Q2223" t="s">
        <v>4772</v>
      </c>
    </row>
    <row r="2224" spans="1:17" x14ac:dyDescent="0.3">
      <c r="A2224" t="s">
        <v>4708</v>
      </c>
      <c r="B2224" t="str">
        <f>"000035"</f>
        <v>000035</v>
      </c>
      <c r="C2224" t="s">
        <v>4773</v>
      </c>
      <c r="D2224" t="s">
        <v>499</v>
      </c>
      <c r="P2224">
        <v>198</v>
      </c>
      <c r="Q2224" t="s">
        <v>4774</v>
      </c>
    </row>
    <row r="2225" spans="1:17" x14ac:dyDescent="0.3">
      <c r="A2225" t="s">
        <v>4708</v>
      </c>
      <c r="B2225" t="str">
        <f>"000036"</f>
        <v>000036</v>
      </c>
      <c r="C2225" t="s">
        <v>4775</v>
      </c>
      <c r="D2225" t="s">
        <v>104</v>
      </c>
      <c r="P2225">
        <v>880</v>
      </c>
      <c r="Q2225" t="s">
        <v>4776</v>
      </c>
    </row>
    <row r="2226" spans="1:17" x14ac:dyDescent="0.3">
      <c r="A2226" t="s">
        <v>4708</v>
      </c>
      <c r="B2226" t="str">
        <f>"000037"</f>
        <v>000037</v>
      </c>
      <c r="C2226" t="s">
        <v>4777</v>
      </c>
      <c r="D2226" t="s">
        <v>351</v>
      </c>
      <c r="P2226">
        <v>112</v>
      </c>
      <c r="Q2226" t="s">
        <v>4778</v>
      </c>
    </row>
    <row r="2227" spans="1:17" x14ac:dyDescent="0.3">
      <c r="A2227" t="s">
        <v>4708</v>
      </c>
      <c r="B2227" t="str">
        <f>"000038"</f>
        <v>000038</v>
      </c>
      <c r="C2227" t="s">
        <v>4779</v>
      </c>
      <c r="D2227" t="s">
        <v>110</v>
      </c>
      <c r="P2227">
        <v>113</v>
      </c>
      <c r="Q2227" t="s">
        <v>4780</v>
      </c>
    </row>
    <row r="2228" spans="1:17" x14ac:dyDescent="0.3">
      <c r="A2228" t="s">
        <v>4708</v>
      </c>
      <c r="B2228" t="str">
        <f>"000039"</f>
        <v>000039</v>
      </c>
      <c r="C2228" t="s">
        <v>4781</v>
      </c>
      <c r="D2228" t="s">
        <v>274</v>
      </c>
      <c r="P2228">
        <v>679</v>
      </c>
      <c r="Q2228" t="s">
        <v>4782</v>
      </c>
    </row>
    <row r="2229" spans="1:17" x14ac:dyDescent="0.3">
      <c r="A2229" t="s">
        <v>4708</v>
      </c>
      <c r="B2229" t="str">
        <f>"000040"</f>
        <v>000040</v>
      </c>
      <c r="C2229" t="s">
        <v>4783</v>
      </c>
      <c r="D2229" t="s">
        <v>86</v>
      </c>
      <c r="P2229">
        <v>220</v>
      </c>
      <c r="Q2229" t="s">
        <v>4784</v>
      </c>
    </row>
    <row r="2230" spans="1:17" x14ac:dyDescent="0.3">
      <c r="A2230" t="s">
        <v>4708</v>
      </c>
      <c r="B2230" t="str">
        <f>"000042"</f>
        <v>000042</v>
      </c>
      <c r="C2230" t="s">
        <v>4785</v>
      </c>
      <c r="D2230" t="s">
        <v>104</v>
      </c>
      <c r="P2230">
        <v>121</v>
      </c>
      <c r="Q2230" t="s">
        <v>4786</v>
      </c>
    </row>
    <row r="2231" spans="1:17" x14ac:dyDescent="0.3">
      <c r="A2231" t="s">
        <v>4708</v>
      </c>
      <c r="B2231" t="str">
        <f>"000043"</f>
        <v>000043</v>
      </c>
      <c r="C2231" t="s">
        <v>4787</v>
      </c>
      <c r="P2231">
        <v>73</v>
      </c>
      <c r="Q2231" t="s">
        <v>4788</v>
      </c>
    </row>
    <row r="2232" spans="1:17" x14ac:dyDescent="0.3">
      <c r="A2232" t="s">
        <v>4708</v>
      </c>
      <c r="B2232" t="str">
        <f>"000045"</f>
        <v>000045</v>
      </c>
      <c r="C2232" t="s">
        <v>4789</v>
      </c>
      <c r="D2232" t="s">
        <v>1117</v>
      </c>
      <c r="P2232">
        <v>86</v>
      </c>
      <c r="Q2232" t="s">
        <v>4790</v>
      </c>
    </row>
    <row r="2233" spans="1:17" x14ac:dyDescent="0.3">
      <c r="A2233" t="s">
        <v>4708</v>
      </c>
      <c r="B2233" t="str">
        <f>"000046"</f>
        <v>000046</v>
      </c>
      <c r="C2233" t="s">
        <v>4791</v>
      </c>
      <c r="D2233" t="s">
        <v>104</v>
      </c>
      <c r="P2233">
        <v>210</v>
      </c>
      <c r="Q2233" t="s">
        <v>4792</v>
      </c>
    </row>
    <row r="2234" spans="1:17" x14ac:dyDescent="0.3">
      <c r="A2234" t="s">
        <v>4708</v>
      </c>
      <c r="B2234" t="str">
        <f>"000047"</f>
        <v>000047</v>
      </c>
      <c r="C2234" t="s">
        <v>4793</v>
      </c>
      <c r="P2234">
        <v>6</v>
      </c>
      <c r="Q2234" t="s">
        <v>4794</v>
      </c>
    </row>
    <row r="2235" spans="1:17" x14ac:dyDescent="0.3">
      <c r="A2235" t="s">
        <v>4708</v>
      </c>
      <c r="B2235" t="str">
        <f>"000048"</f>
        <v>000048</v>
      </c>
      <c r="C2235" t="s">
        <v>4795</v>
      </c>
      <c r="D2235" t="s">
        <v>104</v>
      </c>
      <c r="P2235">
        <v>588</v>
      </c>
      <c r="Q2235" t="s">
        <v>4796</v>
      </c>
    </row>
    <row r="2236" spans="1:17" x14ac:dyDescent="0.3">
      <c r="A2236" t="s">
        <v>4708</v>
      </c>
      <c r="B2236" t="str">
        <f>"000049"</f>
        <v>000049</v>
      </c>
      <c r="C2236" t="s">
        <v>4797</v>
      </c>
      <c r="D2236" t="s">
        <v>359</v>
      </c>
      <c r="P2236">
        <v>41582</v>
      </c>
      <c r="Q2236" t="s">
        <v>4798</v>
      </c>
    </row>
    <row r="2237" spans="1:17" x14ac:dyDescent="0.3">
      <c r="A2237" t="s">
        <v>4708</v>
      </c>
      <c r="B2237" t="str">
        <f>"000050"</f>
        <v>000050</v>
      </c>
      <c r="C2237" t="s">
        <v>4799</v>
      </c>
      <c r="D2237" t="s">
        <v>1117</v>
      </c>
      <c r="P2237">
        <v>621</v>
      </c>
      <c r="Q2237" t="s">
        <v>4800</v>
      </c>
    </row>
    <row r="2238" spans="1:17" x14ac:dyDescent="0.3">
      <c r="A2238" t="s">
        <v>4708</v>
      </c>
      <c r="B2238" t="str">
        <f>"000055"</f>
        <v>000055</v>
      </c>
      <c r="C2238" t="s">
        <v>4801</v>
      </c>
      <c r="D2238" t="s">
        <v>722</v>
      </c>
      <c r="P2238">
        <v>318</v>
      </c>
      <c r="Q2238" t="s">
        <v>4802</v>
      </c>
    </row>
    <row r="2239" spans="1:17" x14ac:dyDescent="0.3">
      <c r="A2239" t="s">
        <v>4708</v>
      </c>
      <c r="B2239" t="str">
        <f>"000056"</f>
        <v>000056</v>
      </c>
      <c r="C2239" t="s">
        <v>4803</v>
      </c>
      <c r="D2239" t="s">
        <v>2960</v>
      </c>
      <c r="P2239">
        <v>100</v>
      </c>
      <c r="Q2239" t="s">
        <v>4804</v>
      </c>
    </row>
    <row r="2240" spans="1:17" x14ac:dyDescent="0.3">
      <c r="A2240" t="s">
        <v>4708</v>
      </c>
      <c r="B2240" t="str">
        <f>"000058"</f>
        <v>000058</v>
      </c>
      <c r="C2240" t="s">
        <v>4805</v>
      </c>
      <c r="D2240" t="s">
        <v>271</v>
      </c>
      <c r="P2240">
        <v>142</v>
      </c>
      <c r="Q2240" t="s">
        <v>4806</v>
      </c>
    </row>
    <row r="2241" spans="1:17" x14ac:dyDescent="0.3">
      <c r="A2241" t="s">
        <v>4708</v>
      </c>
      <c r="B2241" t="str">
        <f>"000059"</f>
        <v>000059</v>
      </c>
      <c r="C2241" t="s">
        <v>4807</v>
      </c>
      <c r="D2241" t="s">
        <v>74</v>
      </c>
      <c r="P2241">
        <v>387</v>
      </c>
      <c r="Q2241" t="s">
        <v>4808</v>
      </c>
    </row>
    <row r="2242" spans="1:17" x14ac:dyDescent="0.3">
      <c r="A2242" t="s">
        <v>4708</v>
      </c>
      <c r="B2242" t="str">
        <f>"000060"</f>
        <v>000060</v>
      </c>
      <c r="C2242" t="s">
        <v>4809</v>
      </c>
      <c r="D2242" t="s">
        <v>744</v>
      </c>
      <c r="P2242">
        <v>373</v>
      </c>
      <c r="Q2242" t="s">
        <v>4810</v>
      </c>
    </row>
    <row r="2243" spans="1:17" x14ac:dyDescent="0.3">
      <c r="A2243" t="s">
        <v>4708</v>
      </c>
      <c r="B2243" t="str">
        <f>"000061"</f>
        <v>000061</v>
      </c>
      <c r="C2243" t="s">
        <v>4811</v>
      </c>
      <c r="D2243" t="s">
        <v>271</v>
      </c>
      <c r="P2243">
        <v>209</v>
      </c>
      <c r="Q2243" t="s">
        <v>4812</v>
      </c>
    </row>
    <row r="2244" spans="1:17" x14ac:dyDescent="0.3">
      <c r="A2244" t="s">
        <v>4708</v>
      </c>
      <c r="B2244" t="str">
        <f>"000062"</f>
        <v>000062</v>
      </c>
      <c r="C2244" t="s">
        <v>4813</v>
      </c>
      <c r="D2244" t="s">
        <v>651</v>
      </c>
      <c r="P2244">
        <v>300</v>
      </c>
      <c r="Q2244" t="s">
        <v>4814</v>
      </c>
    </row>
    <row r="2245" spans="1:17" x14ac:dyDescent="0.3">
      <c r="A2245" t="s">
        <v>4708</v>
      </c>
      <c r="B2245" t="str">
        <f>"000063"</f>
        <v>000063</v>
      </c>
      <c r="C2245" t="s">
        <v>4815</v>
      </c>
      <c r="D2245" t="s">
        <v>1019</v>
      </c>
      <c r="P2245">
        <v>3203</v>
      </c>
      <c r="Q2245" t="s">
        <v>4816</v>
      </c>
    </row>
    <row r="2246" spans="1:17" x14ac:dyDescent="0.3">
      <c r="A2246" t="s">
        <v>4708</v>
      </c>
      <c r="B2246" t="str">
        <f>"000065"</f>
        <v>000065</v>
      </c>
      <c r="C2246" t="s">
        <v>4817</v>
      </c>
      <c r="D2246" t="s">
        <v>1889</v>
      </c>
      <c r="P2246">
        <v>394</v>
      </c>
      <c r="Q2246" t="s">
        <v>4818</v>
      </c>
    </row>
    <row r="2247" spans="1:17" x14ac:dyDescent="0.3">
      <c r="A2247" t="s">
        <v>4708</v>
      </c>
      <c r="B2247" t="str">
        <f>"000066"</f>
        <v>000066</v>
      </c>
      <c r="C2247" t="s">
        <v>4819</v>
      </c>
      <c r="D2247" t="s">
        <v>236</v>
      </c>
      <c r="P2247">
        <v>712</v>
      </c>
      <c r="Q2247" t="s">
        <v>4820</v>
      </c>
    </row>
    <row r="2248" spans="1:17" x14ac:dyDescent="0.3">
      <c r="A2248" t="s">
        <v>4708</v>
      </c>
      <c r="B2248" t="str">
        <f>"000068"</f>
        <v>000068</v>
      </c>
      <c r="C2248" t="s">
        <v>4821</v>
      </c>
      <c r="D2248" t="s">
        <v>3560</v>
      </c>
      <c r="P2248">
        <v>144</v>
      </c>
      <c r="Q2248" t="s">
        <v>4822</v>
      </c>
    </row>
    <row r="2249" spans="1:17" x14ac:dyDescent="0.3">
      <c r="A2249" t="s">
        <v>4708</v>
      </c>
      <c r="B2249" t="str">
        <f>"000069"</f>
        <v>000069</v>
      </c>
      <c r="C2249" t="s">
        <v>4823</v>
      </c>
      <c r="D2249" t="s">
        <v>30</v>
      </c>
      <c r="P2249">
        <v>3953</v>
      </c>
      <c r="Q2249" t="s">
        <v>4824</v>
      </c>
    </row>
    <row r="2250" spans="1:17" x14ac:dyDescent="0.3">
      <c r="A2250" t="s">
        <v>4708</v>
      </c>
      <c r="B2250" t="str">
        <f>"000070"</f>
        <v>000070</v>
      </c>
      <c r="C2250" t="s">
        <v>4825</v>
      </c>
      <c r="D2250" t="s">
        <v>250</v>
      </c>
      <c r="P2250">
        <v>334</v>
      </c>
      <c r="Q2250" t="s">
        <v>4826</v>
      </c>
    </row>
    <row r="2251" spans="1:17" x14ac:dyDescent="0.3">
      <c r="A2251" t="s">
        <v>4708</v>
      </c>
      <c r="B2251" t="str">
        <f>"000078"</f>
        <v>000078</v>
      </c>
      <c r="C2251" t="s">
        <v>4827</v>
      </c>
      <c r="D2251" t="s">
        <v>125</v>
      </c>
      <c r="P2251">
        <v>291</v>
      </c>
      <c r="Q2251" t="s">
        <v>4828</v>
      </c>
    </row>
    <row r="2252" spans="1:17" x14ac:dyDescent="0.3">
      <c r="A2252" t="s">
        <v>4708</v>
      </c>
      <c r="B2252" t="str">
        <f>"000088"</f>
        <v>000088</v>
      </c>
      <c r="C2252" t="s">
        <v>4829</v>
      </c>
      <c r="D2252" t="s">
        <v>51</v>
      </c>
      <c r="P2252">
        <v>170</v>
      </c>
      <c r="Q2252" t="s">
        <v>4830</v>
      </c>
    </row>
    <row r="2253" spans="1:17" x14ac:dyDescent="0.3">
      <c r="A2253" t="s">
        <v>4708</v>
      </c>
      <c r="B2253" t="str">
        <f>"000089"</f>
        <v>000089</v>
      </c>
      <c r="C2253" t="s">
        <v>4831</v>
      </c>
      <c r="D2253" t="s">
        <v>22</v>
      </c>
      <c r="P2253">
        <v>665</v>
      </c>
      <c r="Q2253" t="s">
        <v>4832</v>
      </c>
    </row>
    <row r="2254" spans="1:17" x14ac:dyDescent="0.3">
      <c r="A2254" t="s">
        <v>4708</v>
      </c>
      <c r="B2254" t="str">
        <f>"000090"</f>
        <v>000090</v>
      </c>
      <c r="C2254" t="s">
        <v>4833</v>
      </c>
      <c r="D2254" t="s">
        <v>104</v>
      </c>
      <c r="P2254">
        <v>424</v>
      </c>
      <c r="Q2254" t="s">
        <v>4834</v>
      </c>
    </row>
    <row r="2255" spans="1:17" x14ac:dyDescent="0.3">
      <c r="A2255" t="s">
        <v>4708</v>
      </c>
      <c r="B2255" t="str">
        <f>"000096"</f>
        <v>000096</v>
      </c>
      <c r="C2255" t="s">
        <v>4835</v>
      </c>
      <c r="D2255" t="s">
        <v>584</v>
      </c>
      <c r="P2255">
        <v>86</v>
      </c>
      <c r="Q2255" t="s">
        <v>4836</v>
      </c>
    </row>
    <row r="2256" spans="1:17" x14ac:dyDescent="0.3">
      <c r="A2256" t="s">
        <v>4708</v>
      </c>
      <c r="B2256" t="str">
        <f>"000099"</f>
        <v>000099</v>
      </c>
      <c r="C2256" t="s">
        <v>4837</v>
      </c>
      <c r="D2256" t="s">
        <v>77</v>
      </c>
      <c r="P2256">
        <v>166</v>
      </c>
      <c r="Q2256" t="s">
        <v>4838</v>
      </c>
    </row>
    <row r="2257" spans="1:17" x14ac:dyDescent="0.3">
      <c r="A2257" t="s">
        <v>4708</v>
      </c>
      <c r="B2257" t="str">
        <f>"000100"</f>
        <v>000100</v>
      </c>
      <c r="C2257" t="s">
        <v>4839</v>
      </c>
      <c r="D2257" t="s">
        <v>1117</v>
      </c>
      <c r="P2257">
        <v>2194</v>
      </c>
      <c r="Q2257" t="s">
        <v>4840</v>
      </c>
    </row>
    <row r="2258" spans="1:17" x14ac:dyDescent="0.3">
      <c r="A2258" t="s">
        <v>4708</v>
      </c>
      <c r="B2258" t="str">
        <f>"000150"</f>
        <v>000150</v>
      </c>
      <c r="C2258" t="s">
        <v>4841</v>
      </c>
      <c r="D2258" t="s">
        <v>1147</v>
      </c>
      <c r="P2258">
        <v>184</v>
      </c>
      <c r="Q2258" t="s">
        <v>4842</v>
      </c>
    </row>
    <row r="2259" spans="1:17" x14ac:dyDescent="0.3">
      <c r="A2259" t="s">
        <v>4708</v>
      </c>
      <c r="B2259" t="str">
        <f>"000151"</f>
        <v>000151</v>
      </c>
      <c r="C2259" t="s">
        <v>4843</v>
      </c>
      <c r="D2259" t="s">
        <v>131</v>
      </c>
      <c r="P2259">
        <v>95</v>
      </c>
      <c r="Q2259" t="s">
        <v>4844</v>
      </c>
    </row>
    <row r="2260" spans="1:17" x14ac:dyDescent="0.3">
      <c r="A2260" t="s">
        <v>4708</v>
      </c>
      <c r="B2260" t="str">
        <f>"000153"</f>
        <v>000153</v>
      </c>
      <c r="C2260" t="s">
        <v>4845</v>
      </c>
      <c r="D2260" t="s">
        <v>143</v>
      </c>
      <c r="P2260">
        <v>118</v>
      </c>
      <c r="Q2260" t="s">
        <v>4846</v>
      </c>
    </row>
    <row r="2261" spans="1:17" x14ac:dyDescent="0.3">
      <c r="A2261" t="s">
        <v>4708</v>
      </c>
      <c r="B2261" t="str">
        <f>"000155"</f>
        <v>000155</v>
      </c>
      <c r="C2261" t="s">
        <v>4847</v>
      </c>
      <c r="D2261" t="s">
        <v>383</v>
      </c>
      <c r="P2261">
        <v>309</v>
      </c>
      <c r="Q2261" t="s">
        <v>4848</v>
      </c>
    </row>
    <row r="2262" spans="1:17" x14ac:dyDescent="0.3">
      <c r="A2262" t="s">
        <v>4708</v>
      </c>
      <c r="B2262" t="str">
        <f>"000156"</f>
        <v>000156</v>
      </c>
      <c r="C2262" t="s">
        <v>4849</v>
      </c>
      <c r="D2262" t="s">
        <v>95</v>
      </c>
      <c r="P2262">
        <v>309</v>
      </c>
      <c r="Q2262" t="s">
        <v>4850</v>
      </c>
    </row>
    <row r="2263" spans="1:17" x14ac:dyDescent="0.3">
      <c r="A2263" t="s">
        <v>4708</v>
      </c>
      <c r="B2263" t="str">
        <f>"000157"</f>
        <v>000157</v>
      </c>
      <c r="C2263" t="s">
        <v>4851</v>
      </c>
      <c r="D2263" t="s">
        <v>83</v>
      </c>
      <c r="P2263">
        <v>1683</v>
      </c>
      <c r="Q2263" t="s">
        <v>4852</v>
      </c>
    </row>
    <row r="2264" spans="1:17" x14ac:dyDescent="0.3">
      <c r="A2264" t="s">
        <v>4708</v>
      </c>
      <c r="B2264" t="str">
        <f>"000158"</f>
        <v>000158</v>
      </c>
      <c r="C2264" t="s">
        <v>4853</v>
      </c>
      <c r="D2264" t="s">
        <v>316</v>
      </c>
      <c r="P2264">
        <v>295</v>
      </c>
      <c r="Q2264" t="s">
        <v>4854</v>
      </c>
    </row>
    <row r="2265" spans="1:17" x14ac:dyDescent="0.3">
      <c r="A2265" t="s">
        <v>4708</v>
      </c>
      <c r="B2265" t="str">
        <f>"000159"</f>
        <v>000159</v>
      </c>
      <c r="C2265" t="s">
        <v>4855</v>
      </c>
      <c r="D2265" t="s">
        <v>584</v>
      </c>
      <c r="P2265">
        <v>100</v>
      </c>
      <c r="Q2265" t="s">
        <v>4856</v>
      </c>
    </row>
    <row r="2266" spans="1:17" x14ac:dyDescent="0.3">
      <c r="A2266" t="s">
        <v>4708</v>
      </c>
      <c r="B2266" t="str">
        <f>"000166"</f>
        <v>000166</v>
      </c>
      <c r="C2266" t="s">
        <v>4857</v>
      </c>
      <c r="D2266" t="s">
        <v>80</v>
      </c>
      <c r="P2266">
        <v>2819</v>
      </c>
      <c r="Q2266" t="s">
        <v>4858</v>
      </c>
    </row>
    <row r="2267" spans="1:17" x14ac:dyDescent="0.3">
      <c r="A2267" t="s">
        <v>4708</v>
      </c>
      <c r="B2267" t="str">
        <f>"000301"</f>
        <v>000301</v>
      </c>
      <c r="C2267" t="s">
        <v>4859</v>
      </c>
      <c r="D2267" t="s">
        <v>74</v>
      </c>
      <c r="P2267">
        <v>397</v>
      </c>
      <c r="Q2267" t="s">
        <v>4860</v>
      </c>
    </row>
    <row r="2268" spans="1:17" x14ac:dyDescent="0.3">
      <c r="A2268" t="s">
        <v>4708</v>
      </c>
      <c r="B2268" t="str">
        <f>"000333"</f>
        <v>000333</v>
      </c>
      <c r="C2268" t="s">
        <v>4861</v>
      </c>
      <c r="D2268" t="s">
        <v>1723</v>
      </c>
      <c r="P2268">
        <v>25066</v>
      </c>
      <c r="Q2268" t="s">
        <v>4862</v>
      </c>
    </row>
    <row r="2269" spans="1:17" x14ac:dyDescent="0.3">
      <c r="A2269" t="s">
        <v>4708</v>
      </c>
      <c r="B2269" t="str">
        <f>"000338"</f>
        <v>000338</v>
      </c>
      <c r="C2269" t="s">
        <v>4863</v>
      </c>
      <c r="D2269" t="s">
        <v>348</v>
      </c>
      <c r="P2269">
        <v>3423</v>
      </c>
      <c r="Q2269" t="s">
        <v>4864</v>
      </c>
    </row>
    <row r="2270" spans="1:17" x14ac:dyDescent="0.3">
      <c r="A2270" t="s">
        <v>4708</v>
      </c>
      <c r="B2270" t="str">
        <f>"000400"</f>
        <v>000400</v>
      </c>
      <c r="C2270" t="s">
        <v>4865</v>
      </c>
      <c r="D2270" t="s">
        <v>610</v>
      </c>
      <c r="P2270">
        <v>688</v>
      </c>
      <c r="Q2270" t="s">
        <v>4866</v>
      </c>
    </row>
    <row r="2271" spans="1:17" x14ac:dyDescent="0.3">
      <c r="A2271" t="s">
        <v>4708</v>
      </c>
      <c r="B2271" t="str">
        <f>"000401"</f>
        <v>000401</v>
      </c>
      <c r="C2271" t="s">
        <v>4867</v>
      </c>
      <c r="D2271" t="s">
        <v>731</v>
      </c>
      <c r="P2271">
        <v>826</v>
      </c>
      <c r="Q2271" t="s">
        <v>4868</v>
      </c>
    </row>
    <row r="2272" spans="1:17" x14ac:dyDescent="0.3">
      <c r="A2272" t="s">
        <v>4708</v>
      </c>
      <c r="B2272" t="str">
        <f>"000402"</f>
        <v>000402</v>
      </c>
      <c r="C2272" t="s">
        <v>4869</v>
      </c>
      <c r="D2272" t="s">
        <v>30</v>
      </c>
      <c r="P2272">
        <v>974</v>
      </c>
      <c r="Q2272" t="s">
        <v>4870</v>
      </c>
    </row>
    <row r="2273" spans="1:17" x14ac:dyDescent="0.3">
      <c r="A2273" t="s">
        <v>4708</v>
      </c>
      <c r="B2273" t="str">
        <f>"000403"</f>
        <v>000403</v>
      </c>
      <c r="C2273" t="s">
        <v>4871</v>
      </c>
      <c r="D2273" t="s">
        <v>378</v>
      </c>
      <c r="P2273">
        <v>294</v>
      </c>
      <c r="Q2273" t="s">
        <v>4872</v>
      </c>
    </row>
    <row r="2274" spans="1:17" x14ac:dyDescent="0.3">
      <c r="A2274" t="s">
        <v>4708</v>
      </c>
      <c r="B2274" t="str">
        <f>"000404"</f>
        <v>000404</v>
      </c>
      <c r="C2274" t="s">
        <v>4873</v>
      </c>
      <c r="D2274" t="s">
        <v>1253</v>
      </c>
      <c r="P2274">
        <v>113</v>
      </c>
      <c r="Q2274" t="s">
        <v>4874</v>
      </c>
    </row>
    <row r="2275" spans="1:17" x14ac:dyDescent="0.3">
      <c r="A2275" t="s">
        <v>4708</v>
      </c>
      <c r="B2275" t="str">
        <f>"000407"</f>
        <v>000407</v>
      </c>
      <c r="C2275" t="s">
        <v>4875</v>
      </c>
      <c r="D2275" t="s">
        <v>749</v>
      </c>
      <c r="P2275">
        <v>113</v>
      </c>
      <c r="Q2275" t="s">
        <v>4876</v>
      </c>
    </row>
    <row r="2276" spans="1:17" x14ac:dyDescent="0.3">
      <c r="A2276" t="s">
        <v>4708</v>
      </c>
      <c r="B2276" t="str">
        <f>"000408"</f>
        <v>000408</v>
      </c>
      <c r="C2276" t="s">
        <v>4877</v>
      </c>
      <c r="D2276" t="s">
        <v>3443</v>
      </c>
      <c r="P2276">
        <v>188</v>
      </c>
      <c r="Q2276" t="s">
        <v>4878</v>
      </c>
    </row>
    <row r="2277" spans="1:17" x14ac:dyDescent="0.3">
      <c r="A2277" t="s">
        <v>4708</v>
      </c>
      <c r="B2277" t="str">
        <f>"000409"</f>
        <v>000409</v>
      </c>
      <c r="C2277" t="s">
        <v>4879</v>
      </c>
      <c r="D2277" t="s">
        <v>110</v>
      </c>
      <c r="P2277">
        <v>75</v>
      </c>
      <c r="Q2277" t="s">
        <v>4880</v>
      </c>
    </row>
    <row r="2278" spans="1:17" x14ac:dyDescent="0.3">
      <c r="A2278" t="s">
        <v>4708</v>
      </c>
      <c r="B2278" t="str">
        <f>"000410"</f>
        <v>000410</v>
      </c>
      <c r="C2278" t="s">
        <v>4881</v>
      </c>
      <c r="D2278" t="s">
        <v>2314</v>
      </c>
      <c r="P2278">
        <v>101</v>
      </c>
      <c r="Q2278" t="s">
        <v>4882</v>
      </c>
    </row>
    <row r="2279" spans="1:17" x14ac:dyDescent="0.3">
      <c r="A2279" t="s">
        <v>4708</v>
      </c>
      <c r="B2279" t="str">
        <f>"000411"</f>
        <v>000411</v>
      </c>
      <c r="C2279" t="s">
        <v>4883</v>
      </c>
      <c r="D2279" t="s">
        <v>125</v>
      </c>
      <c r="P2279">
        <v>236</v>
      </c>
      <c r="Q2279" t="s">
        <v>4884</v>
      </c>
    </row>
    <row r="2280" spans="1:17" x14ac:dyDescent="0.3">
      <c r="A2280" t="s">
        <v>4708</v>
      </c>
      <c r="B2280" t="str">
        <f>"000413"</f>
        <v>000413</v>
      </c>
      <c r="C2280" t="s">
        <v>4885</v>
      </c>
      <c r="D2280" t="s">
        <v>1117</v>
      </c>
      <c r="P2280">
        <v>525</v>
      </c>
      <c r="Q2280" t="s">
        <v>4886</v>
      </c>
    </row>
    <row r="2281" spans="1:17" x14ac:dyDescent="0.3">
      <c r="A2281" t="s">
        <v>4708</v>
      </c>
      <c r="B2281" t="str">
        <f>"000415"</f>
        <v>000415</v>
      </c>
      <c r="C2281" t="s">
        <v>4887</v>
      </c>
      <c r="D2281" t="s">
        <v>336</v>
      </c>
      <c r="P2281">
        <v>256</v>
      </c>
      <c r="Q2281" t="s">
        <v>4888</v>
      </c>
    </row>
    <row r="2282" spans="1:17" x14ac:dyDescent="0.3">
      <c r="A2282" t="s">
        <v>4708</v>
      </c>
      <c r="B2282" t="str">
        <f>"000416"</f>
        <v>000416</v>
      </c>
      <c r="C2282" t="s">
        <v>4889</v>
      </c>
      <c r="D2282" t="s">
        <v>140</v>
      </c>
      <c r="P2282">
        <v>119</v>
      </c>
      <c r="Q2282" t="s">
        <v>4890</v>
      </c>
    </row>
    <row r="2283" spans="1:17" x14ac:dyDescent="0.3">
      <c r="A2283" t="s">
        <v>4708</v>
      </c>
      <c r="B2283" t="str">
        <f>"000417"</f>
        <v>000417</v>
      </c>
      <c r="C2283" t="s">
        <v>4891</v>
      </c>
      <c r="D2283" t="s">
        <v>633</v>
      </c>
      <c r="P2283">
        <v>145</v>
      </c>
      <c r="Q2283" t="s">
        <v>4892</v>
      </c>
    </row>
    <row r="2284" spans="1:17" x14ac:dyDescent="0.3">
      <c r="A2284" t="s">
        <v>4708</v>
      </c>
      <c r="B2284" t="str">
        <f>"000418"</f>
        <v>000418</v>
      </c>
      <c r="C2284" t="s">
        <v>4893</v>
      </c>
      <c r="P2284">
        <v>653</v>
      </c>
      <c r="Q2284" t="s">
        <v>4894</v>
      </c>
    </row>
    <row r="2285" spans="1:17" x14ac:dyDescent="0.3">
      <c r="A2285" t="s">
        <v>4708</v>
      </c>
      <c r="B2285" t="str">
        <f>"000419"</f>
        <v>000419</v>
      </c>
      <c r="C2285" t="s">
        <v>4895</v>
      </c>
      <c r="D2285" t="s">
        <v>1404</v>
      </c>
      <c r="P2285">
        <v>115</v>
      </c>
      <c r="Q2285" t="s">
        <v>4896</v>
      </c>
    </row>
    <row r="2286" spans="1:17" x14ac:dyDescent="0.3">
      <c r="A2286" t="s">
        <v>4708</v>
      </c>
      <c r="B2286" t="str">
        <f>"000420"</f>
        <v>000420</v>
      </c>
      <c r="C2286" t="s">
        <v>4897</v>
      </c>
      <c r="D2286" t="s">
        <v>888</v>
      </c>
      <c r="P2286">
        <v>101</v>
      </c>
      <c r="Q2286" t="s">
        <v>4898</v>
      </c>
    </row>
    <row r="2287" spans="1:17" x14ac:dyDescent="0.3">
      <c r="A2287" t="s">
        <v>4708</v>
      </c>
      <c r="B2287" t="str">
        <f>"000421"</f>
        <v>000421</v>
      </c>
      <c r="C2287" t="s">
        <v>4899</v>
      </c>
      <c r="D2287" t="s">
        <v>749</v>
      </c>
      <c r="P2287">
        <v>159</v>
      </c>
      <c r="Q2287" t="s">
        <v>4900</v>
      </c>
    </row>
    <row r="2288" spans="1:17" x14ac:dyDescent="0.3">
      <c r="A2288" t="s">
        <v>4708</v>
      </c>
      <c r="B2288" t="str">
        <f>"000422"</f>
        <v>000422</v>
      </c>
      <c r="C2288" t="s">
        <v>4901</v>
      </c>
      <c r="D2288" t="s">
        <v>175</v>
      </c>
      <c r="P2288">
        <v>257</v>
      </c>
      <c r="Q2288" t="s">
        <v>4902</v>
      </c>
    </row>
    <row r="2289" spans="1:17" x14ac:dyDescent="0.3">
      <c r="A2289" t="s">
        <v>4708</v>
      </c>
      <c r="B2289" t="str">
        <f>"000423"</f>
        <v>000423</v>
      </c>
      <c r="C2289" t="s">
        <v>4903</v>
      </c>
      <c r="D2289" t="s">
        <v>188</v>
      </c>
      <c r="P2289">
        <v>24620</v>
      </c>
      <c r="Q2289" t="s">
        <v>4904</v>
      </c>
    </row>
    <row r="2290" spans="1:17" x14ac:dyDescent="0.3">
      <c r="A2290" t="s">
        <v>4708</v>
      </c>
      <c r="B2290" t="str">
        <f>"000425"</f>
        <v>000425</v>
      </c>
      <c r="C2290" t="s">
        <v>4905</v>
      </c>
      <c r="D2290" t="s">
        <v>83</v>
      </c>
      <c r="P2290">
        <v>961</v>
      </c>
      <c r="Q2290" t="s">
        <v>4906</v>
      </c>
    </row>
    <row r="2291" spans="1:17" x14ac:dyDescent="0.3">
      <c r="A2291" t="s">
        <v>4708</v>
      </c>
      <c r="B2291" t="str">
        <f>"000426"</f>
        <v>000426</v>
      </c>
      <c r="C2291" t="s">
        <v>4907</v>
      </c>
      <c r="D2291" t="s">
        <v>744</v>
      </c>
      <c r="P2291">
        <v>202</v>
      </c>
      <c r="Q2291" t="s">
        <v>4908</v>
      </c>
    </row>
    <row r="2292" spans="1:17" x14ac:dyDescent="0.3">
      <c r="A2292" t="s">
        <v>4708</v>
      </c>
      <c r="B2292" t="str">
        <f>"000428"</f>
        <v>000428</v>
      </c>
      <c r="C2292" t="s">
        <v>4909</v>
      </c>
      <c r="D2292" t="s">
        <v>590</v>
      </c>
      <c r="P2292">
        <v>104</v>
      </c>
      <c r="Q2292" t="s">
        <v>4910</v>
      </c>
    </row>
    <row r="2293" spans="1:17" x14ac:dyDescent="0.3">
      <c r="A2293" t="s">
        <v>4708</v>
      </c>
      <c r="B2293" t="str">
        <f>"000429"</f>
        <v>000429</v>
      </c>
      <c r="C2293" t="s">
        <v>4911</v>
      </c>
      <c r="D2293" t="s">
        <v>44</v>
      </c>
      <c r="P2293">
        <v>1026</v>
      </c>
      <c r="Q2293" t="s">
        <v>4912</v>
      </c>
    </row>
    <row r="2294" spans="1:17" x14ac:dyDescent="0.3">
      <c r="A2294" t="s">
        <v>4708</v>
      </c>
      <c r="B2294" t="str">
        <f>"000430"</f>
        <v>000430</v>
      </c>
      <c r="C2294" t="s">
        <v>4913</v>
      </c>
      <c r="D2294" t="s">
        <v>119</v>
      </c>
      <c r="P2294">
        <v>109</v>
      </c>
      <c r="Q2294" t="s">
        <v>4914</v>
      </c>
    </row>
    <row r="2295" spans="1:17" x14ac:dyDescent="0.3">
      <c r="A2295" t="s">
        <v>4708</v>
      </c>
      <c r="B2295" t="str">
        <f>"000488"</f>
        <v>000488</v>
      </c>
      <c r="C2295" t="s">
        <v>4915</v>
      </c>
      <c r="D2295" t="s">
        <v>694</v>
      </c>
      <c r="P2295">
        <v>1270</v>
      </c>
      <c r="Q2295" t="s">
        <v>4916</v>
      </c>
    </row>
    <row r="2296" spans="1:17" x14ac:dyDescent="0.3">
      <c r="A2296" t="s">
        <v>4708</v>
      </c>
      <c r="B2296" t="str">
        <f>"000498"</f>
        <v>000498</v>
      </c>
      <c r="C2296" t="s">
        <v>4917</v>
      </c>
      <c r="D2296" t="s">
        <v>101</v>
      </c>
      <c r="P2296">
        <v>276</v>
      </c>
      <c r="Q2296" t="s">
        <v>4918</v>
      </c>
    </row>
    <row r="2297" spans="1:17" x14ac:dyDescent="0.3">
      <c r="A2297" t="s">
        <v>4708</v>
      </c>
      <c r="B2297" t="str">
        <f>"000501"</f>
        <v>000501</v>
      </c>
      <c r="C2297" t="s">
        <v>4919</v>
      </c>
      <c r="D2297" t="s">
        <v>633</v>
      </c>
      <c r="P2297">
        <v>6225</v>
      </c>
      <c r="Q2297" t="s">
        <v>4920</v>
      </c>
    </row>
    <row r="2298" spans="1:17" x14ac:dyDescent="0.3">
      <c r="A2298" t="s">
        <v>4708</v>
      </c>
      <c r="B2298" t="str">
        <f>"000502"</f>
        <v>000502</v>
      </c>
      <c r="C2298" t="s">
        <v>4921</v>
      </c>
      <c r="D2298" t="s">
        <v>2960</v>
      </c>
      <c r="P2298">
        <v>85</v>
      </c>
      <c r="Q2298" t="s">
        <v>4922</v>
      </c>
    </row>
    <row r="2299" spans="1:17" x14ac:dyDescent="0.3">
      <c r="A2299" t="s">
        <v>4708</v>
      </c>
      <c r="B2299" t="str">
        <f>"000503"</f>
        <v>000503</v>
      </c>
      <c r="C2299" t="s">
        <v>4923</v>
      </c>
      <c r="D2299" t="s">
        <v>945</v>
      </c>
      <c r="P2299">
        <v>174</v>
      </c>
      <c r="Q2299" t="s">
        <v>4924</v>
      </c>
    </row>
    <row r="2300" spans="1:17" x14ac:dyDescent="0.3">
      <c r="A2300" t="s">
        <v>4708</v>
      </c>
      <c r="B2300" t="str">
        <f>"000504"</f>
        <v>000504</v>
      </c>
      <c r="C2300" t="s">
        <v>4925</v>
      </c>
      <c r="D2300" t="s">
        <v>4220</v>
      </c>
      <c r="P2300">
        <v>85</v>
      </c>
      <c r="Q2300" t="s">
        <v>4926</v>
      </c>
    </row>
    <row r="2301" spans="1:17" x14ac:dyDescent="0.3">
      <c r="A2301" t="s">
        <v>4708</v>
      </c>
      <c r="B2301" t="str">
        <f>"000505"</f>
        <v>000505</v>
      </c>
      <c r="C2301" t="s">
        <v>4927</v>
      </c>
      <c r="D2301" t="s">
        <v>306</v>
      </c>
      <c r="P2301">
        <v>193</v>
      </c>
      <c r="Q2301" t="s">
        <v>4928</v>
      </c>
    </row>
    <row r="2302" spans="1:17" x14ac:dyDescent="0.3">
      <c r="A2302" t="s">
        <v>4708</v>
      </c>
      <c r="B2302" t="str">
        <f>"000506"</f>
        <v>000506</v>
      </c>
      <c r="C2302" t="s">
        <v>4929</v>
      </c>
      <c r="D2302" t="s">
        <v>104</v>
      </c>
      <c r="P2302">
        <v>85</v>
      </c>
      <c r="Q2302" t="s">
        <v>4930</v>
      </c>
    </row>
    <row r="2303" spans="1:17" x14ac:dyDescent="0.3">
      <c r="A2303" t="s">
        <v>4708</v>
      </c>
      <c r="B2303" t="str">
        <f>"000507"</f>
        <v>000507</v>
      </c>
      <c r="C2303" t="s">
        <v>4931</v>
      </c>
      <c r="D2303" t="s">
        <v>51</v>
      </c>
      <c r="P2303">
        <v>185</v>
      </c>
      <c r="Q2303" t="s">
        <v>4932</v>
      </c>
    </row>
    <row r="2304" spans="1:17" x14ac:dyDescent="0.3">
      <c r="A2304" t="s">
        <v>4708</v>
      </c>
      <c r="B2304" t="str">
        <f>"000509"</f>
        <v>000509</v>
      </c>
      <c r="C2304" t="s">
        <v>4933</v>
      </c>
      <c r="D2304" t="s">
        <v>1147</v>
      </c>
      <c r="P2304">
        <v>84</v>
      </c>
      <c r="Q2304" t="s">
        <v>4934</v>
      </c>
    </row>
    <row r="2305" spans="1:17" x14ac:dyDescent="0.3">
      <c r="A2305" t="s">
        <v>4708</v>
      </c>
      <c r="B2305" t="str">
        <f>"000510"</f>
        <v>000510</v>
      </c>
      <c r="C2305" t="s">
        <v>4935</v>
      </c>
      <c r="D2305" t="s">
        <v>175</v>
      </c>
      <c r="P2305">
        <v>128</v>
      </c>
      <c r="Q2305" t="s">
        <v>4936</v>
      </c>
    </row>
    <row r="2306" spans="1:17" x14ac:dyDescent="0.3">
      <c r="A2306" t="s">
        <v>4708</v>
      </c>
      <c r="B2306" t="str">
        <f>"000511"</f>
        <v>000511</v>
      </c>
      <c r="C2306" t="s">
        <v>4937</v>
      </c>
      <c r="P2306">
        <v>14</v>
      </c>
      <c r="Q2306" t="s">
        <v>4938</v>
      </c>
    </row>
    <row r="2307" spans="1:17" x14ac:dyDescent="0.3">
      <c r="A2307" t="s">
        <v>4708</v>
      </c>
      <c r="B2307" t="str">
        <f>"000513"</f>
        <v>000513</v>
      </c>
      <c r="C2307" t="s">
        <v>4939</v>
      </c>
      <c r="D2307" t="s">
        <v>143</v>
      </c>
      <c r="P2307">
        <v>1622</v>
      </c>
      <c r="Q2307" t="s">
        <v>4940</v>
      </c>
    </row>
    <row r="2308" spans="1:17" x14ac:dyDescent="0.3">
      <c r="A2308" t="s">
        <v>4708</v>
      </c>
      <c r="B2308" t="str">
        <f>"000514"</f>
        <v>000514</v>
      </c>
      <c r="C2308" t="s">
        <v>4941</v>
      </c>
      <c r="D2308" t="s">
        <v>104</v>
      </c>
      <c r="P2308">
        <v>113</v>
      </c>
      <c r="Q2308" t="s">
        <v>4942</v>
      </c>
    </row>
    <row r="2309" spans="1:17" x14ac:dyDescent="0.3">
      <c r="A2309" t="s">
        <v>4708</v>
      </c>
      <c r="B2309" t="str">
        <f>"000516"</f>
        <v>000516</v>
      </c>
      <c r="C2309" t="s">
        <v>4943</v>
      </c>
      <c r="D2309" t="s">
        <v>1147</v>
      </c>
      <c r="P2309">
        <v>405</v>
      </c>
      <c r="Q2309" t="s">
        <v>4944</v>
      </c>
    </row>
    <row r="2310" spans="1:17" x14ac:dyDescent="0.3">
      <c r="A2310" t="s">
        <v>4708</v>
      </c>
      <c r="B2310" t="str">
        <f>"000517"</f>
        <v>000517</v>
      </c>
      <c r="C2310" t="s">
        <v>4945</v>
      </c>
      <c r="D2310" t="s">
        <v>104</v>
      </c>
      <c r="P2310">
        <v>312</v>
      </c>
      <c r="Q2310" t="s">
        <v>4946</v>
      </c>
    </row>
    <row r="2311" spans="1:17" x14ac:dyDescent="0.3">
      <c r="A2311" t="s">
        <v>4708</v>
      </c>
      <c r="B2311" t="str">
        <f>"000518"</f>
        <v>000518</v>
      </c>
      <c r="C2311" t="s">
        <v>4947</v>
      </c>
      <c r="D2311" t="s">
        <v>1379</v>
      </c>
      <c r="P2311">
        <v>171</v>
      </c>
      <c r="Q2311" t="s">
        <v>4948</v>
      </c>
    </row>
    <row r="2312" spans="1:17" x14ac:dyDescent="0.3">
      <c r="A2312" t="s">
        <v>4708</v>
      </c>
      <c r="B2312" t="str">
        <f>"000519"</f>
        <v>000519</v>
      </c>
      <c r="C2312" t="s">
        <v>4949</v>
      </c>
      <c r="D2312" t="s">
        <v>428</v>
      </c>
      <c r="P2312">
        <v>336</v>
      </c>
      <c r="Q2312" t="s">
        <v>4950</v>
      </c>
    </row>
    <row r="2313" spans="1:17" x14ac:dyDescent="0.3">
      <c r="A2313" t="s">
        <v>4708</v>
      </c>
      <c r="B2313" t="str">
        <f>"000520"</f>
        <v>000520</v>
      </c>
      <c r="C2313" t="s">
        <v>4951</v>
      </c>
      <c r="D2313" t="s">
        <v>69</v>
      </c>
      <c r="P2313">
        <v>110</v>
      </c>
      <c r="Q2313" t="s">
        <v>4952</v>
      </c>
    </row>
    <row r="2314" spans="1:17" x14ac:dyDescent="0.3">
      <c r="A2314" t="s">
        <v>4708</v>
      </c>
      <c r="B2314" t="str">
        <f>"000521"</f>
        <v>000521</v>
      </c>
      <c r="C2314" t="s">
        <v>4953</v>
      </c>
      <c r="D2314" t="s">
        <v>754</v>
      </c>
      <c r="P2314">
        <v>181</v>
      </c>
      <c r="Q2314" t="s">
        <v>4954</v>
      </c>
    </row>
    <row r="2315" spans="1:17" x14ac:dyDescent="0.3">
      <c r="A2315" t="s">
        <v>4708</v>
      </c>
      <c r="B2315" t="str">
        <f>"000522"</f>
        <v>000522</v>
      </c>
      <c r="C2315" t="s">
        <v>4955</v>
      </c>
      <c r="P2315">
        <v>63</v>
      </c>
      <c r="Q2315" t="s">
        <v>4956</v>
      </c>
    </row>
    <row r="2316" spans="1:17" x14ac:dyDescent="0.3">
      <c r="A2316" t="s">
        <v>4708</v>
      </c>
      <c r="B2316" t="str">
        <f>"000523"</f>
        <v>000523</v>
      </c>
      <c r="C2316" t="s">
        <v>4957</v>
      </c>
      <c r="D2316" t="s">
        <v>569</v>
      </c>
      <c r="P2316">
        <v>97</v>
      </c>
      <c r="Q2316" t="s">
        <v>4958</v>
      </c>
    </row>
    <row r="2317" spans="1:17" x14ac:dyDescent="0.3">
      <c r="A2317" t="s">
        <v>4708</v>
      </c>
      <c r="B2317" t="str">
        <f>"000524"</f>
        <v>000524</v>
      </c>
      <c r="C2317" t="s">
        <v>4959</v>
      </c>
      <c r="D2317" t="s">
        <v>1120</v>
      </c>
      <c r="P2317">
        <v>156</v>
      </c>
      <c r="Q2317" t="s">
        <v>4960</v>
      </c>
    </row>
    <row r="2318" spans="1:17" x14ac:dyDescent="0.3">
      <c r="A2318" t="s">
        <v>4708</v>
      </c>
      <c r="B2318" t="str">
        <f>"000525"</f>
        <v>000525</v>
      </c>
      <c r="C2318" t="s">
        <v>4961</v>
      </c>
      <c r="D2318" t="s">
        <v>853</v>
      </c>
      <c r="P2318">
        <v>150</v>
      </c>
      <c r="Q2318" t="s">
        <v>4962</v>
      </c>
    </row>
    <row r="2319" spans="1:17" x14ac:dyDescent="0.3">
      <c r="A2319" t="s">
        <v>4708</v>
      </c>
      <c r="B2319" t="str">
        <f>"000526"</f>
        <v>000526</v>
      </c>
      <c r="C2319" t="s">
        <v>4963</v>
      </c>
      <c r="D2319" t="s">
        <v>1336</v>
      </c>
      <c r="P2319">
        <v>201</v>
      </c>
      <c r="Q2319" t="s">
        <v>4964</v>
      </c>
    </row>
    <row r="2320" spans="1:17" x14ac:dyDescent="0.3">
      <c r="A2320" t="s">
        <v>4708</v>
      </c>
      <c r="B2320" t="str">
        <f>"000527"</f>
        <v>000527</v>
      </c>
      <c r="C2320" t="s">
        <v>4965</v>
      </c>
      <c r="P2320">
        <v>296</v>
      </c>
      <c r="Q2320" t="s">
        <v>4966</v>
      </c>
    </row>
    <row r="2321" spans="1:17" x14ac:dyDescent="0.3">
      <c r="A2321" t="s">
        <v>4708</v>
      </c>
      <c r="B2321" t="str">
        <f>"000528"</f>
        <v>000528</v>
      </c>
      <c r="C2321" t="s">
        <v>4967</v>
      </c>
      <c r="D2321" t="s">
        <v>83</v>
      </c>
      <c r="P2321">
        <v>481</v>
      </c>
      <c r="Q2321" t="s">
        <v>4968</v>
      </c>
    </row>
    <row r="2322" spans="1:17" x14ac:dyDescent="0.3">
      <c r="A2322" t="s">
        <v>4708</v>
      </c>
      <c r="B2322" t="str">
        <f>"000529"</f>
        <v>000529</v>
      </c>
      <c r="C2322" t="s">
        <v>4969</v>
      </c>
      <c r="D2322" t="s">
        <v>1536</v>
      </c>
      <c r="P2322">
        <v>298</v>
      </c>
      <c r="Q2322" t="s">
        <v>4970</v>
      </c>
    </row>
    <row r="2323" spans="1:17" x14ac:dyDescent="0.3">
      <c r="A2323" t="s">
        <v>4708</v>
      </c>
      <c r="B2323" t="str">
        <f>"000530"</f>
        <v>000530</v>
      </c>
      <c r="C2323" t="s">
        <v>4971</v>
      </c>
      <c r="D2323" t="s">
        <v>988</v>
      </c>
      <c r="P2323">
        <v>129</v>
      </c>
      <c r="Q2323" t="s">
        <v>4972</v>
      </c>
    </row>
    <row r="2324" spans="1:17" x14ac:dyDescent="0.3">
      <c r="A2324" t="s">
        <v>4708</v>
      </c>
      <c r="B2324" t="str">
        <f>"000531"</f>
        <v>000531</v>
      </c>
      <c r="C2324" t="s">
        <v>4973</v>
      </c>
      <c r="D2324" t="s">
        <v>41</v>
      </c>
      <c r="P2324">
        <v>277</v>
      </c>
      <c r="Q2324" t="s">
        <v>4974</v>
      </c>
    </row>
    <row r="2325" spans="1:17" x14ac:dyDescent="0.3">
      <c r="A2325" t="s">
        <v>4708</v>
      </c>
      <c r="B2325" t="str">
        <f>"000532"</f>
        <v>000532</v>
      </c>
      <c r="C2325" t="s">
        <v>4975</v>
      </c>
      <c r="D2325" t="s">
        <v>116</v>
      </c>
      <c r="P2325">
        <v>140</v>
      </c>
      <c r="Q2325" t="s">
        <v>4976</v>
      </c>
    </row>
    <row r="2326" spans="1:17" x14ac:dyDescent="0.3">
      <c r="A2326" t="s">
        <v>4708</v>
      </c>
      <c r="B2326" t="str">
        <f>"000533"</f>
        <v>000533</v>
      </c>
      <c r="C2326" t="s">
        <v>4977</v>
      </c>
      <c r="D2326" t="s">
        <v>210</v>
      </c>
      <c r="P2326">
        <v>101</v>
      </c>
      <c r="Q2326" t="s">
        <v>4978</v>
      </c>
    </row>
    <row r="2327" spans="1:17" x14ac:dyDescent="0.3">
      <c r="A2327" t="s">
        <v>4708</v>
      </c>
      <c r="B2327" t="str">
        <f>"000534"</f>
        <v>000534</v>
      </c>
      <c r="C2327" t="s">
        <v>4979</v>
      </c>
      <c r="D2327" t="s">
        <v>1379</v>
      </c>
      <c r="P2327">
        <v>120</v>
      </c>
      <c r="Q2327" t="s">
        <v>4980</v>
      </c>
    </row>
    <row r="2328" spans="1:17" x14ac:dyDescent="0.3">
      <c r="A2328" t="s">
        <v>4708</v>
      </c>
      <c r="B2328" t="str">
        <f>"000536"</f>
        <v>000536</v>
      </c>
      <c r="C2328" t="s">
        <v>4981</v>
      </c>
      <c r="D2328" t="s">
        <v>1117</v>
      </c>
      <c r="P2328">
        <v>142</v>
      </c>
      <c r="Q2328" t="s">
        <v>4982</v>
      </c>
    </row>
    <row r="2329" spans="1:17" x14ac:dyDescent="0.3">
      <c r="A2329" t="s">
        <v>4708</v>
      </c>
      <c r="B2329" t="str">
        <f>"000537"</f>
        <v>000537</v>
      </c>
      <c r="C2329" t="s">
        <v>4983</v>
      </c>
      <c r="D2329" t="s">
        <v>104</v>
      </c>
      <c r="P2329">
        <v>604</v>
      </c>
      <c r="Q2329" t="s">
        <v>4984</v>
      </c>
    </row>
    <row r="2330" spans="1:17" x14ac:dyDescent="0.3">
      <c r="A2330" t="s">
        <v>4708</v>
      </c>
      <c r="B2330" t="str">
        <f>"000538"</f>
        <v>000538</v>
      </c>
      <c r="C2330" t="s">
        <v>4985</v>
      </c>
      <c r="D2330" t="s">
        <v>188</v>
      </c>
      <c r="P2330">
        <v>30717</v>
      </c>
      <c r="Q2330" t="s">
        <v>4986</v>
      </c>
    </row>
    <row r="2331" spans="1:17" x14ac:dyDescent="0.3">
      <c r="A2331" t="s">
        <v>4708</v>
      </c>
      <c r="B2331" t="str">
        <f>"000539"</f>
        <v>000539</v>
      </c>
      <c r="C2331" t="s">
        <v>4987</v>
      </c>
      <c r="D2331" t="s">
        <v>41</v>
      </c>
      <c r="P2331">
        <v>203</v>
      </c>
      <c r="Q2331" t="s">
        <v>4988</v>
      </c>
    </row>
    <row r="2332" spans="1:17" x14ac:dyDescent="0.3">
      <c r="A2332" t="s">
        <v>4708</v>
      </c>
      <c r="B2332" t="str">
        <f>"000540"</f>
        <v>000540</v>
      </c>
      <c r="C2332" t="s">
        <v>4989</v>
      </c>
      <c r="D2332" t="s">
        <v>104</v>
      </c>
      <c r="P2332">
        <v>5239</v>
      </c>
      <c r="Q2332" t="s">
        <v>4990</v>
      </c>
    </row>
    <row r="2333" spans="1:17" x14ac:dyDescent="0.3">
      <c r="A2333" t="s">
        <v>4708</v>
      </c>
      <c r="B2333" t="str">
        <f>"000541"</f>
        <v>000541</v>
      </c>
      <c r="C2333" t="s">
        <v>4991</v>
      </c>
      <c r="D2333" t="s">
        <v>598</v>
      </c>
      <c r="P2333">
        <v>437</v>
      </c>
      <c r="Q2333" t="s">
        <v>4992</v>
      </c>
    </row>
    <row r="2334" spans="1:17" x14ac:dyDescent="0.3">
      <c r="A2334" t="s">
        <v>4708</v>
      </c>
      <c r="B2334" t="str">
        <f>"000543"</f>
        <v>000543</v>
      </c>
      <c r="C2334" t="s">
        <v>4993</v>
      </c>
      <c r="D2334" t="s">
        <v>41</v>
      </c>
      <c r="P2334">
        <v>322</v>
      </c>
      <c r="Q2334" t="s">
        <v>4994</v>
      </c>
    </row>
    <row r="2335" spans="1:17" x14ac:dyDescent="0.3">
      <c r="A2335" t="s">
        <v>4708</v>
      </c>
      <c r="B2335" t="str">
        <f>"000544"</f>
        <v>000544</v>
      </c>
      <c r="C2335" t="s">
        <v>4995</v>
      </c>
      <c r="D2335" t="s">
        <v>33</v>
      </c>
      <c r="P2335">
        <v>247</v>
      </c>
      <c r="Q2335" t="s">
        <v>4996</v>
      </c>
    </row>
    <row r="2336" spans="1:17" x14ac:dyDescent="0.3">
      <c r="A2336" t="s">
        <v>4708</v>
      </c>
      <c r="B2336" t="str">
        <f>"000545"</f>
        <v>000545</v>
      </c>
      <c r="C2336" t="s">
        <v>4997</v>
      </c>
      <c r="D2336" t="s">
        <v>1474</v>
      </c>
      <c r="P2336">
        <v>106</v>
      </c>
      <c r="Q2336" t="s">
        <v>4998</v>
      </c>
    </row>
    <row r="2337" spans="1:17" x14ac:dyDescent="0.3">
      <c r="A2337" t="s">
        <v>4708</v>
      </c>
      <c r="B2337" t="str">
        <f>"000546"</f>
        <v>000546</v>
      </c>
      <c r="C2337" t="s">
        <v>4999</v>
      </c>
      <c r="D2337" t="s">
        <v>731</v>
      </c>
      <c r="P2337">
        <v>181</v>
      </c>
      <c r="Q2337" t="s">
        <v>5000</v>
      </c>
    </row>
    <row r="2338" spans="1:17" x14ac:dyDescent="0.3">
      <c r="A2338" t="s">
        <v>4708</v>
      </c>
      <c r="B2338" t="str">
        <f>"000547"</f>
        <v>000547</v>
      </c>
      <c r="C2338" t="s">
        <v>5001</v>
      </c>
      <c r="D2338" t="s">
        <v>1136</v>
      </c>
      <c r="P2338">
        <v>612</v>
      </c>
      <c r="Q2338" t="s">
        <v>5002</v>
      </c>
    </row>
    <row r="2339" spans="1:17" x14ac:dyDescent="0.3">
      <c r="A2339" t="s">
        <v>4708</v>
      </c>
      <c r="B2339" t="str">
        <f>"000548"</f>
        <v>000548</v>
      </c>
      <c r="C2339" t="s">
        <v>5003</v>
      </c>
      <c r="D2339" t="s">
        <v>44</v>
      </c>
      <c r="P2339">
        <v>90</v>
      </c>
      <c r="Q2339" t="s">
        <v>5004</v>
      </c>
    </row>
    <row r="2340" spans="1:17" x14ac:dyDescent="0.3">
      <c r="A2340" t="s">
        <v>4708</v>
      </c>
      <c r="B2340" t="str">
        <f>"000550"</f>
        <v>000550</v>
      </c>
      <c r="C2340" t="s">
        <v>5005</v>
      </c>
      <c r="D2340" t="s">
        <v>27</v>
      </c>
      <c r="P2340">
        <v>595</v>
      </c>
      <c r="Q2340" t="s">
        <v>5006</v>
      </c>
    </row>
    <row r="2341" spans="1:17" x14ac:dyDescent="0.3">
      <c r="A2341" t="s">
        <v>4708</v>
      </c>
      <c r="B2341" t="str">
        <f>"000551"</f>
        <v>000551</v>
      </c>
      <c r="C2341" t="s">
        <v>5007</v>
      </c>
      <c r="D2341" t="s">
        <v>1070</v>
      </c>
      <c r="P2341">
        <v>122</v>
      </c>
      <c r="Q2341" t="s">
        <v>5008</v>
      </c>
    </row>
    <row r="2342" spans="1:17" x14ac:dyDescent="0.3">
      <c r="A2342" t="s">
        <v>4708</v>
      </c>
      <c r="B2342" t="str">
        <f>"000552"</f>
        <v>000552</v>
      </c>
      <c r="C2342" t="s">
        <v>5009</v>
      </c>
      <c r="D2342" t="s">
        <v>292</v>
      </c>
      <c r="P2342">
        <v>263</v>
      </c>
      <c r="Q2342" t="s">
        <v>5010</v>
      </c>
    </row>
    <row r="2343" spans="1:17" x14ac:dyDescent="0.3">
      <c r="A2343" t="s">
        <v>4708</v>
      </c>
      <c r="B2343" t="str">
        <f>"000553"</f>
        <v>000553</v>
      </c>
      <c r="C2343" t="s">
        <v>5011</v>
      </c>
      <c r="D2343" t="s">
        <v>853</v>
      </c>
      <c r="P2343">
        <v>227</v>
      </c>
      <c r="Q2343" t="s">
        <v>5012</v>
      </c>
    </row>
    <row r="2344" spans="1:17" x14ac:dyDescent="0.3">
      <c r="A2344" t="s">
        <v>4708</v>
      </c>
      <c r="B2344" t="str">
        <f>"000554"</f>
        <v>000554</v>
      </c>
      <c r="C2344" t="s">
        <v>5013</v>
      </c>
      <c r="D2344" t="s">
        <v>584</v>
      </c>
      <c r="P2344">
        <v>112</v>
      </c>
      <c r="Q2344" t="s">
        <v>5014</v>
      </c>
    </row>
    <row r="2345" spans="1:17" x14ac:dyDescent="0.3">
      <c r="A2345" t="s">
        <v>4708</v>
      </c>
      <c r="B2345" t="str">
        <f>"000555"</f>
        <v>000555</v>
      </c>
      <c r="C2345" t="s">
        <v>5015</v>
      </c>
      <c r="D2345" t="s">
        <v>316</v>
      </c>
      <c r="P2345">
        <v>374</v>
      </c>
      <c r="Q2345" t="s">
        <v>5016</v>
      </c>
    </row>
    <row r="2346" spans="1:17" x14ac:dyDescent="0.3">
      <c r="A2346" t="s">
        <v>4708</v>
      </c>
      <c r="B2346" t="str">
        <f>"000556"</f>
        <v>000556</v>
      </c>
      <c r="C2346" t="s">
        <v>5017</v>
      </c>
      <c r="P2346">
        <v>4</v>
      </c>
      <c r="Q2346" t="s">
        <v>5018</v>
      </c>
    </row>
    <row r="2347" spans="1:17" x14ac:dyDescent="0.3">
      <c r="A2347" t="s">
        <v>4708</v>
      </c>
      <c r="B2347" t="str">
        <f>"000557"</f>
        <v>000557</v>
      </c>
      <c r="C2347" t="s">
        <v>5019</v>
      </c>
      <c r="D2347" t="s">
        <v>301</v>
      </c>
      <c r="P2347">
        <v>103</v>
      </c>
      <c r="Q2347" t="s">
        <v>5020</v>
      </c>
    </row>
    <row r="2348" spans="1:17" x14ac:dyDescent="0.3">
      <c r="A2348" t="s">
        <v>4708</v>
      </c>
      <c r="B2348" t="str">
        <f>"000558"</f>
        <v>000558</v>
      </c>
      <c r="C2348" t="s">
        <v>5021</v>
      </c>
      <c r="D2348" t="s">
        <v>104</v>
      </c>
      <c r="P2348">
        <v>118</v>
      </c>
      <c r="Q2348" t="s">
        <v>5022</v>
      </c>
    </row>
    <row r="2349" spans="1:17" x14ac:dyDescent="0.3">
      <c r="A2349" t="s">
        <v>4708</v>
      </c>
      <c r="B2349" t="str">
        <f>"000559"</f>
        <v>000559</v>
      </c>
      <c r="C2349" t="s">
        <v>5023</v>
      </c>
      <c r="D2349" t="s">
        <v>348</v>
      </c>
      <c r="P2349">
        <v>414</v>
      </c>
      <c r="Q2349" t="s">
        <v>5024</v>
      </c>
    </row>
    <row r="2350" spans="1:17" x14ac:dyDescent="0.3">
      <c r="A2350" t="s">
        <v>4708</v>
      </c>
      <c r="B2350" t="str">
        <f>"000560"</f>
        <v>000560</v>
      </c>
      <c r="C2350" t="s">
        <v>5025</v>
      </c>
      <c r="D2350" t="s">
        <v>5026</v>
      </c>
      <c r="P2350">
        <v>206</v>
      </c>
      <c r="Q2350" t="s">
        <v>5027</v>
      </c>
    </row>
    <row r="2351" spans="1:17" x14ac:dyDescent="0.3">
      <c r="A2351" t="s">
        <v>4708</v>
      </c>
      <c r="B2351" t="str">
        <f>"000561"</f>
        <v>000561</v>
      </c>
      <c r="C2351" t="s">
        <v>5028</v>
      </c>
      <c r="D2351" t="s">
        <v>98</v>
      </c>
      <c r="P2351">
        <v>134</v>
      </c>
      <c r="Q2351" t="s">
        <v>5029</v>
      </c>
    </row>
    <row r="2352" spans="1:17" x14ac:dyDescent="0.3">
      <c r="A2352" t="s">
        <v>4708</v>
      </c>
      <c r="B2352" t="str">
        <f>"000562"</f>
        <v>000562</v>
      </c>
      <c r="C2352" t="s">
        <v>5030</v>
      </c>
      <c r="P2352">
        <v>18</v>
      </c>
      <c r="Q2352" t="s">
        <v>5031</v>
      </c>
    </row>
    <row r="2353" spans="1:17" x14ac:dyDescent="0.3">
      <c r="A2353" t="s">
        <v>4708</v>
      </c>
      <c r="B2353" t="str">
        <f>"000563"</f>
        <v>000563</v>
      </c>
      <c r="C2353" t="s">
        <v>5032</v>
      </c>
      <c r="D2353" t="s">
        <v>1649</v>
      </c>
      <c r="P2353">
        <v>205</v>
      </c>
      <c r="Q2353" t="s">
        <v>5033</v>
      </c>
    </row>
    <row r="2354" spans="1:17" x14ac:dyDescent="0.3">
      <c r="A2354" t="s">
        <v>4708</v>
      </c>
      <c r="B2354" t="str">
        <f>"000564"</f>
        <v>000564</v>
      </c>
      <c r="C2354" t="s">
        <v>5034</v>
      </c>
      <c r="D2354" t="s">
        <v>633</v>
      </c>
      <c r="P2354">
        <v>187</v>
      </c>
      <c r="Q2354" t="s">
        <v>5035</v>
      </c>
    </row>
    <row r="2355" spans="1:17" x14ac:dyDescent="0.3">
      <c r="A2355" t="s">
        <v>4708</v>
      </c>
      <c r="B2355" t="str">
        <f>"000565"</f>
        <v>000565</v>
      </c>
      <c r="C2355" t="s">
        <v>5036</v>
      </c>
      <c r="D2355" t="s">
        <v>2576</v>
      </c>
      <c r="P2355">
        <v>79</v>
      </c>
      <c r="Q2355" t="s">
        <v>5037</v>
      </c>
    </row>
    <row r="2356" spans="1:17" x14ac:dyDescent="0.3">
      <c r="A2356" t="s">
        <v>4708</v>
      </c>
      <c r="B2356" t="str">
        <f>"000566"</f>
        <v>000566</v>
      </c>
      <c r="C2356" t="s">
        <v>5038</v>
      </c>
      <c r="D2356" t="s">
        <v>143</v>
      </c>
      <c r="P2356">
        <v>195</v>
      </c>
      <c r="Q2356" t="s">
        <v>5039</v>
      </c>
    </row>
    <row r="2357" spans="1:17" x14ac:dyDescent="0.3">
      <c r="A2357" t="s">
        <v>4708</v>
      </c>
      <c r="B2357" t="str">
        <f>"000567"</f>
        <v>000567</v>
      </c>
      <c r="C2357" t="s">
        <v>5040</v>
      </c>
      <c r="D2357" t="s">
        <v>116</v>
      </c>
      <c r="P2357">
        <v>117</v>
      </c>
      <c r="Q2357" t="s">
        <v>5041</v>
      </c>
    </row>
    <row r="2358" spans="1:17" x14ac:dyDescent="0.3">
      <c r="A2358" t="s">
        <v>4708</v>
      </c>
      <c r="B2358" t="str">
        <f>"000568"</f>
        <v>000568</v>
      </c>
      <c r="C2358" t="s">
        <v>5042</v>
      </c>
      <c r="D2358" t="s">
        <v>458</v>
      </c>
      <c r="P2358">
        <v>6440</v>
      </c>
      <c r="Q2358" t="s">
        <v>5043</v>
      </c>
    </row>
    <row r="2359" spans="1:17" x14ac:dyDescent="0.3">
      <c r="A2359" t="s">
        <v>4708</v>
      </c>
      <c r="B2359" t="str">
        <f>"000570"</f>
        <v>000570</v>
      </c>
      <c r="C2359" t="s">
        <v>5044</v>
      </c>
      <c r="D2359" t="s">
        <v>348</v>
      </c>
      <c r="P2359">
        <v>81</v>
      </c>
      <c r="Q2359" t="s">
        <v>5045</v>
      </c>
    </row>
    <row r="2360" spans="1:17" x14ac:dyDescent="0.3">
      <c r="A2360" t="s">
        <v>4708</v>
      </c>
      <c r="B2360" t="str">
        <f>"000571"</f>
        <v>000571</v>
      </c>
      <c r="C2360" t="s">
        <v>5046</v>
      </c>
      <c r="D2360" t="s">
        <v>292</v>
      </c>
      <c r="P2360">
        <v>72</v>
      </c>
      <c r="Q2360" t="s">
        <v>5047</v>
      </c>
    </row>
    <row r="2361" spans="1:17" x14ac:dyDescent="0.3">
      <c r="A2361" t="s">
        <v>4708</v>
      </c>
      <c r="B2361" t="str">
        <f>"000572"</f>
        <v>000572</v>
      </c>
      <c r="C2361" t="s">
        <v>5048</v>
      </c>
      <c r="D2361" t="s">
        <v>247</v>
      </c>
      <c r="P2361">
        <v>151</v>
      </c>
      <c r="Q2361" t="s">
        <v>5049</v>
      </c>
    </row>
    <row r="2362" spans="1:17" x14ac:dyDescent="0.3">
      <c r="A2362" t="s">
        <v>4708</v>
      </c>
      <c r="B2362" t="str">
        <f>"000573"</f>
        <v>000573</v>
      </c>
      <c r="C2362" t="s">
        <v>5050</v>
      </c>
      <c r="D2362" t="s">
        <v>104</v>
      </c>
      <c r="P2362">
        <v>130</v>
      </c>
      <c r="Q2362" t="s">
        <v>5051</v>
      </c>
    </row>
    <row r="2363" spans="1:17" x14ac:dyDescent="0.3">
      <c r="A2363" t="s">
        <v>4708</v>
      </c>
      <c r="B2363" t="str">
        <f>"000576"</f>
        <v>000576</v>
      </c>
      <c r="C2363" t="s">
        <v>5052</v>
      </c>
      <c r="D2363" t="s">
        <v>428</v>
      </c>
      <c r="P2363">
        <v>161</v>
      </c>
      <c r="Q2363" t="s">
        <v>5053</v>
      </c>
    </row>
    <row r="2364" spans="1:17" x14ac:dyDescent="0.3">
      <c r="A2364" t="s">
        <v>4708</v>
      </c>
      <c r="B2364" t="str">
        <f>"000578"</f>
        <v>000578</v>
      </c>
      <c r="C2364" t="s">
        <v>5054</v>
      </c>
      <c r="P2364">
        <v>12</v>
      </c>
      <c r="Q2364" t="s">
        <v>5055</v>
      </c>
    </row>
    <row r="2365" spans="1:17" x14ac:dyDescent="0.3">
      <c r="A2365" t="s">
        <v>4708</v>
      </c>
      <c r="B2365" t="str">
        <f>"000581"</f>
        <v>000581</v>
      </c>
      <c r="C2365" t="s">
        <v>5056</v>
      </c>
      <c r="D2365" t="s">
        <v>348</v>
      </c>
      <c r="P2365">
        <v>1711</v>
      </c>
      <c r="Q2365" t="s">
        <v>5057</v>
      </c>
    </row>
    <row r="2366" spans="1:17" x14ac:dyDescent="0.3">
      <c r="A2366" t="s">
        <v>4708</v>
      </c>
      <c r="B2366" t="str">
        <f>"000582"</f>
        <v>000582</v>
      </c>
      <c r="C2366" t="s">
        <v>5058</v>
      </c>
      <c r="D2366" t="s">
        <v>51</v>
      </c>
      <c r="P2366">
        <v>227</v>
      </c>
      <c r="Q2366" t="s">
        <v>5059</v>
      </c>
    </row>
    <row r="2367" spans="1:17" x14ac:dyDescent="0.3">
      <c r="A2367" t="s">
        <v>4708</v>
      </c>
      <c r="B2367" t="str">
        <f>"000583"</f>
        <v>000583</v>
      </c>
      <c r="C2367" t="s">
        <v>5060</v>
      </c>
      <c r="P2367">
        <v>3</v>
      </c>
      <c r="Q2367" t="s">
        <v>5061</v>
      </c>
    </row>
    <row r="2368" spans="1:17" x14ac:dyDescent="0.3">
      <c r="A2368" t="s">
        <v>4708</v>
      </c>
      <c r="B2368" t="str">
        <f>"000584"</f>
        <v>000584</v>
      </c>
      <c r="C2368" t="s">
        <v>5062</v>
      </c>
      <c r="D2368" t="s">
        <v>2923</v>
      </c>
      <c r="P2368">
        <v>134</v>
      </c>
      <c r="Q2368" t="s">
        <v>5063</v>
      </c>
    </row>
    <row r="2369" spans="1:17" x14ac:dyDescent="0.3">
      <c r="A2369" t="s">
        <v>4708</v>
      </c>
      <c r="B2369" t="str">
        <f>"000585"</f>
        <v>000585</v>
      </c>
      <c r="C2369" t="s">
        <v>5064</v>
      </c>
      <c r="D2369" t="s">
        <v>210</v>
      </c>
      <c r="P2369">
        <v>73</v>
      </c>
      <c r="Q2369" t="s">
        <v>5065</v>
      </c>
    </row>
    <row r="2370" spans="1:17" x14ac:dyDescent="0.3">
      <c r="A2370" t="s">
        <v>4708</v>
      </c>
      <c r="B2370" t="str">
        <f>"000586"</f>
        <v>000586</v>
      </c>
      <c r="C2370" t="s">
        <v>5066</v>
      </c>
      <c r="D2370" t="s">
        <v>250</v>
      </c>
      <c r="P2370">
        <v>145</v>
      </c>
      <c r="Q2370" t="s">
        <v>5067</v>
      </c>
    </row>
    <row r="2371" spans="1:17" x14ac:dyDescent="0.3">
      <c r="A2371" t="s">
        <v>4708</v>
      </c>
      <c r="B2371" t="str">
        <f>"000587"</f>
        <v>000587</v>
      </c>
      <c r="C2371" t="s">
        <v>5068</v>
      </c>
      <c r="D2371" t="s">
        <v>1238</v>
      </c>
      <c r="P2371">
        <v>114</v>
      </c>
      <c r="Q2371" t="s">
        <v>5069</v>
      </c>
    </row>
    <row r="2372" spans="1:17" x14ac:dyDescent="0.3">
      <c r="A2372" t="s">
        <v>4708</v>
      </c>
      <c r="B2372" t="str">
        <f>"000588"</f>
        <v>000588</v>
      </c>
      <c r="C2372" t="s">
        <v>5070</v>
      </c>
      <c r="P2372">
        <v>5</v>
      </c>
      <c r="Q2372" t="s">
        <v>5071</v>
      </c>
    </row>
    <row r="2373" spans="1:17" x14ac:dyDescent="0.3">
      <c r="A2373" t="s">
        <v>4708</v>
      </c>
      <c r="B2373" t="str">
        <f>"000589"</f>
        <v>000589</v>
      </c>
      <c r="C2373" t="s">
        <v>5072</v>
      </c>
      <c r="D2373" t="s">
        <v>422</v>
      </c>
      <c r="P2373">
        <v>208</v>
      </c>
      <c r="Q2373" t="s">
        <v>5073</v>
      </c>
    </row>
    <row r="2374" spans="1:17" x14ac:dyDescent="0.3">
      <c r="A2374" t="s">
        <v>4708</v>
      </c>
      <c r="B2374" t="str">
        <f>"000590"</f>
        <v>000590</v>
      </c>
      <c r="C2374" t="s">
        <v>5074</v>
      </c>
      <c r="D2374" t="s">
        <v>188</v>
      </c>
      <c r="P2374">
        <v>148</v>
      </c>
      <c r="Q2374" t="s">
        <v>5075</v>
      </c>
    </row>
    <row r="2375" spans="1:17" x14ac:dyDescent="0.3">
      <c r="A2375" t="s">
        <v>4708</v>
      </c>
      <c r="B2375" t="str">
        <f>"000591"</f>
        <v>000591</v>
      </c>
      <c r="C2375" t="s">
        <v>5076</v>
      </c>
      <c r="D2375" t="s">
        <v>86</v>
      </c>
      <c r="P2375">
        <v>664</v>
      </c>
      <c r="Q2375" t="s">
        <v>5077</v>
      </c>
    </row>
    <row r="2376" spans="1:17" x14ac:dyDescent="0.3">
      <c r="A2376" t="s">
        <v>4708</v>
      </c>
      <c r="B2376" t="str">
        <f>"000592"</f>
        <v>000592</v>
      </c>
      <c r="C2376" t="s">
        <v>5078</v>
      </c>
      <c r="D2376" t="s">
        <v>603</v>
      </c>
      <c r="P2376">
        <v>150</v>
      </c>
      <c r="Q2376" t="s">
        <v>5079</v>
      </c>
    </row>
    <row r="2377" spans="1:17" x14ac:dyDescent="0.3">
      <c r="A2377" t="s">
        <v>4708</v>
      </c>
      <c r="B2377" t="str">
        <f>"000593"</f>
        <v>000593</v>
      </c>
      <c r="C2377" t="s">
        <v>5080</v>
      </c>
      <c r="D2377" t="s">
        <v>749</v>
      </c>
      <c r="P2377">
        <v>80</v>
      </c>
      <c r="Q2377" t="s">
        <v>5081</v>
      </c>
    </row>
    <row r="2378" spans="1:17" x14ac:dyDescent="0.3">
      <c r="A2378" t="s">
        <v>4708</v>
      </c>
      <c r="B2378" t="str">
        <f>"000594"</f>
        <v>000594</v>
      </c>
      <c r="C2378" t="s">
        <v>5082</v>
      </c>
      <c r="P2378">
        <v>3</v>
      </c>
      <c r="Q2378" t="s">
        <v>5083</v>
      </c>
    </row>
    <row r="2379" spans="1:17" x14ac:dyDescent="0.3">
      <c r="A2379" t="s">
        <v>4708</v>
      </c>
      <c r="B2379" t="str">
        <f>"000595"</f>
        <v>000595</v>
      </c>
      <c r="C2379" t="s">
        <v>5084</v>
      </c>
      <c r="D2379" t="s">
        <v>274</v>
      </c>
      <c r="P2379">
        <v>98</v>
      </c>
      <c r="Q2379" t="s">
        <v>5085</v>
      </c>
    </row>
    <row r="2380" spans="1:17" x14ac:dyDescent="0.3">
      <c r="A2380" t="s">
        <v>4708</v>
      </c>
      <c r="B2380" t="str">
        <f>"000596"</f>
        <v>000596</v>
      </c>
      <c r="C2380" t="s">
        <v>5086</v>
      </c>
      <c r="D2380" t="s">
        <v>458</v>
      </c>
      <c r="P2380">
        <v>53678</v>
      </c>
      <c r="Q2380" t="s">
        <v>5087</v>
      </c>
    </row>
    <row r="2381" spans="1:17" x14ac:dyDescent="0.3">
      <c r="A2381" t="s">
        <v>4708</v>
      </c>
      <c r="B2381" t="str">
        <f>"000597"</f>
        <v>000597</v>
      </c>
      <c r="C2381" t="s">
        <v>5088</v>
      </c>
      <c r="D2381" t="s">
        <v>143</v>
      </c>
      <c r="P2381">
        <v>131</v>
      </c>
      <c r="Q2381" t="s">
        <v>5089</v>
      </c>
    </row>
    <row r="2382" spans="1:17" x14ac:dyDescent="0.3">
      <c r="A2382" t="s">
        <v>4708</v>
      </c>
      <c r="B2382" t="str">
        <f>"000598"</f>
        <v>000598</v>
      </c>
      <c r="C2382" t="s">
        <v>5090</v>
      </c>
      <c r="D2382" t="s">
        <v>33</v>
      </c>
      <c r="P2382">
        <v>444</v>
      </c>
      <c r="Q2382" t="s">
        <v>5091</v>
      </c>
    </row>
    <row r="2383" spans="1:17" x14ac:dyDescent="0.3">
      <c r="A2383" t="s">
        <v>4708</v>
      </c>
      <c r="B2383" t="str">
        <f>"000599"</f>
        <v>000599</v>
      </c>
      <c r="C2383" t="s">
        <v>5092</v>
      </c>
      <c r="D2383" t="s">
        <v>422</v>
      </c>
      <c r="P2383">
        <v>119</v>
      </c>
      <c r="Q2383" t="s">
        <v>5093</v>
      </c>
    </row>
    <row r="2384" spans="1:17" x14ac:dyDescent="0.3">
      <c r="A2384" t="s">
        <v>4708</v>
      </c>
      <c r="B2384" t="str">
        <f>"000600"</f>
        <v>000600</v>
      </c>
      <c r="C2384" t="s">
        <v>5094</v>
      </c>
      <c r="D2384" t="s">
        <v>41</v>
      </c>
      <c r="P2384">
        <v>312</v>
      </c>
      <c r="Q2384" t="s">
        <v>5095</v>
      </c>
    </row>
    <row r="2385" spans="1:17" x14ac:dyDescent="0.3">
      <c r="A2385" t="s">
        <v>4708</v>
      </c>
      <c r="B2385" t="str">
        <f>"000601"</f>
        <v>000601</v>
      </c>
      <c r="C2385" t="s">
        <v>5096</v>
      </c>
      <c r="D2385" t="s">
        <v>66</v>
      </c>
      <c r="P2385">
        <v>215</v>
      </c>
      <c r="Q2385" t="s">
        <v>5097</v>
      </c>
    </row>
    <row r="2386" spans="1:17" x14ac:dyDescent="0.3">
      <c r="A2386" t="s">
        <v>4708</v>
      </c>
      <c r="B2386" t="str">
        <f>"000602"</f>
        <v>000602</v>
      </c>
      <c r="C2386" t="s">
        <v>5098</v>
      </c>
      <c r="P2386">
        <v>5</v>
      </c>
      <c r="Q2386" t="s">
        <v>5099</v>
      </c>
    </row>
    <row r="2387" spans="1:17" x14ac:dyDescent="0.3">
      <c r="A2387" t="s">
        <v>4708</v>
      </c>
      <c r="B2387" t="str">
        <f>"000603"</f>
        <v>000603</v>
      </c>
      <c r="C2387" t="s">
        <v>5100</v>
      </c>
      <c r="D2387" t="s">
        <v>744</v>
      </c>
      <c r="P2387">
        <v>351</v>
      </c>
      <c r="Q2387" t="s">
        <v>5101</v>
      </c>
    </row>
    <row r="2388" spans="1:17" x14ac:dyDescent="0.3">
      <c r="A2388" t="s">
        <v>4708</v>
      </c>
      <c r="B2388" t="str">
        <f>"000605"</f>
        <v>000605</v>
      </c>
      <c r="C2388" t="s">
        <v>5102</v>
      </c>
      <c r="D2388" t="s">
        <v>33</v>
      </c>
      <c r="P2388">
        <v>85</v>
      </c>
      <c r="Q2388" t="s">
        <v>5103</v>
      </c>
    </row>
    <row r="2389" spans="1:17" x14ac:dyDescent="0.3">
      <c r="A2389" t="s">
        <v>4708</v>
      </c>
      <c r="B2389" t="str">
        <f>"000606"</f>
        <v>000606</v>
      </c>
      <c r="C2389" t="s">
        <v>5104</v>
      </c>
      <c r="D2389" t="s">
        <v>316</v>
      </c>
      <c r="P2389">
        <v>99</v>
      </c>
      <c r="Q2389" t="s">
        <v>5105</v>
      </c>
    </row>
    <row r="2390" spans="1:17" x14ac:dyDescent="0.3">
      <c r="A2390" t="s">
        <v>4708</v>
      </c>
      <c r="B2390" t="str">
        <f>"000607"</f>
        <v>000607</v>
      </c>
      <c r="C2390" t="s">
        <v>5106</v>
      </c>
      <c r="D2390" t="s">
        <v>5107</v>
      </c>
      <c r="P2390">
        <v>109</v>
      </c>
      <c r="Q2390" t="s">
        <v>5108</v>
      </c>
    </row>
    <row r="2391" spans="1:17" x14ac:dyDescent="0.3">
      <c r="A2391" t="s">
        <v>4708</v>
      </c>
      <c r="B2391" t="str">
        <f>"000608"</f>
        <v>000608</v>
      </c>
      <c r="C2391" t="s">
        <v>5109</v>
      </c>
      <c r="D2391" t="s">
        <v>30</v>
      </c>
      <c r="P2391">
        <v>102</v>
      </c>
      <c r="Q2391" t="s">
        <v>5110</v>
      </c>
    </row>
    <row r="2392" spans="1:17" x14ac:dyDescent="0.3">
      <c r="A2392" t="s">
        <v>4708</v>
      </c>
      <c r="B2392" t="str">
        <f>"000609"</f>
        <v>000609</v>
      </c>
      <c r="C2392" t="s">
        <v>5111</v>
      </c>
      <c r="D2392" t="s">
        <v>104</v>
      </c>
      <c r="P2392">
        <v>95</v>
      </c>
      <c r="Q2392" t="s">
        <v>5112</v>
      </c>
    </row>
    <row r="2393" spans="1:17" x14ac:dyDescent="0.3">
      <c r="A2393" t="s">
        <v>4708</v>
      </c>
      <c r="B2393" t="str">
        <f>"000610"</f>
        <v>000610</v>
      </c>
      <c r="C2393" t="s">
        <v>5113</v>
      </c>
      <c r="D2393" t="s">
        <v>590</v>
      </c>
      <c r="P2393">
        <v>152</v>
      </c>
      <c r="Q2393" t="s">
        <v>5114</v>
      </c>
    </row>
    <row r="2394" spans="1:17" x14ac:dyDescent="0.3">
      <c r="A2394" t="s">
        <v>4708</v>
      </c>
      <c r="B2394" t="str">
        <f>"000611"</f>
        <v>000611</v>
      </c>
      <c r="C2394" t="s">
        <v>5115</v>
      </c>
      <c r="D2394" t="s">
        <v>292</v>
      </c>
      <c r="P2394">
        <v>68</v>
      </c>
      <c r="Q2394" t="s">
        <v>5116</v>
      </c>
    </row>
    <row r="2395" spans="1:17" x14ac:dyDescent="0.3">
      <c r="A2395" t="s">
        <v>4708</v>
      </c>
      <c r="B2395" t="str">
        <f>"000612"</f>
        <v>000612</v>
      </c>
      <c r="C2395" t="s">
        <v>5117</v>
      </c>
      <c r="D2395" t="s">
        <v>504</v>
      </c>
      <c r="P2395">
        <v>199</v>
      </c>
      <c r="Q2395" t="s">
        <v>5118</v>
      </c>
    </row>
    <row r="2396" spans="1:17" x14ac:dyDescent="0.3">
      <c r="A2396" t="s">
        <v>4708</v>
      </c>
      <c r="B2396" t="str">
        <f>"000613"</f>
        <v>000613</v>
      </c>
      <c r="C2396" t="s">
        <v>5119</v>
      </c>
      <c r="D2396" t="s">
        <v>590</v>
      </c>
      <c r="P2396">
        <v>100</v>
      </c>
      <c r="Q2396" t="s">
        <v>5120</v>
      </c>
    </row>
    <row r="2397" spans="1:17" x14ac:dyDescent="0.3">
      <c r="A2397" t="s">
        <v>4708</v>
      </c>
      <c r="B2397" t="str">
        <f>"000615"</f>
        <v>000615</v>
      </c>
      <c r="C2397" t="s">
        <v>5121</v>
      </c>
      <c r="D2397" t="s">
        <v>5122</v>
      </c>
      <c r="P2397">
        <v>188</v>
      </c>
      <c r="Q2397" t="s">
        <v>5123</v>
      </c>
    </row>
    <row r="2398" spans="1:17" x14ac:dyDescent="0.3">
      <c r="A2398" t="s">
        <v>4708</v>
      </c>
      <c r="B2398" t="str">
        <f>"000616"</f>
        <v>000616</v>
      </c>
      <c r="C2398" t="s">
        <v>5124</v>
      </c>
      <c r="D2398" t="s">
        <v>104</v>
      </c>
      <c r="P2398">
        <v>140</v>
      </c>
      <c r="Q2398" t="s">
        <v>5125</v>
      </c>
    </row>
    <row r="2399" spans="1:17" x14ac:dyDescent="0.3">
      <c r="A2399" t="s">
        <v>4708</v>
      </c>
      <c r="B2399" t="str">
        <f>"000617"</f>
        <v>000617</v>
      </c>
      <c r="C2399" t="s">
        <v>5126</v>
      </c>
      <c r="D2399" t="s">
        <v>140</v>
      </c>
      <c r="P2399">
        <v>234</v>
      </c>
      <c r="Q2399" t="s">
        <v>5127</v>
      </c>
    </row>
    <row r="2400" spans="1:17" x14ac:dyDescent="0.3">
      <c r="A2400" t="s">
        <v>4708</v>
      </c>
      <c r="B2400" t="str">
        <f>"000619"</f>
        <v>000619</v>
      </c>
      <c r="C2400" t="s">
        <v>5128</v>
      </c>
      <c r="D2400" t="s">
        <v>722</v>
      </c>
      <c r="P2400">
        <v>98</v>
      </c>
      <c r="Q2400" t="s">
        <v>5129</v>
      </c>
    </row>
    <row r="2401" spans="1:17" x14ac:dyDescent="0.3">
      <c r="A2401" t="s">
        <v>4708</v>
      </c>
      <c r="B2401" t="str">
        <f>"000620"</f>
        <v>000620</v>
      </c>
      <c r="C2401" t="s">
        <v>5130</v>
      </c>
      <c r="D2401" t="s">
        <v>104</v>
      </c>
      <c r="P2401">
        <v>298</v>
      </c>
      <c r="Q2401" t="s">
        <v>5131</v>
      </c>
    </row>
    <row r="2402" spans="1:17" x14ac:dyDescent="0.3">
      <c r="A2402" t="s">
        <v>4708</v>
      </c>
      <c r="B2402" t="str">
        <f>"000622"</f>
        <v>000622</v>
      </c>
      <c r="C2402" t="s">
        <v>5132</v>
      </c>
      <c r="D2402" t="s">
        <v>110</v>
      </c>
      <c r="P2402">
        <v>101</v>
      </c>
      <c r="Q2402" t="s">
        <v>5133</v>
      </c>
    </row>
    <row r="2403" spans="1:17" x14ac:dyDescent="0.3">
      <c r="A2403" t="s">
        <v>4708</v>
      </c>
      <c r="B2403" t="str">
        <f>"000623"</f>
        <v>000623</v>
      </c>
      <c r="C2403" t="s">
        <v>5134</v>
      </c>
      <c r="D2403" t="s">
        <v>143</v>
      </c>
      <c r="P2403">
        <v>671</v>
      </c>
      <c r="Q2403" t="s">
        <v>5135</v>
      </c>
    </row>
    <row r="2404" spans="1:17" x14ac:dyDescent="0.3">
      <c r="A2404" t="s">
        <v>4708</v>
      </c>
      <c r="B2404" t="str">
        <f>"000625"</f>
        <v>000625</v>
      </c>
      <c r="C2404" t="s">
        <v>5136</v>
      </c>
      <c r="D2404" t="s">
        <v>247</v>
      </c>
      <c r="P2404">
        <v>3098</v>
      </c>
      <c r="Q2404" t="s">
        <v>5137</v>
      </c>
    </row>
    <row r="2405" spans="1:17" x14ac:dyDescent="0.3">
      <c r="A2405" t="s">
        <v>4708</v>
      </c>
      <c r="B2405" t="str">
        <f>"000626"</f>
        <v>000626</v>
      </c>
      <c r="C2405" t="s">
        <v>5138</v>
      </c>
      <c r="D2405" t="s">
        <v>128</v>
      </c>
      <c r="P2405">
        <v>125</v>
      </c>
      <c r="Q2405" t="s">
        <v>5139</v>
      </c>
    </row>
    <row r="2406" spans="1:17" x14ac:dyDescent="0.3">
      <c r="A2406" t="s">
        <v>4708</v>
      </c>
      <c r="B2406" t="str">
        <f>"000627"</f>
        <v>000627</v>
      </c>
      <c r="C2406" t="s">
        <v>5140</v>
      </c>
      <c r="D2406" t="s">
        <v>660</v>
      </c>
      <c r="P2406">
        <v>288</v>
      </c>
      <c r="Q2406" t="s">
        <v>5141</v>
      </c>
    </row>
    <row r="2407" spans="1:17" x14ac:dyDescent="0.3">
      <c r="A2407" t="s">
        <v>4708</v>
      </c>
      <c r="B2407" t="str">
        <f>"000628"</f>
        <v>000628</v>
      </c>
      <c r="C2407" t="s">
        <v>5142</v>
      </c>
      <c r="D2407" t="s">
        <v>398</v>
      </c>
      <c r="P2407">
        <v>127</v>
      </c>
      <c r="Q2407" t="s">
        <v>5143</v>
      </c>
    </row>
    <row r="2408" spans="1:17" x14ac:dyDescent="0.3">
      <c r="A2408" t="s">
        <v>4708</v>
      </c>
      <c r="B2408" t="str">
        <f>"000629"</f>
        <v>000629</v>
      </c>
      <c r="C2408" t="s">
        <v>5144</v>
      </c>
      <c r="D2408" t="s">
        <v>669</v>
      </c>
      <c r="P2408">
        <v>335</v>
      </c>
      <c r="Q2408" t="s">
        <v>5145</v>
      </c>
    </row>
    <row r="2409" spans="1:17" x14ac:dyDescent="0.3">
      <c r="A2409" t="s">
        <v>4708</v>
      </c>
      <c r="B2409" t="str">
        <f>"000630"</f>
        <v>000630</v>
      </c>
      <c r="C2409" t="s">
        <v>5146</v>
      </c>
      <c r="D2409" t="s">
        <v>263</v>
      </c>
      <c r="P2409">
        <v>464</v>
      </c>
      <c r="Q2409" t="s">
        <v>5147</v>
      </c>
    </row>
    <row r="2410" spans="1:17" x14ac:dyDescent="0.3">
      <c r="A2410" t="s">
        <v>4708</v>
      </c>
      <c r="B2410" t="str">
        <f>"000631"</f>
        <v>000631</v>
      </c>
      <c r="C2410" t="s">
        <v>5148</v>
      </c>
      <c r="D2410" t="s">
        <v>104</v>
      </c>
      <c r="P2410">
        <v>359</v>
      </c>
      <c r="Q2410" t="s">
        <v>5149</v>
      </c>
    </row>
    <row r="2411" spans="1:17" x14ac:dyDescent="0.3">
      <c r="A2411" t="s">
        <v>4708</v>
      </c>
      <c r="B2411" t="str">
        <f>"000632"</f>
        <v>000632</v>
      </c>
      <c r="C2411" t="s">
        <v>5150</v>
      </c>
      <c r="D2411" t="s">
        <v>110</v>
      </c>
      <c r="P2411">
        <v>69</v>
      </c>
      <c r="Q2411" t="s">
        <v>5151</v>
      </c>
    </row>
    <row r="2412" spans="1:17" x14ac:dyDescent="0.3">
      <c r="A2412" t="s">
        <v>4708</v>
      </c>
      <c r="B2412" t="str">
        <f>"000633"</f>
        <v>000633</v>
      </c>
      <c r="C2412" t="s">
        <v>5152</v>
      </c>
      <c r="D2412" t="s">
        <v>581</v>
      </c>
      <c r="P2412">
        <v>72</v>
      </c>
      <c r="Q2412" t="s">
        <v>5153</v>
      </c>
    </row>
    <row r="2413" spans="1:17" x14ac:dyDescent="0.3">
      <c r="A2413" t="s">
        <v>4708</v>
      </c>
      <c r="B2413" t="str">
        <f>"000635"</f>
        <v>000635</v>
      </c>
      <c r="C2413" t="s">
        <v>5154</v>
      </c>
      <c r="D2413" t="s">
        <v>175</v>
      </c>
      <c r="P2413">
        <v>135</v>
      </c>
      <c r="Q2413" t="s">
        <v>5155</v>
      </c>
    </row>
    <row r="2414" spans="1:17" x14ac:dyDescent="0.3">
      <c r="A2414" t="s">
        <v>4708</v>
      </c>
      <c r="B2414" t="str">
        <f>"000636"</f>
        <v>000636</v>
      </c>
      <c r="C2414" t="s">
        <v>5156</v>
      </c>
      <c r="D2414" t="s">
        <v>546</v>
      </c>
      <c r="P2414">
        <v>896</v>
      </c>
      <c r="Q2414" t="s">
        <v>5157</v>
      </c>
    </row>
    <row r="2415" spans="1:17" x14ac:dyDescent="0.3">
      <c r="A2415" t="s">
        <v>4708</v>
      </c>
      <c r="B2415" t="str">
        <f>"000637"</f>
        <v>000637</v>
      </c>
      <c r="C2415" t="s">
        <v>5158</v>
      </c>
      <c r="D2415" t="s">
        <v>1615</v>
      </c>
      <c r="P2415">
        <v>93</v>
      </c>
      <c r="Q2415" t="s">
        <v>5159</v>
      </c>
    </row>
    <row r="2416" spans="1:17" x14ac:dyDescent="0.3">
      <c r="A2416" t="s">
        <v>4708</v>
      </c>
      <c r="B2416" t="str">
        <f>"000638"</f>
        <v>000638</v>
      </c>
      <c r="C2416" t="s">
        <v>5160</v>
      </c>
      <c r="D2416" t="s">
        <v>316</v>
      </c>
      <c r="P2416">
        <v>87</v>
      </c>
      <c r="Q2416" t="s">
        <v>5161</v>
      </c>
    </row>
    <row r="2417" spans="1:17" x14ac:dyDescent="0.3">
      <c r="A2417" t="s">
        <v>4708</v>
      </c>
      <c r="B2417" t="str">
        <f>"000639"</f>
        <v>000639</v>
      </c>
      <c r="C2417" t="s">
        <v>5162</v>
      </c>
      <c r="D2417" t="s">
        <v>306</v>
      </c>
      <c r="P2417">
        <v>328</v>
      </c>
      <c r="Q2417" t="s">
        <v>5163</v>
      </c>
    </row>
    <row r="2418" spans="1:17" x14ac:dyDescent="0.3">
      <c r="A2418" t="s">
        <v>4708</v>
      </c>
      <c r="B2418" t="str">
        <f>"000650"</f>
        <v>000650</v>
      </c>
      <c r="C2418" t="s">
        <v>5164</v>
      </c>
      <c r="D2418" t="s">
        <v>188</v>
      </c>
      <c r="P2418">
        <v>888</v>
      </c>
      <c r="Q2418" t="s">
        <v>5165</v>
      </c>
    </row>
    <row r="2419" spans="1:17" x14ac:dyDescent="0.3">
      <c r="A2419" t="s">
        <v>4708</v>
      </c>
      <c r="B2419" t="str">
        <f>"000651"</f>
        <v>000651</v>
      </c>
      <c r="C2419" t="s">
        <v>5166</v>
      </c>
      <c r="D2419" t="s">
        <v>1723</v>
      </c>
      <c r="P2419">
        <v>55062</v>
      </c>
      <c r="Q2419" t="s">
        <v>5167</v>
      </c>
    </row>
    <row r="2420" spans="1:17" x14ac:dyDescent="0.3">
      <c r="A2420" t="s">
        <v>4708</v>
      </c>
      <c r="B2420" t="str">
        <f>"000652"</f>
        <v>000652</v>
      </c>
      <c r="C2420" t="s">
        <v>5168</v>
      </c>
      <c r="D2420" t="s">
        <v>110</v>
      </c>
      <c r="P2420">
        <v>196</v>
      </c>
      <c r="Q2420" t="s">
        <v>5169</v>
      </c>
    </row>
    <row r="2421" spans="1:17" x14ac:dyDescent="0.3">
      <c r="A2421" t="s">
        <v>4708</v>
      </c>
      <c r="B2421" t="str">
        <f>"000655"</f>
        <v>000655</v>
      </c>
      <c r="C2421" t="s">
        <v>5170</v>
      </c>
      <c r="D2421" t="s">
        <v>2369</v>
      </c>
      <c r="P2421">
        <v>145</v>
      </c>
      <c r="Q2421" t="s">
        <v>5171</v>
      </c>
    </row>
    <row r="2422" spans="1:17" x14ac:dyDescent="0.3">
      <c r="A2422" t="s">
        <v>4708</v>
      </c>
      <c r="B2422" t="str">
        <f>"000656"</f>
        <v>000656</v>
      </c>
      <c r="C2422" t="s">
        <v>5172</v>
      </c>
      <c r="D2422" t="s">
        <v>104</v>
      </c>
      <c r="P2422">
        <v>1065</v>
      </c>
      <c r="Q2422" t="s">
        <v>5173</v>
      </c>
    </row>
    <row r="2423" spans="1:17" x14ac:dyDescent="0.3">
      <c r="A2423" t="s">
        <v>4708</v>
      </c>
      <c r="B2423" t="str">
        <f>"000657"</f>
        <v>000657</v>
      </c>
      <c r="C2423" t="s">
        <v>5174</v>
      </c>
      <c r="D2423" t="s">
        <v>1110</v>
      </c>
      <c r="P2423">
        <v>177</v>
      </c>
      <c r="Q2423" t="s">
        <v>5175</v>
      </c>
    </row>
    <row r="2424" spans="1:17" x14ac:dyDescent="0.3">
      <c r="A2424" t="s">
        <v>4708</v>
      </c>
      <c r="B2424" t="str">
        <f>"000658"</f>
        <v>000658</v>
      </c>
      <c r="C2424" t="s">
        <v>5176</v>
      </c>
      <c r="P2424">
        <v>5</v>
      </c>
      <c r="Q2424" t="s">
        <v>5177</v>
      </c>
    </row>
    <row r="2425" spans="1:17" x14ac:dyDescent="0.3">
      <c r="A2425" t="s">
        <v>4708</v>
      </c>
      <c r="B2425" t="str">
        <f>"000659"</f>
        <v>000659</v>
      </c>
      <c r="C2425" t="s">
        <v>5178</v>
      </c>
      <c r="D2425" t="s">
        <v>485</v>
      </c>
      <c r="P2425">
        <v>77</v>
      </c>
      <c r="Q2425" t="s">
        <v>5179</v>
      </c>
    </row>
    <row r="2426" spans="1:17" x14ac:dyDescent="0.3">
      <c r="A2426" t="s">
        <v>4708</v>
      </c>
      <c r="B2426" t="str">
        <f>"000660"</f>
        <v>000660</v>
      </c>
      <c r="C2426" t="s">
        <v>5180</v>
      </c>
      <c r="P2426">
        <v>6</v>
      </c>
      <c r="Q2426" t="s">
        <v>5181</v>
      </c>
    </row>
    <row r="2427" spans="1:17" x14ac:dyDescent="0.3">
      <c r="A2427" t="s">
        <v>4708</v>
      </c>
      <c r="B2427" t="str">
        <f>"000661"</f>
        <v>000661</v>
      </c>
      <c r="C2427" t="s">
        <v>5182</v>
      </c>
      <c r="D2427" t="s">
        <v>1379</v>
      </c>
      <c r="P2427">
        <v>59935</v>
      </c>
      <c r="Q2427" t="s">
        <v>5183</v>
      </c>
    </row>
    <row r="2428" spans="1:17" x14ac:dyDescent="0.3">
      <c r="A2428" t="s">
        <v>4708</v>
      </c>
      <c r="B2428" t="str">
        <f>"000662"</f>
        <v>000662</v>
      </c>
      <c r="C2428" t="s">
        <v>5184</v>
      </c>
      <c r="P2428">
        <v>146</v>
      </c>
      <c r="Q2428" t="s">
        <v>5185</v>
      </c>
    </row>
    <row r="2429" spans="1:17" x14ac:dyDescent="0.3">
      <c r="A2429" t="s">
        <v>4708</v>
      </c>
      <c r="B2429" t="str">
        <f>"000663"</f>
        <v>000663</v>
      </c>
      <c r="C2429" t="s">
        <v>5186</v>
      </c>
      <c r="D2429" t="s">
        <v>2655</v>
      </c>
      <c r="P2429">
        <v>93</v>
      </c>
      <c r="Q2429" t="s">
        <v>5187</v>
      </c>
    </row>
    <row r="2430" spans="1:17" x14ac:dyDescent="0.3">
      <c r="A2430" t="s">
        <v>4708</v>
      </c>
      <c r="B2430" t="str">
        <f>"000665"</f>
        <v>000665</v>
      </c>
      <c r="C2430" t="s">
        <v>5188</v>
      </c>
      <c r="D2430" t="s">
        <v>95</v>
      </c>
      <c r="P2430">
        <v>221</v>
      </c>
      <c r="Q2430" t="s">
        <v>5189</v>
      </c>
    </row>
    <row r="2431" spans="1:17" x14ac:dyDescent="0.3">
      <c r="A2431" t="s">
        <v>4708</v>
      </c>
      <c r="B2431" t="str">
        <f>"000666"</f>
        <v>000666</v>
      </c>
      <c r="C2431" t="s">
        <v>5190</v>
      </c>
      <c r="D2431" t="s">
        <v>1649</v>
      </c>
      <c r="P2431">
        <v>186</v>
      </c>
      <c r="Q2431" t="s">
        <v>5191</v>
      </c>
    </row>
    <row r="2432" spans="1:17" x14ac:dyDescent="0.3">
      <c r="A2432" t="s">
        <v>4708</v>
      </c>
      <c r="B2432" t="str">
        <f>"000667"</f>
        <v>000667</v>
      </c>
      <c r="C2432" t="s">
        <v>5192</v>
      </c>
      <c r="D2432" t="s">
        <v>104</v>
      </c>
      <c r="P2432">
        <v>169</v>
      </c>
      <c r="Q2432" t="s">
        <v>5193</v>
      </c>
    </row>
    <row r="2433" spans="1:17" x14ac:dyDescent="0.3">
      <c r="A2433" t="s">
        <v>4708</v>
      </c>
      <c r="B2433" t="str">
        <f>"000668"</f>
        <v>000668</v>
      </c>
      <c r="C2433" t="s">
        <v>5194</v>
      </c>
      <c r="D2433" t="s">
        <v>104</v>
      </c>
      <c r="P2433">
        <v>96</v>
      </c>
      <c r="Q2433" t="s">
        <v>5195</v>
      </c>
    </row>
    <row r="2434" spans="1:17" x14ac:dyDescent="0.3">
      <c r="A2434" t="s">
        <v>4708</v>
      </c>
      <c r="B2434" t="str">
        <f>"000669"</f>
        <v>000669</v>
      </c>
      <c r="C2434" t="s">
        <v>5196</v>
      </c>
      <c r="D2434" t="s">
        <v>749</v>
      </c>
      <c r="P2434">
        <v>83</v>
      </c>
      <c r="Q2434" t="s">
        <v>5197</v>
      </c>
    </row>
    <row r="2435" spans="1:17" x14ac:dyDescent="0.3">
      <c r="A2435" t="s">
        <v>4708</v>
      </c>
      <c r="B2435" t="str">
        <f>"000670"</f>
        <v>000670</v>
      </c>
      <c r="C2435" t="s">
        <v>5198</v>
      </c>
      <c r="D2435" t="s">
        <v>461</v>
      </c>
      <c r="P2435">
        <v>116</v>
      </c>
      <c r="Q2435" t="s">
        <v>5199</v>
      </c>
    </row>
    <row r="2436" spans="1:17" x14ac:dyDescent="0.3">
      <c r="A2436" t="s">
        <v>4708</v>
      </c>
      <c r="B2436" t="str">
        <f>"000671"</f>
        <v>000671</v>
      </c>
      <c r="C2436" t="s">
        <v>5200</v>
      </c>
      <c r="D2436" t="s">
        <v>104</v>
      </c>
      <c r="P2436">
        <v>1192</v>
      </c>
      <c r="Q2436" t="s">
        <v>5201</v>
      </c>
    </row>
    <row r="2437" spans="1:17" x14ac:dyDescent="0.3">
      <c r="A2437" t="s">
        <v>4708</v>
      </c>
      <c r="B2437" t="str">
        <f>"000672"</f>
        <v>000672</v>
      </c>
      <c r="C2437" t="s">
        <v>5202</v>
      </c>
      <c r="D2437" t="s">
        <v>731</v>
      </c>
      <c r="P2437">
        <v>1263</v>
      </c>
      <c r="Q2437" t="s">
        <v>5203</v>
      </c>
    </row>
    <row r="2438" spans="1:17" x14ac:dyDescent="0.3">
      <c r="A2438" t="s">
        <v>4708</v>
      </c>
      <c r="B2438" t="str">
        <f>"000673"</f>
        <v>000673</v>
      </c>
      <c r="C2438" t="s">
        <v>5204</v>
      </c>
      <c r="D2438" t="s">
        <v>113</v>
      </c>
      <c r="P2438">
        <v>90</v>
      </c>
      <c r="Q2438" t="s">
        <v>5205</v>
      </c>
    </row>
    <row r="2439" spans="1:17" x14ac:dyDescent="0.3">
      <c r="A2439" t="s">
        <v>4708</v>
      </c>
      <c r="B2439" t="str">
        <f>"000675"</f>
        <v>000675</v>
      </c>
      <c r="C2439" t="s">
        <v>5206</v>
      </c>
      <c r="P2439">
        <v>5</v>
      </c>
      <c r="Q2439" t="s">
        <v>5207</v>
      </c>
    </row>
    <row r="2440" spans="1:17" x14ac:dyDescent="0.3">
      <c r="A2440" t="s">
        <v>4708</v>
      </c>
      <c r="B2440" t="str">
        <f>"000676"</f>
        <v>000676</v>
      </c>
      <c r="C2440" t="s">
        <v>5208</v>
      </c>
      <c r="D2440" t="s">
        <v>207</v>
      </c>
      <c r="P2440">
        <v>215</v>
      </c>
      <c r="Q2440" t="s">
        <v>5209</v>
      </c>
    </row>
    <row r="2441" spans="1:17" x14ac:dyDescent="0.3">
      <c r="A2441" t="s">
        <v>4708</v>
      </c>
      <c r="B2441" t="str">
        <f>"000677"</f>
        <v>000677</v>
      </c>
      <c r="C2441" t="s">
        <v>5210</v>
      </c>
      <c r="D2441" t="s">
        <v>888</v>
      </c>
      <c r="P2441">
        <v>80</v>
      </c>
      <c r="Q2441" t="s">
        <v>5211</v>
      </c>
    </row>
    <row r="2442" spans="1:17" x14ac:dyDescent="0.3">
      <c r="A2442" t="s">
        <v>4708</v>
      </c>
      <c r="B2442" t="str">
        <f>"000678"</f>
        <v>000678</v>
      </c>
      <c r="C2442" t="s">
        <v>5212</v>
      </c>
      <c r="D2442" t="s">
        <v>348</v>
      </c>
      <c r="P2442">
        <v>71</v>
      </c>
      <c r="Q2442" t="s">
        <v>5213</v>
      </c>
    </row>
    <row r="2443" spans="1:17" x14ac:dyDescent="0.3">
      <c r="A2443" t="s">
        <v>4708</v>
      </c>
      <c r="B2443" t="str">
        <f>"000679"</f>
        <v>000679</v>
      </c>
      <c r="C2443" t="s">
        <v>5214</v>
      </c>
      <c r="D2443" t="s">
        <v>1404</v>
      </c>
      <c r="P2443">
        <v>83</v>
      </c>
      <c r="Q2443" t="s">
        <v>5215</v>
      </c>
    </row>
    <row r="2444" spans="1:17" x14ac:dyDescent="0.3">
      <c r="A2444" t="s">
        <v>4708</v>
      </c>
      <c r="B2444" t="str">
        <f>"000680"</f>
        <v>000680</v>
      </c>
      <c r="C2444" t="s">
        <v>5216</v>
      </c>
      <c r="D2444" t="s">
        <v>83</v>
      </c>
      <c r="P2444">
        <v>120</v>
      </c>
      <c r="Q2444" t="s">
        <v>5217</v>
      </c>
    </row>
    <row r="2445" spans="1:17" x14ac:dyDescent="0.3">
      <c r="A2445" t="s">
        <v>4708</v>
      </c>
      <c r="B2445" t="str">
        <f>"000681"</f>
        <v>000681</v>
      </c>
      <c r="C2445" t="s">
        <v>5218</v>
      </c>
      <c r="D2445" t="s">
        <v>5219</v>
      </c>
      <c r="P2445">
        <v>449</v>
      </c>
      <c r="Q2445" t="s">
        <v>5220</v>
      </c>
    </row>
    <row r="2446" spans="1:17" x14ac:dyDescent="0.3">
      <c r="A2446" t="s">
        <v>4708</v>
      </c>
      <c r="B2446" t="str">
        <f>"000682"</f>
        <v>000682</v>
      </c>
      <c r="C2446" t="s">
        <v>5221</v>
      </c>
      <c r="D2446" t="s">
        <v>610</v>
      </c>
      <c r="P2446">
        <v>156</v>
      </c>
      <c r="Q2446" t="s">
        <v>5222</v>
      </c>
    </row>
    <row r="2447" spans="1:17" x14ac:dyDescent="0.3">
      <c r="A2447" t="s">
        <v>4708</v>
      </c>
      <c r="B2447" t="str">
        <f>"000683"</f>
        <v>000683</v>
      </c>
      <c r="C2447" t="s">
        <v>5223</v>
      </c>
      <c r="D2447" t="s">
        <v>2522</v>
      </c>
      <c r="P2447">
        <v>314</v>
      </c>
      <c r="Q2447" t="s">
        <v>5224</v>
      </c>
    </row>
    <row r="2448" spans="1:17" x14ac:dyDescent="0.3">
      <c r="A2448" t="s">
        <v>4708</v>
      </c>
      <c r="B2448" t="str">
        <f>"000685"</f>
        <v>000685</v>
      </c>
      <c r="C2448" t="s">
        <v>5225</v>
      </c>
      <c r="D2448" t="s">
        <v>33</v>
      </c>
      <c r="P2448">
        <v>511</v>
      </c>
      <c r="Q2448" t="s">
        <v>5226</v>
      </c>
    </row>
    <row r="2449" spans="1:17" x14ac:dyDescent="0.3">
      <c r="A2449" t="s">
        <v>4708</v>
      </c>
      <c r="B2449" t="str">
        <f>"000686"</f>
        <v>000686</v>
      </c>
      <c r="C2449" t="s">
        <v>5227</v>
      </c>
      <c r="D2449" t="s">
        <v>80</v>
      </c>
      <c r="P2449">
        <v>888</v>
      </c>
      <c r="Q2449" t="s">
        <v>5228</v>
      </c>
    </row>
    <row r="2450" spans="1:17" x14ac:dyDescent="0.3">
      <c r="A2450" t="s">
        <v>4708</v>
      </c>
      <c r="B2450" t="str">
        <f>"000687"</f>
        <v>000687</v>
      </c>
      <c r="C2450" t="s">
        <v>5229</v>
      </c>
      <c r="D2450" t="s">
        <v>98</v>
      </c>
      <c r="P2450">
        <v>86</v>
      </c>
      <c r="Q2450" t="s">
        <v>5230</v>
      </c>
    </row>
    <row r="2451" spans="1:17" x14ac:dyDescent="0.3">
      <c r="A2451" t="s">
        <v>4708</v>
      </c>
      <c r="B2451" t="str">
        <f>"000688"</f>
        <v>000688</v>
      </c>
      <c r="C2451" t="s">
        <v>5231</v>
      </c>
      <c r="D2451" t="s">
        <v>744</v>
      </c>
      <c r="P2451">
        <v>197</v>
      </c>
      <c r="Q2451" t="s">
        <v>5232</v>
      </c>
    </row>
    <row r="2452" spans="1:17" x14ac:dyDescent="0.3">
      <c r="A2452" t="s">
        <v>4708</v>
      </c>
      <c r="B2452" t="str">
        <f>"000689"</f>
        <v>000689</v>
      </c>
      <c r="C2452" t="s">
        <v>5233</v>
      </c>
      <c r="P2452">
        <v>5</v>
      </c>
      <c r="Q2452" t="s">
        <v>5234</v>
      </c>
    </row>
    <row r="2453" spans="1:17" x14ac:dyDescent="0.3">
      <c r="A2453" t="s">
        <v>4708</v>
      </c>
      <c r="B2453" t="str">
        <f>"000690"</f>
        <v>000690</v>
      </c>
      <c r="C2453" t="s">
        <v>5235</v>
      </c>
      <c r="D2453" t="s">
        <v>41</v>
      </c>
      <c r="P2453">
        <v>643</v>
      </c>
      <c r="Q2453" t="s">
        <v>5236</v>
      </c>
    </row>
    <row r="2454" spans="1:17" x14ac:dyDescent="0.3">
      <c r="A2454" t="s">
        <v>4708</v>
      </c>
      <c r="B2454" t="str">
        <f>"000691"</f>
        <v>000691</v>
      </c>
      <c r="C2454" t="s">
        <v>5237</v>
      </c>
      <c r="D2454" t="s">
        <v>104</v>
      </c>
      <c r="P2454">
        <v>91</v>
      </c>
      <c r="Q2454" t="s">
        <v>5238</v>
      </c>
    </row>
    <row r="2455" spans="1:17" x14ac:dyDescent="0.3">
      <c r="A2455" t="s">
        <v>4708</v>
      </c>
      <c r="B2455" t="str">
        <f>"000692"</f>
        <v>000692</v>
      </c>
      <c r="C2455" t="s">
        <v>5239</v>
      </c>
      <c r="D2455" t="s">
        <v>351</v>
      </c>
      <c r="P2455">
        <v>77</v>
      </c>
      <c r="Q2455" t="s">
        <v>5240</v>
      </c>
    </row>
    <row r="2456" spans="1:17" x14ac:dyDescent="0.3">
      <c r="A2456" t="s">
        <v>4708</v>
      </c>
      <c r="B2456" t="str">
        <f>"000693"</f>
        <v>000693</v>
      </c>
      <c r="C2456" t="s">
        <v>5241</v>
      </c>
      <c r="P2456">
        <v>17</v>
      </c>
      <c r="Q2456" t="s">
        <v>5242</v>
      </c>
    </row>
    <row r="2457" spans="1:17" x14ac:dyDescent="0.3">
      <c r="A2457" t="s">
        <v>4708</v>
      </c>
      <c r="B2457" t="str">
        <f>"000695"</f>
        <v>000695</v>
      </c>
      <c r="C2457" t="s">
        <v>5243</v>
      </c>
      <c r="D2457" t="s">
        <v>1692</v>
      </c>
      <c r="P2457">
        <v>82</v>
      </c>
      <c r="Q2457" t="s">
        <v>5244</v>
      </c>
    </row>
    <row r="2458" spans="1:17" x14ac:dyDescent="0.3">
      <c r="A2458" t="s">
        <v>4708</v>
      </c>
      <c r="B2458" t="str">
        <f>"000697"</f>
        <v>000697</v>
      </c>
      <c r="C2458" t="s">
        <v>5245</v>
      </c>
      <c r="D2458" t="s">
        <v>98</v>
      </c>
      <c r="P2458">
        <v>110</v>
      </c>
      <c r="Q2458" t="s">
        <v>5246</v>
      </c>
    </row>
    <row r="2459" spans="1:17" x14ac:dyDescent="0.3">
      <c r="A2459" t="s">
        <v>4708</v>
      </c>
      <c r="B2459" t="str">
        <f>"000698"</f>
        <v>000698</v>
      </c>
      <c r="C2459" t="s">
        <v>5247</v>
      </c>
      <c r="D2459" t="s">
        <v>74</v>
      </c>
      <c r="P2459">
        <v>166</v>
      </c>
      <c r="Q2459" t="s">
        <v>5248</v>
      </c>
    </row>
    <row r="2460" spans="1:17" x14ac:dyDescent="0.3">
      <c r="A2460" t="s">
        <v>4708</v>
      </c>
      <c r="B2460" t="str">
        <f>"000700"</f>
        <v>000700</v>
      </c>
      <c r="C2460" t="s">
        <v>5249</v>
      </c>
      <c r="D2460" t="s">
        <v>191</v>
      </c>
      <c r="P2460">
        <v>259</v>
      </c>
      <c r="Q2460" t="s">
        <v>5250</v>
      </c>
    </row>
    <row r="2461" spans="1:17" x14ac:dyDescent="0.3">
      <c r="A2461" t="s">
        <v>4708</v>
      </c>
      <c r="B2461" t="str">
        <f>"000701"</f>
        <v>000701</v>
      </c>
      <c r="C2461" t="s">
        <v>5251</v>
      </c>
      <c r="D2461" t="s">
        <v>651</v>
      </c>
      <c r="P2461">
        <v>120</v>
      </c>
      <c r="Q2461" t="s">
        <v>5252</v>
      </c>
    </row>
    <row r="2462" spans="1:17" x14ac:dyDescent="0.3">
      <c r="A2462" t="s">
        <v>4708</v>
      </c>
      <c r="B2462" t="str">
        <f>"000702"</f>
        <v>000702</v>
      </c>
      <c r="C2462" t="s">
        <v>5253</v>
      </c>
      <c r="D2462" t="s">
        <v>2871</v>
      </c>
      <c r="P2462">
        <v>127</v>
      </c>
      <c r="Q2462" t="s">
        <v>5254</v>
      </c>
    </row>
    <row r="2463" spans="1:17" x14ac:dyDescent="0.3">
      <c r="A2463" t="s">
        <v>4708</v>
      </c>
      <c r="B2463" t="str">
        <f>"000703"</f>
        <v>000703</v>
      </c>
      <c r="C2463" t="s">
        <v>5255</v>
      </c>
      <c r="D2463" t="s">
        <v>74</v>
      </c>
      <c r="P2463">
        <v>581</v>
      </c>
      <c r="Q2463" t="s">
        <v>5256</v>
      </c>
    </row>
    <row r="2464" spans="1:17" x14ac:dyDescent="0.3">
      <c r="A2464" t="s">
        <v>4708</v>
      </c>
      <c r="B2464" t="str">
        <f>"000705"</f>
        <v>000705</v>
      </c>
      <c r="C2464" t="s">
        <v>5257</v>
      </c>
      <c r="D2464" t="s">
        <v>125</v>
      </c>
      <c r="P2464">
        <v>107</v>
      </c>
      <c r="Q2464" t="s">
        <v>5258</v>
      </c>
    </row>
    <row r="2465" spans="1:17" x14ac:dyDescent="0.3">
      <c r="A2465" t="s">
        <v>4708</v>
      </c>
      <c r="B2465" t="str">
        <f>"000707"</f>
        <v>000707</v>
      </c>
      <c r="C2465" t="s">
        <v>5259</v>
      </c>
      <c r="D2465" t="s">
        <v>2522</v>
      </c>
      <c r="P2465">
        <v>83</v>
      </c>
      <c r="Q2465" t="s">
        <v>5260</v>
      </c>
    </row>
    <row r="2466" spans="1:17" x14ac:dyDescent="0.3">
      <c r="A2466" t="s">
        <v>4708</v>
      </c>
      <c r="B2466" t="str">
        <f>"000708"</f>
        <v>000708</v>
      </c>
      <c r="C2466" t="s">
        <v>5261</v>
      </c>
      <c r="D2466" t="s">
        <v>281</v>
      </c>
      <c r="P2466">
        <v>677</v>
      </c>
      <c r="Q2466" t="s">
        <v>5262</v>
      </c>
    </row>
    <row r="2467" spans="1:17" x14ac:dyDescent="0.3">
      <c r="A2467" t="s">
        <v>4708</v>
      </c>
      <c r="B2467" t="str">
        <f>"000709"</f>
        <v>000709</v>
      </c>
      <c r="C2467" t="s">
        <v>5263</v>
      </c>
      <c r="D2467" t="s">
        <v>38</v>
      </c>
      <c r="P2467">
        <v>524</v>
      </c>
      <c r="Q2467" t="s">
        <v>5264</v>
      </c>
    </row>
    <row r="2468" spans="1:17" x14ac:dyDescent="0.3">
      <c r="A2468" t="s">
        <v>4708</v>
      </c>
      <c r="B2468" t="str">
        <f>"000710"</f>
        <v>000710</v>
      </c>
      <c r="C2468" t="s">
        <v>5265</v>
      </c>
      <c r="D2468" t="s">
        <v>1305</v>
      </c>
      <c r="P2468">
        <v>460</v>
      </c>
      <c r="Q2468" t="s">
        <v>5266</v>
      </c>
    </row>
    <row r="2469" spans="1:17" x14ac:dyDescent="0.3">
      <c r="A2469" t="s">
        <v>4708</v>
      </c>
      <c r="B2469" t="str">
        <f>"000711"</f>
        <v>000711</v>
      </c>
      <c r="C2469" t="s">
        <v>5267</v>
      </c>
      <c r="D2469" t="s">
        <v>499</v>
      </c>
      <c r="P2469">
        <v>109</v>
      </c>
      <c r="Q2469" t="s">
        <v>5268</v>
      </c>
    </row>
    <row r="2470" spans="1:17" x14ac:dyDescent="0.3">
      <c r="A2470" t="s">
        <v>4708</v>
      </c>
      <c r="B2470" t="str">
        <f>"000712"</f>
        <v>000712</v>
      </c>
      <c r="C2470" t="s">
        <v>5269</v>
      </c>
      <c r="D2470" t="s">
        <v>80</v>
      </c>
      <c r="P2470">
        <v>557</v>
      </c>
      <c r="Q2470" t="s">
        <v>5270</v>
      </c>
    </row>
    <row r="2471" spans="1:17" x14ac:dyDescent="0.3">
      <c r="A2471" t="s">
        <v>4708</v>
      </c>
      <c r="B2471" t="str">
        <f>"000713"</f>
        <v>000713</v>
      </c>
      <c r="C2471" t="s">
        <v>5271</v>
      </c>
      <c r="D2471" t="s">
        <v>706</v>
      </c>
      <c r="P2471">
        <v>237</v>
      </c>
      <c r="Q2471" t="s">
        <v>5272</v>
      </c>
    </row>
    <row r="2472" spans="1:17" x14ac:dyDescent="0.3">
      <c r="A2472" t="s">
        <v>4708</v>
      </c>
      <c r="B2472" t="str">
        <f>"000715"</f>
        <v>000715</v>
      </c>
      <c r="C2472" t="s">
        <v>5273</v>
      </c>
      <c r="D2472" t="s">
        <v>633</v>
      </c>
      <c r="P2472">
        <v>103</v>
      </c>
      <c r="Q2472" t="s">
        <v>5274</v>
      </c>
    </row>
    <row r="2473" spans="1:17" x14ac:dyDescent="0.3">
      <c r="A2473" t="s">
        <v>4708</v>
      </c>
      <c r="B2473" t="str">
        <f>"000716"</f>
        <v>000716</v>
      </c>
      <c r="C2473" t="s">
        <v>5275</v>
      </c>
      <c r="D2473" t="s">
        <v>2481</v>
      </c>
      <c r="P2473">
        <v>163</v>
      </c>
      <c r="Q2473" t="s">
        <v>5276</v>
      </c>
    </row>
    <row r="2474" spans="1:17" x14ac:dyDescent="0.3">
      <c r="A2474" t="s">
        <v>4708</v>
      </c>
      <c r="B2474" t="str">
        <f>"000717"</f>
        <v>000717</v>
      </c>
      <c r="C2474" t="s">
        <v>5277</v>
      </c>
      <c r="D2474" t="s">
        <v>531</v>
      </c>
      <c r="P2474">
        <v>681</v>
      </c>
      <c r="Q2474" t="s">
        <v>5278</v>
      </c>
    </row>
    <row r="2475" spans="1:17" x14ac:dyDescent="0.3">
      <c r="A2475" t="s">
        <v>4708</v>
      </c>
      <c r="B2475" t="str">
        <f>"000718"</f>
        <v>000718</v>
      </c>
      <c r="C2475" t="s">
        <v>5279</v>
      </c>
      <c r="D2475" t="s">
        <v>104</v>
      </c>
      <c r="P2475">
        <v>659</v>
      </c>
      <c r="Q2475" t="s">
        <v>5280</v>
      </c>
    </row>
    <row r="2476" spans="1:17" x14ac:dyDescent="0.3">
      <c r="A2476" t="s">
        <v>4708</v>
      </c>
      <c r="B2476" t="str">
        <f>"000719"</f>
        <v>000719</v>
      </c>
      <c r="C2476" t="s">
        <v>5281</v>
      </c>
      <c r="D2476" t="s">
        <v>525</v>
      </c>
      <c r="P2476">
        <v>695</v>
      </c>
      <c r="Q2476" t="s">
        <v>5282</v>
      </c>
    </row>
    <row r="2477" spans="1:17" x14ac:dyDescent="0.3">
      <c r="A2477" t="s">
        <v>4708</v>
      </c>
      <c r="B2477" t="str">
        <f>"000720"</f>
        <v>000720</v>
      </c>
      <c r="C2477" t="s">
        <v>5283</v>
      </c>
      <c r="D2477" t="s">
        <v>194</v>
      </c>
      <c r="P2477">
        <v>122</v>
      </c>
      <c r="Q2477" t="s">
        <v>5284</v>
      </c>
    </row>
    <row r="2478" spans="1:17" x14ac:dyDescent="0.3">
      <c r="A2478" t="s">
        <v>4708</v>
      </c>
      <c r="B2478" t="str">
        <f>"000721"</f>
        <v>000721</v>
      </c>
      <c r="C2478" t="s">
        <v>5285</v>
      </c>
      <c r="D2478" t="s">
        <v>3583</v>
      </c>
      <c r="P2478">
        <v>130</v>
      </c>
      <c r="Q2478" t="s">
        <v>5286</v>
      </c>
    </row>
    <row r="2479" spans="1:17" x14ac:dyDescent="0.3">
      <c r="A2479" t="s">
        <v>4708</v>
      </c>
      <c r="B2479" t="str">
        <f>"000722"</f>
        <v>000722</v>
      </c>
      <c r="C2479" t="s">
        <v>5287</v>
      </c>
      <c r="D2479" t="s">
        <v>66</v>
      </c>
      <c r="P2479">
        <v>104</v>
      </c>
      <c r="Q2479" t="s">
        <v>5288</v>
      </c>
    </row>
    <row r="2480" spans="1:17" x14ac:dyDescent="0.3">
      <c r="A2480" t="s">
        <v>4708</v>
      </c>
      <c r="B2480" t="str">
        <f>"000723"</f>
        <v>000723</v>
      </c>
      <c r="C2480" t="s">
        <v>5289</v>
      </c>
      <c r="D2480" t="s">
        <v>885</v>
      </c>
      <c r="P2480">
        <v>673</v>
      </c>
      <c r="Q2480" t="s">
        <v>5290</v>
      </c>
    </row>
    <row r="2481" spans="1:17" x14ac:dyDescent="0.3">
      <c r="A2481" t="s">
        <v>4708</v>
      </c>
      <c r="B2481" t="str">
        <f>"000725"</f>
        <v>000725</v>
      </c>
      <c r="C2481" t="s">
        <v>5291</v>
      </c>
      <c r="D2481" t="s">
        <v>1117</v>
      </c>
      <c r="P2481">
        <v>4544</v>
      </c>
      <c r="Q2481" t="s">
        <v>5292</v>
      </c>
    </row>
    <row r="2482" spans="1:17" x14ac:dyDescent="0.3">
      <c r="A2482" t="s">
        <v>4708</v>
      </c>
      <c r="B2482" t="str">
        <f>"000726"</f>
        <v>000726</v>
      </c>
      <c r="C2482" t="s">
        <v>5293</v>
      </c>
      <c r="D2482" t="s">
        <v>1009</v>
      </c>
      <c r="P2482">
        <v>980</v>
      </c>
      <c r="Q2482" t="s">
        <v>5294</v>
      </c>
    </row>
    <row r="2483" spans="1:17" x14ac:dyDescent="0.3">
      <c r="A2483" t="s">
        <v>4708</v>
      </c>
      <c r="B2483" t="str">
        <f>"000727"</f>
        <v>000727</v>
      </c>
      <c r="C2483" t="s">
        <v>5295</v>
      </c>
      <c r="D2483" t="s">
        <v>1117</v>
      </c>
      <c r="P2483">
        <v>197</v>
      </c>
      <c r="Q2483" t="s">
        <v>5296</v>
      </c>
    </row>
    <row r="2484" spans="1:17" x14ac:dyDescent="0.3">
      <c r="A2484" t="s">
        <v>4708</v>
      </c>
      <c r="B2484" t="str">
        <f>"000728"</f>
        <v>000728</v>
      </c>
      <c r="C2484" t="s">
        <v>5297</v>
      </c>
      <c r="D2484" t="s">
        <v>80</v>
      </c>
      <c r="P2484">
        <v>1900</v>
      </c>
      <c r="Q2484" t="s">
        <v>5298</v>
      </c>
    </row>
    <row r="2485" spans="1:17" x14ac:dyDescent="0.3">
      <c r="A2485" t="s">
        <v>4708</v>
      </c>
      <c r="B2485" t="str">
        <f>"000729"</f>
        <v>000729</v>
      </c>
      <c r="C2485" t="s">
        <v>5299</v>
      </c>
      <c r="D2485" t="s">
        <v>319</v>
      </c>
      <c r="P2485">
        <v>607</v>
      </c>
      <c r="Q2485" t="s">
        <v>5300</v>
      </c>
    </row>
    <row r="2486" spans="1:17" x14ac:dyDescent="0.3">
      <c r="A2486" t="s">
        <v>4708</v>
      </c>
      <c r="B2486" t="str">
        <f>"000730"</f>
        <v>000730</v>
      </c>
      <c r="C2486" t="s">
        <v>5301</v>
      </c>
      <c r="P2486">
        <v>4</v>
      </c>
      <c r="Q2486" t="s">
        <v>5302</v>
      </c>
    </row>
    <row r="2487" spans="1:17" x14ac:dyDescent="0.3">
      <c r="A2487" t="s">
        <v>4708</v>
      </c>
      <c r="B2487" t="str">
        <f>"000731"</f>
        <v>000731</v>
      </c>
      <c r="C2487" t="s">
        <v>5303</v>
      </c>
      <c r="D2487" t="s">
        <v>909</v>
      </c>
      <c r="P2487">
        <v>127</v>
      </c>
      <c r="Q2487" t="s">
        <v>5304</v>
      </c>
    </row>
    <row r="2488" spans="1:17" x14ac:dyDescent="0.3">
      <c r="A2488" t="s">
        <v>4708</v>
      </c>
      <c r="B2488" t="str">
        <f>"000732"</f>
        <v>000732</v>
      </c>
      <c r="C2488" t="s">
        <v>5305</v>
      </c>
      <c r="D2488" t="s">
        <v>104</v>
      </c>
      <c r="P2488">
        <v>438</v>
      </c>
      <c r="Q2488" t="s">
        <v>5306</v>
      </c>
    </row>
    <row r="2489" spans="1:17" x14ac:dyDescent="0.3">
      <c r="A2489" t="s">
        <v>4708</v>
      </c>
      <c r="B2489" t="str">
        <f>"000733"</f>
        <v>000733</v>
      </c>
      <c r="C2489" t="s">
        <v>5307</v>
      </c>
      <c r="D2489" t="s">
        <v>1136</v>
      </c>
      <c r="P2489">
        <v>490</v>
      </c>
      <c r="Q2489" t="s">
        <v>5308</v>
      </c>
    </row>
    <row r="2490" spans="1:17" x14ac:dyDescent="0.3">
      <c r="A2490" t="s">
        <v>4708</v>
      </c>
      <c r="B2490" t="str">
        <f>"000735"</f>
        <v>000735</v>
      </c>
      <c r="C2490" t="s">
        <v>5309</v>
      </c>
      <c r="D2490" t="s">
        <v>1896</v>
      </c>
      <c r="P2490">
        <v>290</v>
      </c>
      <c r="Q2490" t="s">
        <v>5310</v>
      </c>
    </row>
    <row r="2491" spans="1:17" x14ac:dyDescent="0.3">
      <c r="A2491" t="s">
        <v>4708</v>
      </c>
      <c r="B2491" t="str">
        <f>"000736"</f>
        <v>000736</v>
      </c>
      <c r="C2491" t="s">
        <v>5311</v>
      </c>
      <c r="D2491" t="s">
        <v>104</v>
      </c>
      <c r="P2491">
        <v>189</v>
      </c>
      <c r="Q2491" t="s">
        <v>5312</v>
      </c>
    </row>
    <row r="2492" spans="1:17" x14ac:dyDescent="0.3">
      <c r="A2492" t="s">
        <v>4708</v>
      </c>
      <c r="B2492" t="str">
        <f>"000737"</f>
        <v>000737</v>
      </c>
      <c r="C2492" t="s">
        <v>5313</v>
      </c>
      <c r="D2492" t="s">
        <v>736</v>
      </c>
      <c r="P2492">
        <v>83</v>
      </c>
      <c r="Q2492" t="s">
        <v>5314</v>
      </c>
    </row>
    <row r="2493" spans="1:17" x14ac:dyDescent="0.3">
      <c r="A2493" t="s">
        <v>4708</v>
      </c>
      <c r="B2493" t="str">
        <f>"000738"</f>
        <v>000738</v>
      </c>
      <c r="C2493" t="s">
        <v>5315</v>
      </c>
      <c r="D2493" t="s">
        <v>98</v>
      </c>
      <c r="P2493">
        <v>324</v>
      </c>
      <c r="Q2493" t="s">
        <v>5316</v>
      </c>
    </row>
    <row r="2494" spans="1:17" x14ac:dyDescent="0.3">
      <c r="A2494" t="s">
        <v>4708</v>
      </c>
      <c r="B2494" t="str">
        <f>"000739"</f>
        <v>000739</v>
      </c>
      <c r="C2494" t="s">
        <v>5317</v>
      </c>
      <c r="D2494" t="s">
        <v>496</v>
      </c>
      <c r="P2494">
        <v>758</v>
      </c>
      <c r="Q2494" t="s">
        <v>5318</v>
      </c>
    </row>
    <row r="2495" spans="1:17" x14ac:dyDescent="0.3">
      <c r="A2495" t="s">
        <v>4708</v>
      </c>
      <c r="B2495" t="str">
        <f>"000748"</f>
        <v>000748</v>
      </c>
      <c r="C2495" t="s">
        <v>5319</v>
      </c>
      <c r="P2495">
        <v>8</v>
      </c>
      <c r="Q2495" t="s">
        <v>5320</v>
      </c>
    </row>
    <row r="2496" spans="1:17" x14ac:dyDescent="0.3">
      <c r="A2496" t="s">
        <v>4708</v>
      </c>
      <c r="B2496" t="str">
        <f>"000750"</f>
        <v>000750</v>
      </c>
      <c r="C2496" t="s">
        <v>5321</v>
      </c>
      <c r="D2496" t="s">
        <v>80</v>
      </c>
      <c r="P2496">
        <v>1038</v>
      </c>
      <c r="Q2496" t="s">
        <v>5322</v>
      </c>
    </row>
    <row r="2497" spans="1:17" x14ac:dyDescent="0.3">
      <c r="A2497" t="s">
        <v>4708</v>
      </c>
      <c r="B2497" t="str">
        <f>"000751"</f>
        <v>000751</v>
      </c>
      <c r="C2497" t="s">
        <v>5323</v>
      </c>
      <c r="D2497" t="s">
        <v>744</v>
      </c>
      <c r="P2497">
        <v>128</v>
      </c>
      <c r="Q2497" t="s">
        <v>5324</v>
      </c>
    </row>
    <row r="2498" spans="1:17" x14ac:dyDescent="0.3">
      <c r="A2498" t="s">
        <v>4708</v>
      </c>
      <c r="B2498" t="str">
        <f>"000752"</f>
        <v>000752</v>
      </c>
      <c r="C2498" t="s">
        <v>5325</v>
      </c>
      <c r="D2498" t="s">
        <v>319</v>
      </c>
      <c r="P2498">
        <v>103</v>
      </c>
      <c r="Q2498" t="s">
        <v>5326</v>
      </c>
    </row>
    <row r="2499" spans="1:17" x14ac:dyDescent="0.3">
      <c r="A2499" t="s">
        <v>4708</v>
      </c>
      <c r="B2499" t="str">
        <f>"000753"</f>
        <v>000753</v>
      </c>
      <c r="C2499" t="s">
        <v>5327</v>
      </c>
      <c r="D2499" t="s">
        <v>110</v>
      </c>
      <c r="P2499">
        <v>85</v>
      </c>
      <c r="Q2499" t="s">
        <v>5328</v>
      </c>
    </row>
    <row r="2500" spans="1:17" x14ac:dyDescent="0.3">
      <c r="A2500" t="s">
        <v>4708</v>
      </c>
      <c r="B2500" t="str">
        <f>"000755"</f>
        <v>000755</v>
      </c>
      <c r="C2500" t="s">
        <v>5329</v>
      </c>
      <c r="D2500" t="s">
        <v>44</v>
      </c>
      <c r="P2500">
        <v>96</v>
      </c>
      <c r="Q2500" t="s">
        <v>5330</v>
      </c>
    </row>
    <row r="2501" spans="1:17" x14ac:dyDescent="0.3">
      <c r="A2501" t="s">
        <v>4708</v>
      </c>
      <c r="B2501" t="str">
        <f>"000756"</f>
        <v>000756</v>
      </c>
      <c r="C2501" t="s">
        <v>5331</v>
      </c>
      <c r="D2501" t="s">
        <v>496</v>
      </c>
      <c r="P2501">
        <v>218</v>
      </c>
      <c r="Q2501" t="s">
        <v>5332</v>
      </c>
    </row>
    <row r="2502" spans="1:17" x14ac:dyDescent="0.3">
      <c r="A2502" t="s">
        <v>4708</v>
      </c>
      <c r="B2502" t="str">
        <f>"000757"</f>
        <v>000757</v>
      </c>
      <c r="C2502" t="s">
        <v>5333</v>
      </c>
      <c r="D2502" t="s">
        <v>2361</v>
      </c>
      <c r="P2502">
        <v>88</v>
      </c>
      <c r="Q2502" t="s">
        <v>5334</v>
      </c>
    </row>
    <row r="2503" spans="1:17" x14ac:dyDescent="0.3">
      <c r="A2503" t="s">
        <v>4708</v>
      </c>
      <c r="B2503" t="str">
        <f>"000758"</f>
        <v>000758</v>
      </c>
      <c r="C2503" t="s">
        <v>5335</v>
      </c>
      <c r="D2503" t="s">
        <v>744</v>
      </c>
      <c r="P2503">
        <v>177</v>
      </c>
      <c r="Q2503" t="s">
        <v>5336</v>
      </c>
    </row>
    <row r="2504" spans="1:17" x14ac:dyDescent="0.3">
      <c r="A2504" t="s">
        <v>4708</v>
      </c>
      <c r="B2504" t="str">
        <f>"000759"</f>
        <v>000759</v>
      </c>
      <c r="C2504" t="s">
        <v>5337</v>
      </c>
      <c r="D2504" t="s">
        <v>798</v>
      </c>
      <c r="P2504">
        <v>153</v>
      </c>
      <c r="Q2504" t="s">
        <v>5338</v>
      </c>
    </row>
    <row r="2505" spans="1:17" x14ac:dyDescent="0.3">
      <c r="A2505" t="s">
        <v>4708</v>
      </c>
      <c r="B2505" t="str">
        <f>"000760"</f>
        <v>000760</v>
      </c>
      <c r="C2505" t="s">
        <v>5339</v>
      </c>
      <c r="P2505">
        <v>59</v>
      </c>
      <c r="Q2505" t="s">
        <v>5340</v>
      </c>
    </row>
    <row r="2506" spans="1:17" x14ac:dyDescent="0.3">
      <c r="A2506" t="s">
        <v>4708</v>
      </c>
      <c r="B2506" t="str">
        <f>"000761"</f>
        <v>000761</v>
      </c>
      <c r="C2506" t="s">
        <v>5341</v>
      </c>
      <c r="D2506" t="s">
        <v>38</v>
      </c>
      <c r="P2506">
        <v>237</v>
      </c>
      <c r="Q2506" t="s">
        <v>5342</v>
      </c>
    </row>
    <row r="2507" spans="1:17" x14ac:dyDescent="0.3">
      <c r="A2507" t="s">
        <v>4708</v>
      </c>
      <c r="B2507" t="str">
        <f>"000762"</f>
        <v>000762</v>
      </c>
      <c r="C2507" t="s">
        <v>5343</v>
      </c>
      <c r="D2507" t="s">
        <v>5344</v>
      </c>
      <c r="P2507">
        <v>257</v>
      </c>
      <c r="Q2507" t="s">
        <v>5345</v>
      </c>
    </row>
    <row r="2508" spans="1:17" x14ac:dyDescent="0.3">
      <c r="A2508" t="s">
        <v>4708</v>
      </c>
      <c r="B2508" t="str">
        <f>"000765"</f>
        <v>000765</v>
      </c>
      <c r="C2508" t="s">
        <v>5346</v>
      </c>
      <c r="P2508">
        <v>4</v>
      </c>
      <c r="Q2508" t="s">
        <v>5347</v>
      </c>
    </row>
    <row r="2509" spans="1:17" x14ac:dyDescent="0.3">
      <c r="A2509" t="s">
        <v>4708</v>
      </c>
      <c r="B2509" t="str">
        <f>"000766"</f>
        <v>000766</v>
      </c>
      <c r="C2509" t="s">
        <v>5348</v>
      </c>
      <c r="D2509" t="s">
        <v>143</v>
      </c>
      <c r="P2509">
        <v>146</v>
      </c>
      <c r="Q2509" t="s">
        <v>5349</v>
      </c>
    </row>
    <row r="2510" spans="1:17" x14ac:dyDescent="0.3">
      <c r="A2510" t="s">
        <v>4708</v>
      </c>
      <c r="B2510" t="str">
        <f>"000767"</f>
        <v>000767</v>
      </c>
      <c r="C2510" t="s">
        <v>5350</v>
      </c>
      <c r="D2510" t="s">
        <v>41</v>
      </c>
      <c r="P2510">
        <v>173</v>
      </c>
      <c r="Q2510" t="s">
        <v>5351</v>
      </c>
    </row>
    <row r="2511" spans="1:17" x14ac:dyDescent="0.3">
      <c r="A2511" t="s">
        <v>4708</v>
      </c>
      <c r="B2511" t="str">
        <f>"000768"</f>
        <v>000768</v>
      </c>
      <c r="C2511" t="s">
        <v>5352</v>
      </c>
      <c r="D2511" t="s">
        <v>98</v>
      </c>
      <c r="P2511">
        <v>662</v>
      </c>
      <c r="Q2511" t="s">
        <v>5353</v>
      </c>
    </row>
    <row r="2512" spans="1:17" x14ac:dyDescent="0.3">
      <c r="A2512" t="s">
        <v>4708</v>
      </c>
      <c r="B2512" t="str">
        <f>"000776"</f>
        <v>000776</v>
      </c>
      <c r="C2512" t="s">
        <v>5354</v>
      </c>
      <c r="D2512" t="s">
        <v>80</v>
      </c>
      <c r="P2512">
        <v>3522</v>
      </c>
      <c r="Q2512" t="s">
        <v>5355</v>
      </c>
    </row>
    <row r="2513" spans="1:17" x14ac:dyDescent="0.3">
      <c r="A2513" t="s">
        <v>4708</v>
      </c>
      <c r="B2513" t="str">
        <f>"000777"</f>
        <v>000777</v>
      </c>
      <c r="C2513" t="s">
        <v>5356</v>
      </c>
      <c r="D2513" t="s">
        <v>274</v>
      </c>
      <c r="P2513">
        <v>131</v>
      </c>
      <c r="Q2513" t="s">
        <v>5357</v>
      </c>
    </row>
    <row r="2514" spans="1:17" x14ac:dyDescent="0.3">
      <c r="A2514" t="s">
        <v>4708</v>
      </c>
      <c r="B2514" t="str">
        <f>"000778"</f>
        <v>000778</v>
      </c>
      <c r="C2514" t="s">
        <v>5358</v>
      </c>
      <c r="D2514" t="s">
        <v>2231</v>
      </c>
      <c r="P2514">
        <v>674</v>
      </c>
      <c r="Q2514" t="s">
        <v>5359</v>
      </c>
    </row>
    <row r="2515" spans="1:17" x14ac:dyDescent="0.3">
      <c r="A2515" t="s">
        <v>4708</v>
      </c>
      <c r="B2515" t="str">
        <f>"000779"</f>
        <v>000779</v>
      </c>
      <c r="C2515" t="s">
        <v>5360</v>
      </c>
      <c r="D2515" t="s">
        <v>1272</v>
      </c>
      <c r="P2515">
        <v>165</v>
      </c>
      <c r="Q2515" t="s">
        <v>5361</v>
      </c>
    </row>
    <row r="2516" spans="1:17" x14ac:dyDescent="0.3">
      <c r="A2516" t="s">
        <v>4708</v>
      </c>
      <c r="B2516" t="str">
        <f>"000780"</f>
        <v>000780</v>
      </c>
      <c r="C2516" t="s">
        <v>5362</v>
      </c>
      <c r="D2516" t="s">
        <v>292</v>
      </c>
      <c r="F2516">
        <v>0</v>
      </c>
      <c r="P2516">
        <v>99</v>
      </c>
      <c r="Q2516" t="s">
        <v>5363</v>
      </c>
    </row>
    <row r="2517" spans="1:17" x14ac:dyDescent="0.3">
      <c r="A2517" t="s">
        <v>4708</v>
      </c>
      <c r="B2517" t="str">
        <f>"000782"</f>
        <v>000782</v>
      </c>
      <c r="C2517" t="s">
        <v>5364</v>
      </c>
      <c r="D2517" t="s">
        <v>1636</v>
      </c>
      <c r="P2517">
        <v>64</v>
      </c>
      <c r="Q2517" t="s">
        <v>5365</v>
      </c>
    </row>
    <row r="2518" spans="1:17" x14ac:dyDescent="0.3">
      <c r="A2518" t="s">
        <v>4708</v>
      </c>
      <c r="B2518" t="str">
        <f>"000783"</f>
        <v>000783</v>
      </c>
      <c r="C2518" t="s">
        <v>5366</v>
      </c>
      <c r="D2518" t="s">
        <v>80</v>
      </c>
      <c r="P2518">
        <v>1208</v>
      </c>
      <c r="Q2518" t="s">
        <v>5367</v>
      </c>
    </row>
    <row r="2519" spans="1:17" x14ac:dyDescent="0.3">
      <c r="A2519" t="s">
        <v>4708</v>
      </c>
      <c r="B2519" t="str">
        <f>"000785"</f>
        <v>000785</v>
      </c>
      <c r="C2519" t="s">
        <v>5368</v>
      </c>
      <c r="D2519" t="s">
        <v>271</v>
      </c>
      <c r="P2519">
        <v>333</v>
      </c>
      <c r="Q2519" t="s">
        <v>5369</v>
      </c>
    </row>
    <row r="2520" spans="1:17" x14ac:dyDescent="0.3">
      <c r="A2520" t="s">
        <v>4708</v>
      </c>
      <c r="B2520" t="str">
        <f>"000786"</f>
        <v>000786</v>
      </c>
      <c r="C2520" t="s">
        <v>5370</v>
      </c>
      <c r="D2520" t="s">
        <v>722</v>
      </c>
      <c r="P2520">
        <v>2486</v>
      </c>
      <c r="Q2520" t="s">
        <v>5371</v>
      </c>
    </row>
    <row r="2521" spans="1:17" x14ac:dyDescent="0.3">
      <c r="A2521" t="s">
        <v>4708</v>
      </c>
      <c r="B2521" t="str">
        <f>"000787"</f>
        <v>000787</v>
      </c>
      <c r="C2521" t="s">
        <v>5372</v>
      </c>
      <c r="P2521">
        <v>3</v>
      </c>
      <c r="Q2521" t="s">
        <v>5373</v>
      </c>
    </row>
    <row r="2522" spans="1:17" x14ac:dyDescent="0.3">
      <c r="A2522" t="s">
        <v>4708</v>
      </c>
      <c r="B2522" t="str">
        <f>"000788"</f>
        <v>000788</v>
      </c>
      <c r="C2522" t="s">
        <v>5374</v>
      </c>
      <c r="D2522" t="s">
        <v>143</v>
      </c>
      <c r="P2522">
        <v>137</v>
      </c>
      <c r="Q2522" t="s">
        <v>5375</v>
      </c>
    </row>
    <row r="2523" spans="1:17" x14ac:dyDescent="0.3">
      <c r="A2523" t="s">
        <v>4708</v>
      </c>
      <c r="B2523" t="str">
        <f>"000789"</f>
        <v>000789</v>
      </c>
      <c r="C2523" t="s">
        <v>5376</v>
      </c>
      <c r="D2523" t="s">
        <v>731</v>
      </c>
      <c r="P2523">
        <v>1139</v>
      </c>
      <c r="Q2523" t="s">
        <v>5377</v>
      </c>
    </row>
    <row r="2524" spans="1:17" x14ac:dyDescent="0.3">
      <c r="A2524" t="s">
        <v>4708</v>
      </c>
      <c r="B2524" t="str">
        <f>"000790"</f>
        <v>000790</v>
      </c>
      <c r="C2524" t="s">
        <v>5378</v>
      </c>
      <c r="D2524" t="s">
        <v>188</v>
      </c>
      <c r="P2524">
        <v>175</v>
      </c>
      <c r="Q2524" t="s">
        <v>5379</v>
      </c>
    </row>
    <row r="2525" spans="1:17" x14ac:dyDescent="0.3">
      <c r="A2525" t="s">
        <v>4708</v>
      </c>
      <c r="B2525" t="str">
        <f>"000791"</f>
        <v>000791</v>
      </c>
      <c r="C2525" t="s">
        <v>5380</v>
      </c>
      <c r="D2525" t="s">
        <v>66</v>
      </c>
      <c r="P2525">
        <v>219</v>
      </c>
      <c r="Q2525" t="s">
        <v>5381</v>
      </c>
    </row>
    <row r="2526" spans="1:17" x14ac:dyDescent="0.3">
      <c r="A2526" t="s">
        <v>4708</v>
      </c>
      <c r="B2526" t="str">
        <f>"000792"</f>
        <v>000792</v>
      </c>
      <c r="C2526" t="s">
        <v>5382</v>
      </c>
      <c r="D2526" t="s">
        <v>3443</v>
      </c>
      <c r="P2526">
        <v>422</v>
      </c>
      <c r="Q2526" t="s">
        <v>5383</v>
      </c>
    </row>
    <row r="2527" spans="1:17" x14ac:dyDescent="0.3">
      <c r="A2527" t="s">
        <v>4708</v>
      </c>
      <c r="B2527" t="str">
        <f>"000793"</f>
        <v>000793</v>
      </c>
      <c r="C2527" t="s">
        <v>5384</v>
      </c>
      <c r="D2527" t="s">
        <v>525</v>
      </c>
      <c r="P2527">
        <v>141</v>
      </c>
      <c r="Q2527" t="s">
        <v>5385</v>
      </c>
    </row>
    <row r="2528" spans="1:17" x14ac:dyDescent="0.3">
      <c r="A2528" t="s">
        <v>4708</v>
      </c>
      <c r="B2528" t="str">
        <f>"000795"</f>
        <v>000795</v>
      </c>
      <c r="C2528" t="s">
        <v>5386</v>
      </c>
      <c r="D2528" t="s">
        <v>808</v>
      </c>
      <c r="P2528">
        <v>145</v>
      </c>
      <c r="Q2528" t="s">
        <v>5387</v>
      </c>
    </row>
    <row r="2529" spans="1:17" x14ac:dyDescent="0.3">
      <c r="A2529" t="s">
        <v>4708</v>
      </c>
      <c r="B2529" t="str">
        <f>"000796"</f>
        <v>000796</v>
      </c>
      <c r="C2529" t="s">
        <v>5388</v>
      </c>
      <c r="D2529" t="s">
        <v>1120</v>
      </c>
      <c r="P2529">
        <v>224</v>
      </c>
      <c r="Q2529" t="s">
        <v>5389</v>
      </c>
    </row>
    <row r="2530" spans="1:17" x14ac:dyDescent="0.3">
      <c r="A2530" t="s">
        <v>4708</v>
      </c>
      <c r="B2530" t="str">
        <f>"000797"</f>
        <v>000797</v>
      </c>
      <c r="C2530" t="s">
        <v>5390</v>
      </c>
      <c r="D2530" t="s">
        <v>104</v>
      </c>
      <c r="P2530">
        <v>121</v>
      </c>
      <c r="Q2530" t="s">
        <v>5391</v>
      </c>
    </row>
    <row r="2531" spans="1:17" x14ac:dyDescent="0.3">
      <c r="A2531" t="s">
        <v>4708</v>
      </c>
      <c r="B2531" t="str">
        <f>"000798"</f>
        <v>000798</v>
      </c>
      <c r="C2531" t="s">
        <v>5392</v>
      </c>
      <c r="D2531" t="s">
        <v>228</v>
      </c>
      <c r="P2531">
        <v>83</v>
      </c>
      <c r="Q2531" t="s">
        <v>5393</v>
      </c>
    </row>
    <row r="2532" spans="1:17" x14ac:dyDescent="0.3">
      <c r="A2532" t="s">
        <v>4708</v>
      </c>
      <c r="B2532" t="str">
        <f>"000799"</f>
        <v>000799</v>
      </c>
      <c r="C2532" t="s">
        <v>5394</v>
      </c>
      <c r="D2532" t="s">
        <v>458</v>
      </c>
      <c r="P2532">
        <v>1661</v>
      </c>
      <c r="Q2532" t="s">
        <v>5395</v>
      </c>
    </row>
    <row r="2533" spans="1:17" x14ac:dyDescent="0.3">
      <c r="A2533" t="s">
        <v>4708</v>
      </c>
      <c r="B2533" t="str">
        <f>"000800"</f>
        <v>000800</v>
      </c>
      <c r="C2533" t="s">
        <v>5396</v>
      </c>
      <c r="D2533" t="s">
        <v>27</v>
      </c>
      <c r="P2533">
        <v>446</v>
      </c>
      <c r="Q2533" t="s">
        <v>5397</v>
      </c>
    </row>
    <row r="2534" spans="1:17" x14ac:dyDescent="0.3">
      <c r="A2534" t="s">
        <v>4708</v>
      </c>
      <c r="B2534" t="str">
        <f>"000801"</f>
        <v>000801</v>
      </c>
      <c r="C2534" t="s">
        <v>5398</v>
      </c>
      <c r="D2534" t="s">
        <v>4448</v>
      </c>
      <c r="P2534">
        <v>218</v>
      </c>
      <c r="Q2534" t="s">
        <v>5399</v>
      </c>
    </row>
    <row r="2535" spans="1:17" x14ac:dyDescent="0.3">
      <c r="A2535" t="s">
        <v>4708</v>
      </c>
      <c r="B2535" t="str">
        <f>"000802"</f>
        <v>000802</v>
      </c>
      <c r="C2535" t="s">
        <v>5400</v>
      </c>
      <c r="D2535" t="s">
        <v>113</v>
      </c>
      <c r="P2535">
        <v>205</v>
      </c>
      <c r="Q2535" t="s">
        <v>5401</v>
      </c>
    </row>
    <row r="2536" spans="1:17" x14ac:dyDescent="0.3">
      <c r="A2536" t="s">
        <v>4708</v>
      </c>
      <c r="B2536" t="str">
        <f>"000803"</f>
        <v>000803</v>
      </c>
      <c r="C2536" t="s">
        <v>5402</v>
      </c>
      <c r="D2536" t="s">
        <v>239</v>
      </c>
      <c r="P2536">
        <v>79</v>
      </c>
      <c r="Q2536" t="s">
        <v>5403</v>
      </c>
    </row>
    <row r="2537" spans="1:17" x14ac:dyDescent="0.3">
      <c r="A2537" t="s">
        <v>4708</v>
      </c>
      <c r="B2537" t="str">
        <f>"000805"</f>
        <v>000805</v>
      </c>
      <c r="C2537" t="s">
        <v>5404</v>
      </c>
      <c r="P2537">
        <v>3</v>
      </c>
      <c r="Q2537" t="s">
        <v>5405</v>
      </c>
    </row>
    <row r="2538" spans="1:17" x14ac:dyDescent="0.3">
      <c r="A2538" t="s">
        <v>4708</v>
      </c>
      <c r="B2538" t="str">
        <f>"000806"</f>
        <v>000806</v>
      </c>
      <c r="C2538" t="s">
        <v>5406</v>
      </c>
      <c r="D2538" t="s">
        <v>210</v>
      </c>
      <c r="P2538">
        <v>123</v>
      </c>
      <c r="Q2538" t="s">
        <v>5407</v>
      </c>
    </row>
    <row r="2539" spans="1:17" x14ac:dyDescent="0.3">
      <c r="A2539" t="s">
        <v>4708</v>
      </c>
      <c r="B2539" t="str">
        <f>"000807"</f>
        <v>000807</v>
      </c>
      <c r="C2539" t="s">
        <v>5408</v>
      </c>
      <c r="D2539" t="s">
        <v>504</v>
      </c>
      <c r="P2539">
        <v>551</v>
      </c>
      <c r="Q2539" t="s">
        <v>5409</v>
      </c>
    </row>
    <row r="2540" spans="1:17" x14ac:dyDescent="0.3">
      <c r="A2540" t="s">
        <v>4708</v>
      </c>
      <c r="B2540" t="str">
        <f>"000809"</f>
        <v>000809</v>
      </c>
      <c r="C2540" t="s">
        <v>5410</v>
      </c>
      <c r="D2540" t="s">
        <v>104</v>
      </c>
      <c r="P2540">
        <v>72</v>
      </c>
      <c r="Q2540" t="s">
        <v>5411</v>
      </c>
    </row>
    <row r="2541" spans="1:17" x14ac:dyDescent="0.3">
      <c r="A2541" t="s">
        <v>4708</v>
      </c>
      <c r="B2541" t="str">
        <f>"000810"</f>
        <v>000810</v>
      </c>
      <c r="C2541" t="s">
        <v>5412</v>
      </c>
      <c r="D2541" t="s">
        <v>4448</v>
      </c>
      <c r="P2541">
        <v>384</v>
      </c>
      <c r="Q2541" t="s">
        <v>5413</v>
      </c>
    </row>
    <row r="2542" spans="1:17" x14ac:dyDescent="0.3">
      <c r="A2542" t="s">
        <v>4708</v>
      </c>
      <c r="B2542" t="str">
        <f>"000811"</f>
        <v>000811</v>
      </c>
      <c r="C2542" t="s">
        <v>5414</v>
      </c>
      <c r="D2542" t="s">
        <v>988</v>
      </c>
      <c r="P2542">
        <v>224</v>
      </c>
      <c r="Q2542" t="s">
        <v>5415</v>
      </c>
    </row>
    <row r="2543" spans="1:17" x14ac:dyDescent="0.3">
      <c r="A2543" t="s">
        <v>4708</v>
      </c>
      <c r="B2543" t="str">
        <f>"000812"</f>
        <v>000812</v>
      </c>
      <c r="C2543" t="s">
        <v>5416</v>
      </c>
      <c r="D2543" t="s">
        <v>2158</v>
      </c>
      <c r="P2543">
        <v>111</v>
      </c>
      <c r="Q2543" t="s">
        <v>5417</v>
      </c>
    </row>
    <row r="2544" spans="1:17" x14ac:dyDescent="0.3">
      <c r="A2544" t="s">
        <v>4708</v>
      </c>
      <c r="B2544" t="str">
        <f>"000813"</f>
        <v>000813</v>
      </c>
      <c r="C2544" t="s">
        <v>5418</v>
      </c>
      <c r="D2544" t="s">
        <v>143</v>
      </c>
      <c r="P2544">
        <v>281</v>
      </c>
      <c r="Q2544" t="s">
        <v>5419</v>
      </c>
    </row>
    <row r="2545" spans="1:17" x14ac:dyDescent="0.3">
      <c r="A2545" t="s">
        <v>4708</v>
      </c>
      <c r="B2545" t="str">
        <f>"000815"</f>
        <v>000815</v>
      </c>
      <c r="C2545" t="s">
        <v>5420</v>
      </c>
      <c r="D2545" t="s">
        <v>694</v>
      </c>
      <c r="P2545">
        <v>125</v>
      </c>
      <c r="Q2545" t="s">
        <v>5421</v>
      </c>
    </row>
    <row r="2546" spans="1:17" x14ac:dyDescent="0.3">
      <c r="A2546" t="s">
        <v>4708</v>
      </c>
      <c r="B2546" t="str">
        <f>"000816"</f>
        <v>000816</v>
      </c>
      <c r="C2546" t="s">
        <v>5422</v>
      </c>
      <c r="D2546" t="s">
        <v>348</v>
      </c>
      <c r="P2546">
        <v>153</v>
      </c>
      <c r="Q2546" t="s">
        <v>5423</v>
      </c>
    </row>
    <row r="2547" spans="1:17" x14ac:dyDescent="0.3">
      <c r="A2547" t="s">
        <v>4708</v>
      </c>
      <c r="B2547" t="str">
        <f>"000818"</f>
        <v>000818</v>
      </c>
      <c r="C2547" t="s">
        <v>5424</v>
      </c>
      <c r="D2547" t="s">
        <v>175</v>
      </c>
      <c r="P2547">
        <v>258</v>
      </c>
      <c r="Q2547" t="s">
        <v>5425</v>
      </c>
    </row>
    <row r="2548" spans="1:17" x14ac:dyDescent="0.3">
      <c r="A2548" t="s">
        <v>4708</v>
      </c>
      <c r="B2548" t="str">
        <f>"000819"</f>
        <v>000819</v>
      </c>
      <c r="C2548" t="s">
        <v>5426</v>
      </c>
      <c r="D2548" t="s">
        <v>1615</v>
      </c>
      <c r="P2548">
        <v>81</v>
      </c>
      <c r="Q2548" t="s">
        <v>5427</v>
      </c>
    </row>
    <row r="2549" spans="1:17" x14ac:dyDescent="0.3">
      <c r="A2549" t="s">
        <v>4708</v>
      </c>
      <c r="B2549" t="str">
        <f>"000820"</f>
        <v>000820</v>
      </c>
      <c r="C2549" t="s">
        <v>5428</v>
      </c>
      <c r="D2549" t="s">
        <v>499</v>
      </c>
      <c r="P2549">
        <v>156</v>
      </c>
      <c r="Q2549" t="s">
        <v>5429</v>
      </c>
    </row>
    <row r="2550" spans="1:17" x14ac:dyDescent="0.3">
      <c r="A2550" t="s">
        <v>4708</v>
      </c>
      <c r="B2550" t="str">
        <f>"000821"</f>
        <v>000821</v>
      </c>
      <c r="C2550" t="s">
        <v>5430</v>
      </c>
      <c r="D2550" t="s">
        <v>3400</v>
      </c>
      <c r="P2550">
        <v>166</v>
      </c>
      <c r="Q2550" t="s">
        <v>5431</v>
      </c>
    </row>
    <row r="2551" spans="1:17" x14ac:dyDescent="0.3">
      <c r="A2551" t="s">
        <v>4708</v>
      </c>
      <c r="B2551" t="str">
        <f>"000822"</f>
        <v>000822</v>
      </c>
      <c r="C2551" t="s">
        <v>5432</v>
      </c>
      <c r="D2551" t="s">
        <v>2522</v>
      </c>
      <c r="P2551">
        <v>211</v>
      </c>
      <c r="Q2551" t="s">
        <v>5433</v>
      </c>
    </row>
    <row r="2552" spans="1:17" x14ac:dyDescent="0.3">
      <c r="A2552" t="s">
        <v>4708</v>
      </c>
      <c r="B2552" t="str">
        <f>"000823"</f>
        <v>000823</v>
      </c>
      <c r="C2552" t="s">
        <v>5434</v>
      </c>
      <c r="D2552" t="s">
        <v>425</v>
      </c>
      <c r="P2552">
        <v>354</v>
      </c>
      <c r="Q2552" t="s">
        <v>5435</v>
      </c>
    </row>
    <row r="2553" spans="1:17" x14ac:dyDescent="0.3">
      <c r="A2553" t="s">
        <v>4708</v>
      </c>
      <c r="B2553" t="str">
        <f>"000825"</f>
        <v>000825</v>
      </c>
      <c r="C2553" t="s">
        <v>5436</v>
      </c>
      <c r="D2553" t="s">
        <v>281</v>
      </c>
      <c r="P2553">
        <v>581</v>
      </c>
      <c r="Q2553" t="s">
        <v>5437</v>
      </c>
    </row>
    <row r="2554" spans="1:17" x14ac:dyDescent="0.3">
      <c r="A2554" t="s">
        <v>4708</v>
      </c>
      <c r="B2554" t="str">
        <f>"000826"</f>
        <v>000826</v>
      </c>
      <c r="C2554" t="s">
        <v>5438</v>
      </c>
      <c r="D2554" t="s">
        <v>3560</v>
      </c>
      <c r="P2554">
        <v>559</v>
      </c>
      <c r="Q2554" t="s">
        <v>5439</v>
      </c>
    </row>
    <row r="2555" spans="1:17" x14ac:dyDescent="0.3">
      <c r="A2555" t="s">
        <v>4708</v>
      </c>
      <c r="B2555" t="str">
        <f>"000828"</f>
        <v>000828</v>
      </c>
      <c r="C2555" t="s">
        <v>5440</v>
      </c>
      <c r="D2555" t="s">
        <v>44</v>
      </c>
      <c r="P2555">
        <v>961</v>
      </c>
      <c r="Q2555" t="s">
        <v>5441</v>
      </c>
    </row>
    <row r="2556" spans="1:17" x14ac:dyDescent="0.3">
      <c r="A2556" t="s">
        <v>4708</v>
      </c>
      <c r="B2556" t="str">
        <f>"000829"</f>
        <v>000829</v>
      </c>
      <c r="C2556" t="s">
        <v>5442</v>
      </c>
      <c r="D2556" t="s">
        <v>295</v>
      </c>
      <c r="P2556">
        <v>187</v>
      </c>
      <c r="Q2556" t="s">
        <v>5443</v>
      </c>
    </row>
    <row r="2557" spans="1:17" x14ac:dyDescent="0.3">
      <c r="A2557" t="s">
        <v>4708</v>
      </c>
      <c r="B2557" t="str">
        <f>"000830"</f>
        <v>000830</v>
      </c>
      <c r="C2557" t="s">
        <v>5444</v>
      </c>
      <c r="D2557" t="s">
        <v>914</v>
      </c>
      <c r="P2557">
        <v>891</v>
      </c>
      <c r="Q2557" t="s">
        <v>5445</v>
      </c>
    </row>
    <row r="2558" spans="1:17" x14ac:dyDescent="0.3">
      <c r="A2558" t="s">
        <v>4708</v>
      </c>
      <c r="B2558" t="str">
        <f>"000831"</f>
        <v>000831</v>
      </c>
      <c r="C2558" t="s">
        <v>5446</v>
      </c>
      <c r="D2558" t="s">
        <v>266</v>
      </c>
      <c r="P2558">
        <v>458</v>
      </c>
      <c r="Q2558" t="s">
        <v>5447</v>
      </c>
    </row>
    <row r="2559" spans="1:17" x14ac:dyDescent="0.3">
      <c r="A2559" t="s">
        <v>4708</v>
      </c>
      <c r="B2559" t="str">
        <f>"000832"</f>
        <v>000832</v>
      </c>
      <c r="C2559" t="s">
        <v>5448</v>
      </c>
      <c r="P2559">
        <v>6</v>
      </c>
      <c r="Q2559" t="s">
        <v>5449</v>
      </c>
    </row>
    <row r="2560" spans="1:17" x14ac:dyDescent="0.3">
      <c r="A2560" t="s">
        <v>4708</v>
      </c>
      <c r="B2560" t="str">
        <f>"000833"</f>
        <v>000833</v>
      </c>
      <c r="C2560" t="s">
        <v>5450</v>
      </c>
      <c r="D2560" t="s">
        <v>110</v>
      </c>
      <c r="P2560">
        <v>88</v>
      </c>
      <c r="Q2560" t="s">
        <v>5451</v>
      </c>
    </row>
    <row r="2561" spans="1:17" x14ac:dyDescent="0.3">
      <c r="A2561" t="s">
        <v>4708</v>
      </c>
      <c r="B2561" t="str">
        <f>"000835"</f>
        <v>000835</v>
      </c>
      <c r="C2561" t="s">
        <v>5452</v>
      </c>
      <c r="D2561" t="s">
        <v>517</v>
      </c>
      <c r="P2561">
        <v>69</v>
      </c>
      <c r="Q2561" t="s">
        <v>5453</v>
      </c>
    </row>
    <row r="2562" spans="1:17" x14ac:dyDescent="0.3">
      <c r="A2562" t="s">
        <v>4708</v>
      </c>
      <c r="B2562" t="str">
        <f>"000836"</f>
        <v>000836</v>
      </c>
      <c r="C2562" t="s">
        <v>5454</v>
      </c>
      <c r="D2562" t="s">
        <v>250</v>
      </c>
      <c r="P2562">
        <v>135</v>
      </c>
      <c r="Q2562" t="s">
        <v>5455</v>
      </c>
    </row>
    <row r="2563" spans="1:17" x14ac:dyDescent="0.3">
      <c r="A2563" t="s">
        <v>4708</v>
      </c>
      <c r="B2563" t="str">
        <f>"000837"</f>
        <v>000837</v>
      </c>
      <c r="C2563" t="s">
        <v>5456</v>
      </c>
      <c r="D2563" t="s">
        <v>2314</v>
      </c>
      <c r="P2563">
        <v>129</v>
      </c>
      <c r="Q2563" t="s">
        <v>5457</v>
      </c>
    </row>
    <row r="2564" spans="1:17" x14ac:dyDescent="0.3">
      <c r="A2564" t="s">
        <v>4708</v>
      </c>
      <c r="B2564" t="str">
        <f>"000838"</f>
        <v>000838</v>
      </c>
      <c r="C2564" t="s">
        <v>5458</v>
      </c>
      <c r="D2564" t="s">
        <v>104</v>
      </c>
      <c r="P2564">
        <v>98</v>
      </c>
      <c r="Q2564" t="s">
        <v>5459</v>
      </c>
    </row>
    <row r="2565" spans="1:17" x14ac:dyDescent="0.3">
      <c r="A2565" t="s">
        <v>4708</v>
      </c>
      <c r="B2565" t="str">
        <f>"000839"</f>
        <v>000839</v>
      </c>
      <c r="C2565" t="s">
        <v>5460</v>
      </c>
      <c r="D2565" t="s">
        <v>110</v>
      </c>
      <c r="P2565">
        <v>219</v>
      </c>
      <c r="Q2565" t="s">
        <v>5461</v>
      </c>
    </row>
    <row r="2566" spans="1:17" x14ac:dyDescent="0.3">
      <c r="A2566" t="s">
        <v>4708</v>
      </c>
      <c r="B2566" t="str">
        <f>"000848"</f>
        <v>000848</v>
      </c>
      <c r="C2566" t="s">
        <v>5462</v>
      </c>
      <c r="D2566" t="s">
        <v>440</v>
      </c>
      <c r="P2566">
        <v>41203</v>
      </c>
      <c r="Q2566" t="s">
        <v>5463</v>
      </c>
    </row>
    <row r="2567" spans="1:17" x14ac:dyDescent="0.3">
      <c r="A2567" t="s">
        <v>4708</v>
      </c>
      <c r="B2567" t="str">
        <f>"000850"</f>
        <v>000850</v>
      </c>
      <c r="C2567" t="s">
        <v>5464</v>
      </c>
      <c r="D2567" t="s">
        <v>1009</v>
      </c>
      <c r="P2567">
        <v>121</v>
      </c>
      <c r="Q2567" t="s">
        <v>5465</v>
      </c>
    </row>
    <row r="2568" spans="1:17" x14ac:dyDescent="0.3">
      <c r="A2568" t="s">
        <v>4708</v>
      </c>
      <c r="B2568" t="str">
        <f>"000851"</f>
        <v>000851</v>
      </c>
      <c r="C2568" t="s">
        <v>5466</v>
      </c>
      <c r="D2568" t="s">
        <v>1019</v>
      </c>
      <c r="P2568">
        <v>224</v>
      </c>
      <c r="Q2568" t="s">
        <v>5467</v>
      </c>
    </row>
    <row r="2569" spans="1:17" x14ac:dyDescent="0.3">
      <c r="A2569" t="s">
        <v>4708</v>
      </c>
      <c r="B2569" t="str">
        <f>"000852"</f>
        <v>000852</v>
      </c>
      <c r="C2569" t="s">
        <v>5468</v>
      </c>
      <c r="D2569" t="s">
        <v>395</v>
      </c>
      <c r="P2569">
        <v>155</v>
      </c>
      <c r="Q2569" t="s">
        <v>5469</v>
      </c>
    </row>
    <row r="2570" spans="1:17" x14ac:dyDescent="0.3">
      <c r="A2570" t="s">
        <v>4708</v>
      </c>
      <c r="B2570" t="str">
        <f>"000856"</f>
        <v>000856</v>
      </c>
      <c r="C2570" t="s">
        <v>5470</v>
      </c>
      <c r="D2570" t="s">
        <v>741</v>
      </c>
      <c r="P2570">
        <v>101</v>
      </c>
      <c r="Q2570" t="s">
        <v>5471</v>
      </c>
    </row>
    <row r="2571" spans="1:17" x14ac:dyDescent="0.3">
      <c r="A2571" t="s">
        <v>4708</v>
      </c>
      <c r="B2571" t="str">
        <f>"000858"</f>
        <v>000858</v>
      </c>
      <c r="C2571" t="s">
        <v>5472</v>
      </c>
      <c r="D2571" t="s">
        <v>458</v>
      </c>
      <c r="P2571">
        <v>11635</v>
      </c>
      <c r="Q2571" t="s">
        <v>5473</v>
      </c>
    </row>
    <row r="2572" spans="1:17" x14ac:dyDescent="0.3">
      <c r="A2572" t="s">
        <v>4708</v>
      </c>
      <c r="B2572" t="str">
        <f>"000859"</f>
        <v>000859</v>
      </c>
      <c r="C2572" t="s">
        <v>5474</v>
      </c>
      <c r="D2572" t="s">
        <v>324</v>
      </c>
      <c r="P2572">
        <v>118</v>
      </c>
      <c r="Q2572" t="s">
        <v>5475</v>
      </c>
    </row>
    <row r="2573" spans="1:17" x14ac:dyDescent="0.3">
      <c r="A2573" t="s">
        <v>4708</v>
      </c>
      <c r="B2573" t="str">
        <f>"000860"</f>
        <v>000860</v>
      </c>
      <c r="C2573" t="s">
        <v>5476</v>
      </c>
      <c r="D2573" t="s">
        <v>458</v>
      </c>
      <c r="P2573">
        <v>1515</v>
      </c>
      <c r="Q2573" t="s">
        <v>5477</v>
      </c>
    </row>
    <row r="2574" spans="1:17" x14ac:dyDescent="0.3">
      <c r="A2574" t="s">
        <v>4708</v>
      </c>
      <c r="B2574" t="str">
        <f>"000861"</f>
        <v>000861</v>
      </c>
      <c r="C2574" t="s">
        <v>5478</v>
      </c>
      <c r="D2574" t="s">
        <v>271</v>
      </c>
      <c r="P2574">
        <v>184</v>
      </c>
      <c r="Q2574" t="s">
        <v>5479</v>
      </c>
    </row>
    <row r="2575" spans="1:17" x14ac:dyDescent="0.3">
      <c r="A2575" t="s">
        <v>4708</v>
      </c>
      <c r="B2575" t="str">
        <f>"000862"</f>
        <v>000862</v>
      </c>
      <c r="C2575" t="s">
        <v>5480</v>
      </c>
      <c r="D2575" t="s">
        <v>383</v>
      </c>
      <c r="P2575">
        <v>171</v>
      </c>
      <c r="Q2575" t="s">
        <v>5481</v>
      </c>
    </row>
    <row r="2576" spans="1:17" x14ac:dyDescent="0.3">
      <c r="A2576" t="s">
        <v>4708</v>
      </c>
      <c r="B2576" t="str">
        <f>"000863"</f>
        <v>000863</v>
      </c>
      <c r="C2576" t="s">
        <v>5482</v>
      </c>
      <c r="D2576" t="s">
        <v>104</v>
      </c>
      <c r="P2576">
        <v>171</v>
      </c>
      <c r="Q2576" t="s">
        <v>5483</v>
      </c>
    </row>
    <row r="2577" spans="1:17" x14ac:dyDescent="0.3">
      <c r="A2577" t="s">
        <v>4708</v>
      </c>
      <c r="B2577" t="str">
        <f>"000868"</f>
        <v>000868</v>
      </c>
      <c r="C2577" t="s">
        <v>5484</v>
      </c>
      <c r="D2577" t="s">
        <v>153</v>
      </c>
      <c r="P2577">
        <v>171</v>
      </c>
      <c r="Q2577" t="s">
        <v>5485</v>
      </c>
    </row>
    <row r="2578" spans="1:17" x14ac:dyDescent="0.3">
      <c r="A2578" t="s">
        <v>4708</v>
      </c>
      <c r="B2578" t="str">
        <f>"000869"</f>
        <v>000869</v>
      </c>
      <c r="C2578" t="s">
        <v>5486</v>
      </c>
      <c r="D2578" t="s">
        <v>134</v>
      </c>
      <c r="P2578">
        <v>833</v>
      </c>
      <c r="Q2578" t="s">
        <v>5487</v>
      </c>
    </row>
    <row r="2579" spans="1:17" x14ac:dyDescent="0.3">
      <c r="A2579" t="s">
        <v>4708</v>
      </c>
      <c r="B2579" t="str">
        <f>"000875"</f>
        <v>000875</v>
      </c>
      <c r="C2579" t="s">
        <v>5488</v>
      </c>
      <c r="D2579" t="s">
        <v>239</v>
      </c>
      <c r="P2579">
        <v>278</v>
      </c>
      <c r="Q2579" t="s">
        <v>5489</v>
      </c>
    </row>
    <row r="2580" spans="1:17" x14ac:dyDescent="0.3">
      <c r="A2580" t="s">
        <v>4708</v>
      </c>
      <c r="B2580" t="str">
        <f>"000876"</f>
        <v>000876</v>
      </c>
      <c r="C2580" t="s">
        <v>5490</v>
      </c>
      <c r="D2580" t="s">
        <v>1896</v>
      </c>
      <c r="P2580">
        <v>2609</v>
      </c>
      <c r="Q2580" t="s">
        <v>5491</v>
      </c>
    </row>
    <row r="2581" spans="1:17" x14ac:dyDescent="0.3">
      <c r="A2581" t="s">
        <v>4708</v>
      </c>
      <c r="B2581" t="str">
        <f>"000877"</f>
        <v>000877</v>
      </c>
      <c r="C2581" t="s">
        <v>5492</v>
      </c>
      <c r="D2581" t="s">
        <v>731</v>
      </c>
      <c r="P2581">
        <v>742</v>
      </c>
      <c r="Q2581" t="s">
        <v>5493</v>
      </c>
    </row>
    <row r="2582" spans="1:17" x14ac:dyDescent="0.3">
      <c r="A2582" t="s">
        <v>4708</v>
      </c>
      <c r="B2582" t="str">
        <f>"000878"</f>
        <v>000878</v>
      </c>
      <c r="C2582" t="s">
        <v>5494</v>
      </c>
      <c r="D2582" t="s">
        <v>263</v>
      </c>
      <c r="P2582">
        <v>418</v>
      </c>
      <c r="Q2582" t="s">
        <v>5495</v>
      </c>
    </row>
    <row r="2583" spans="1:17" x14ac:dyDescent="0.3">
      <c r="A2583" t="s">
        <v>4708</v>
      </c>
      <c r="B2583" t="str">
        <f>"000880"</f>
        <v>000880</v>
      </c>
      <c r="C2583" t="s">
        <v>5496</v>
      </c>
      <c r="D2583" t="s">
        <v>348</v>
      </c>
      <c r="P2583">
        <v>102</v>
      </c>
      <c r="Q2583" t="s">
        <v>5497</v>
      </c>
    </row>
    <row r="2584" spans="1:17" x14ac:dyDescent="0.3">
      <c r="A2584" t="s">
        <v>4708</v>
      </c>
      <c r="B2584" t="str">
        <f>"000881"</f>
        <v>000881</v>
      </c>
      <c r="C2584" t="s">
        <v>5498</v>
      </c>
      <c r="D2584" t="s">
        <v>386</v>
      </c>
      <c r="P2584">
        <v>169</v>
      </c>
      <c r="Q2584" t="s">
        <v>5499</v>
      </c>
    </row>
    <row r="2585" spans="1:17" x14ac:dyDescent="0.3">
      <c r="A2585" t="s">
        <v>4708</v>
      </c>
      <c r="B2585" t="str">
        <f>"000882"</f>
        <v>000882</v>
      </c>
      <c r="C2585" t="s">
        <v>5500</v>
      </c>
      <c r="D2585" t="s">
        <v>633</v>
      </c>
      <c r="P2585">
        <v>114</v>
      </c>
      <c r="Q2585" t="s">
        <v>5501</v>
      </c>
    </row>
    <row r="2586" spans="1:17" x14ac:dyDescent="0.3">
      <c r="A2586" t="s">
        <v>4708</v>
      </c>
      <c r="B2586" t="str">
        <f>"000883"</f>
        <v>000883</v>
      </c>
      <c r="C2586" t="s">
        <v>5502</v>
      </c>
      <c r="D2586" t="s">
        <v>239</v>
      </c>
      <c r="P2586">
        <v>419</v>
      </c>
      <c r="Q2586" t="s">
        <v>5503</v>
      </c>
    </row>
    <row r="2587" spans="1:17" x14ac:dyDescent="0.3">
      <c r="A2587" t="s">
        <v>4708</v>
      </c>
      <c r="B2587" t="str">
        <f>"000885"</f>
        <v>000885</v>
      </c>
      <c r="C2587" t="s">
        <v>5504</v>
      </c>
      <c r="D2587" t="s">
        <v>44</v>
      </c>
      <c r="P2587">
        <v>236</v>
      </c>
      <c r="Q2587" t="s">
        <v>5505</v>
      </c>
    </row>
    <row r="2588" spans="1:17" x14ac:dyDescent="0.3">
      <c r="A2588" t="s">
        <v>4708</v>
      </c>
      <c r="B2588" t="str">
        <f>"000886"</f>
        <v>000886</v>
      </c>
      <c r="C2588" t="s">
        <v>5506</v>
      </c>
      <c r="D2588" t="s">
        <v>44</v>
      </c>
      <c r="P2588">
        <v>130</v>
      </c>
      <c r="Q2588" t="s">
        <v>5507</v>
      </c>
    </row>
    <row r="2589" spans="1:17" x14ac:dyDescent="0.3">
      <c r="A2589" t="s">
        <v>4708</v>
      </c>
      <c r="B2589" t="str">
        <f>"000887"</f>
        <v>000887</v>
      </c>
      <c r="C2589" t="s">
        <v>5508</v>
      </c>
      <c r="D2589" t="s">
        <v>985</v>
      </c>
      <c r="P2589">
        <v>7118</v>
      </c>
      <c r="Q2589" t="s">
        <v>5509</v>
      </c>
    </row>
    <row r="2590" spans="1:17" x14ac:dyDescent="0.3">
      <c r="A2590" t="s">
        <v>4708</v>
      </c>
      <c r="B2590" t="str">
        <f>"000888"</f>
        <v>000888</v>
      </c>
      <c r="C2590" t="s">
        <v>5510</v>
      </c>
      <c r="D2590" t="s">
        <v>119</v>
      </c>
      <c r="P2590">
        <v>218</v>
      </c>
      <c r="Q2590" t="s">
        <v>5511</v>
      </c>
    </row>
    <row r="2591" spans="1:17" x14ac:dyDescent="0.3">
      <c r="A2591" t="s">
        <v>4708</v>
      </c>
      <c r="B2591" t="str">
        <f>"000889"</f>
        <v>000889</v>
      </c>
      <c r="C2591" t="s">
        <v>5512</v>
      </c>
      <c r="D2591" t="s">
        <v>654</v>
      </c>
      <c r="P2591">
        <v>157</v>
      </c>
      <c r="Q2591" t="s">
        <v>5513</v>
      </c>
    </row>
    <row r="2592" spans="1:17" x14ac:dyDescent="0.3">
      <c r="A2592" t="s">
        <v>4708</v>
      </c>
      <c r="B2592" t="str">
        <f>"000890"</f>
        <v>000890</v>
      </c>
      <c r="C2592" t="s">
        <v>5514</v>
      </c>
      <c r="D2592" t="s">
        <v>274</v>
      </c>
      <c r="P2592">
        <v>133</v>
      </c>
      <c r="Q2592" t="s">
        <v>5515</v>
      </c>
    </row>
    <row r="2593" spans="1:17" x14ac:dyDescent="0.3">
      <c r="A2593" t="s">
        <v>4708</v>
      </c>
      <c r="B2593" t="str">
        <f>"000892"</f>
        <v>000892</v>
      </c>
      <c r="C2593" t="s">
        <v>5516</v>
      </c>
      <c r="D2593" t="s">
        <v>113</v>
      </c>
      <c r="P2593">
        <v>109</v>
      </c>
      <c r="Q2593" t="s">
        <v>5517</v>
      </c>
    </row>
    <row r="2594" spans="1:17" x14ac:dyDescent="0.3">
      <c r="A2594" t="s">
        <v>4708</v>
      </c>
      <c r="B2594" t="str">
        <f>"000893"</f>
        <v>000893</v>
      </c>
      <c r="C2594" t="s">
        <v>5518</v>
      </c>
      <c r="D2594" t="s">
        <v>3443</v>
      </c>
      <c r="P2594">
        <v>159</v>
      </c>
      <c r="Q2594" t="s">
        <v>5519</v>
      </c>
    </row>
    <row r="2595" spans="1:17" x14ac:dyDescent="0.3">
      <c r="A2595" t="s">
        <v>4708</v>
      </c>
      <c r="B2595" t="str">
        <f>"000895"</f>
        <v>000895</v>
      </c>
      <c r="C2595" t="s">
        <v>5520</v>
      </c>
      <c r="D2595" t="s">
        <v>170</v>
      </c>
      <c r="P2595">
        <v>37259</v>
      </c>
      <c r="Q2595" t="s">
        <v>5521</v>
      </c>
    </row>
    <row r="2596" spans="1:17" x14ac:dyDescent="0.3">
      <c r="A2596" t="s">
        <v>4708</v>
      </c>
      <c r="B2596" t="str">
        <f>"000897"</f>
        <v>000897</v>
      </c>
      <c r="C2596" t="s">
        <v>5522</v>
      </c>
      <c r="D2596" t="s">
        <v>104</v>
      </c>
      <c r="P2596">
        <v>170</v>
      </c>
      <c r="Q2596" t="s">
        <v>5523</v>
      </c>
    </row>
    <row r="2597" spans="1:17" x14ac:dyDescent="0.3">
      <c r="A2597" t="s">
        <v>4708</v>
      </c>
      <c r="B2597" t="str">
        <f>"000898"</f>
        <v>000898</v>
      </c>
      <c r="C2597" t="s">
        <v>5524</v>
      </c>
      <c r="D2597" t="s">
        <v>38</v>
      </c>
      <c r="P2597">
        <v>646</v>
      </c>
      <c r="Q2597" t="s">
        <v>5525</v>
      </c>
    </row>
    <row r="2598" spans="1:17" x14ac:dyDescent="0.3">
      <c r="A2598" t="s">
        <v>4708</v>
      </c>
      <c r="B2598" t="str">
        <f>"000899"</f>
        <v>000899</v>
      </c>
      <c r="C2598" t="s">
        <v>5526</v>
      </c>
      <c r="D2598" t="s">
        <v>41</v>
      </c>
      <c r="P2598">
        <v>174</v>
      </c>
      <c r="Q2598" t="s">
        <v>5527</v>
      </c>
    </row>
    <row r="2599" spans="1:17" x14ac:dyDescent="0.3">
      <c r="A2599" t="s">
        <v>4708</v>
      </c>
      <c r="B2599" t="str">
        <f>"000900"</f>
        <v>000900</v>
      </c>
      <c r="C2599" t="s">
        <v>5528</v>
      </c>
      <c r="D2599" t="s">
        <v>44</v>
      </c>
      <c r="P2599">
        <v>570</v>
      </c>
      <c r="Q2599" t="s">
        <v>5529</v>
      </c>
    </row>
    <row r="2600" spans="1:17" x14ac:dyDescent="0.3">
      <c r="A2600" t="s">
        <v>4708</v>
      </c>
      <c r="B2600" t="str">
        <f>"000901"</f>
        <v>000901</v>
      </c>
      <c r="C2600" t="s">
        <v>5530</v>
      </c>
      <c r="D2600" t="s">
        <v>1136</v>
      </c>
      <c r="P2600">
        <v>224</v>
      </c>
      <c r="Q2600" t="s">
        <v>5531</v>
      </c>
    </row>
    <row r="2601" spans="1:17" x14ac:dyDescent="0.3">
      <c r="A2601" t="s">
        <v>4708</v>
      </c>
      <c r="B2601" t="str">
        <f>"000902"</f>
        <v>000902</v>
      </c>
      <c r="C2601" t="s">
        <v>5532</v>
      </c>
      <c r="D2601" t="s">
        <v>5533</v>
      </c>
      <c r="P2601">
        <v>406</v>
      </c>
      <c r="Q2601" t="s">
        <v>5534</v>
      </c>
    </row>
    <row r="2602" spans="1:17" x14ac:dyDescent="0.3">
      <c r="A2602" t="s">
        <v>4708</v>
      </c>
      <c r="B2602" t="str">
        <f>"000903"</f>
        <v>000903</v>
      </c>
      <c r="C2602" t="s">
        <v>5535</v>
      </c>
      <c r="D2602" t="s">
        <v>348</v>
      </c>
      <c r="P2602">
        <v>155</v>
      </c>
      <c r="Q2602" t="s">
        <v>5536</v>
      </c>
    </row>
    <row r="2603" spans="1:17" x14ac:dyDescent="0.3">
      <c r="A2603" t="s">
        <v>4708</v>
      </c>
      <c r="B2603" t="str">
        <f>"000905"</f>
        <v>000905</v>
      </c>
      <c r="C2603" t="s">
        <v>5537</v>
      </c>
      <c r="D2603" t="s">
        <v>51</v>
      </c>
      <c r="P2603">
        <v>213</v>
      </c>
      <c r="Q2603" t="s">
        <v>5538</v>
      </c>
    </row>
    <row r="2604" spans="1:17" x14ac:dyDescent="0.3">
      <c r="A2604" t="s">
        <v>4708</v>
      </c>
      <c r="B2604" t="str">
        <f>"000906"</f>
        <v>000906</v>
      </c>
      <c r="C2604" t="s">
        <v>5539</v>
      </c>
      <c r="D2604" t="s">
        <v>128</v>
      </c>
      <c r="P2604">
        <v>238</v>
      </c>
      <c r="Q2604" t="s">
        <v>5540</v>
      </c>
    </row>
    <row r="2605" spans="1:17" x14ac:dyDescent="0.3">
      <c r="A2605" t="s">
        <v>4708</v>
      </c>
      <c r="B2605" t="str">
        <f>"000908"</f>
        <v>000908</v>
      </c>
      <c r="C2605" t="s">
        <v>5541</v>
      </c>
      <c r="D2605" t="s">
        <v>143</v>
      </c>
      <c r="P2605">
        <v>186</v>
      </c>
      <c r="Q2605" t="s">
        <v>5542</v>
      </c>
    </row>
    <row r="2606" spans="1:17" x14ac:dyDescent="0.3">
      <c r="A2606" t="s">
        <v>4708</v>
      </c>
      <c r="B2606" t="str">
        <f>"000909"</f>
        <v>000909</v>
      </c>
      <c r="C2606" t="s">
        <v>5543</v>
      </c>
      <c r="D2606" t="s">
        <v>104</v>
      </c>
      <c r="P2606">
        <v>206</v>
      </c>
      <c r="Q2606" t="s">
        <v>5544</v>
      </c>
    </row>
    <row r="2607" spans="1:17" x14ac:dyDescent="0.3">
      <c r="A2607" t="s">
        <v>4708</v>
      </c>
      <c r="B2607" t="str">
        <f>"000910"</f>
        <v>000910</v>
      </c>
      <c r="C2607" t="s">
        <v>5545</v>
      </c>
      <c r="D2607" t="s">
        <v>178</v>
      </c>
      <c r="P2607">
        <v>813</v>
      </c>
      <c r="Q2607" t="s">
        <v>5546</v>
      </c>
    </row>
    <row r="2608" spans="1:17" x14ac:dyDescent="0.3">
      <c r="A2608" t="s">
        <v>4708</v>
      </c>
      <c r="B2608" t="str">
        <f>"000911"</f>
        <v>000911</v>
      </c>
      <c r="C2608" t="s">
        <v>5547</v>
      </c>
      <c r="D2608" t="s">
        <v>445</v>
      </c>
      <c r="P2608">
        <v>334</v>
      </c>
      <c r="Q2608" t="s">
        <v>5548</v>
      </c>
    </row>
    <row r="2609" spans="1:17" x14ac:dyDescent="0.3">
      <c r="A2609" t="s">
        <v>4708</v>
      </c>
      <c r="B2609" t="str">
        <f>"000912"</f>
        <v>000912</v>
      </c>
      <c r="C2609" t="s">
        <v>5549</v>
      </c>
      <c r="D2609" t="s">
        <v>909</v>
      </c>
      <c r="P2609">
        <v>110</v>
      </c>
      <c r="Q2609" t="s">
        <v>5550</v>
      </c>
    </row>
    <row r="2610" spans="1:17" x14ac:dyDescent="0.3">
      <c r="A2610" t="s">
        <v>4708</v>
      </c>
      <c r="B2610" t="str">
        <f>"000913"</f>
        <v>000913</v>
      </c>
      <c r="C2610" t="s">
        <v>5551</v>
      </c>
      <c r="D2610" t="s">
        <v>1654</v>
      </c>
      <c r="P2610">
        <v>176</v>
      </c>
      <c r="Q2610" t="s">
        <v>5552</v>
      </c>
    </row>
    <row r="2611" spans="1:17" x14ac:dyDescent="0.3">
      <c r="A2611" t="s">
        <v>4708</v>
      </c>
      <c r="B2611" t="str">
        <f>"000915"</f>
        <v>000915</v>
      </c>
      <c r="C2611" t="s">
        <v>5553</v>
      </c>
      <c r="D2611" t="s">
        <v>143</v>
      </c>
      <c r="P2611">
        <v>648</v>
      </c>
      <c r="Q2611" t="s">
        <v>5554</v>
      </c>
    </row>
    <row r="2612" spans="1:17" x14ac:dyDescent="0.3">
      <c r="A2612" t="s">
        <v>4708</v>
      </c>
      <c r="B2612" t="str">
        <f>"000916"</f>
        <v>000916</v>
      </c>
      <c r="C2612" t="s">
        <v>5555</v>
      </c>
      <c r="P2612">
        <v>27</v>
      </c>
      <c r="Q2612" t="s">
        <v>5556</v>
      </c>
    </row>
    <row r="2613" spans="1:17" x14ac:dyDescent="0.3">
      <c r="A2613" t="s">
        <v>4708</v>
      </c>
      <c r="B2613" t="str">
        <f>"000917"</f>
        <v>000917</v>
      </c>
      <c r="C2613" t="s">
        <v>5557</v>
      </c>
      <c r="D2613" t="s">
        <v>95</v>
      </c>
      <c r="P2613">
        <v>267</v>
      </c>
      <c r="Q2613" t="s">
        <v>5558</v>
      </c>
    </row>
    <row r="2614" spans="1:17" x14ac:dyDescent="0.3">
      <c r="A2614" t="s">
        <v>4708</v>
      </c>
      <c r="B2614" t="str">
        <f>"000918"</f>
        <v>000918</v>
      </c>
      <c r="C2614" t="s">
        <v>5559</v>
      </c>
      <c r="D2614" t="s">
        <v>104</v>
      </c>
      <c r="P2614">
        <v>123</v>
      </c>
      <c r="Q2614" t="s">
        <v>5560</v>
      </c>
    </row>
    <row r="2615" spans="1:17" x14ac:dyDescent="0.3">
      <c r="A2615" t="s">
        <v>4708</v>
      </c>
      <c r="B2615" t="str">
        <f>"000919"</f>
        <v>000919</v>
      </c>
      <c r="C2615" t="s">
        <v>5561</v>
      </c>
      <c r="D2615" t="s">
        <v>188</v>
      </c>
      <c r="P2615">
        <v>179</v>
      </c>
      <c r="Q2615" t="s">
        <v>5562</v>
      </c>
    </row>
    <row r="2616" spans="1:17" x14ac:dyDescent="0.3">
      <c r="A2616" t="s">
        <v>4708</v>
      </c>
      <c r="B2616" t="str">
        <f>"000920"</f>
        <v>000920</v>
      </c>
      <c r="C2616" t="s">
        <v>5563</v>
      </c>
      <c r="D2616" t="s">
        <v>33</v>
      </c>
      <c r="P2616">
        <v>122</v>
      </c>
      <c r="Q2616" t="s">
        <v>5564</v>
      </c>
    </row>
    <row r="2617" spans="1:17" x14ac:dyDescent="0.3">
      <c r="A2617" t="s">
        <v>4708</v>
      </c>
      <c r="B2617" t="str">
        <f>"000921"</f>
        <v>000921</v>
      </c>
      <c r="C2617" t="s">
        <v>5565</v>
      </c>
      <c r="D2617" t="s">
        <v>1723</v>
      </c>
      <c r="P2617">
        <v>13182</v>
      </c>
      <c r="Q2617" t="s">
        <v>5566</v>
      </c>
    </row>
    <row r="2618" spans="1:17" x14ac:dyDescent="0.3">
      <c r="A2618" t="s">
        <v>4708</v>
      </c>
      <c r="B2618" t="str">
        <f>"000922"</f>
        <v>000922</v>
      </c>
      <c r="C2618" t="s">
        <v>5567</v>
      </c>
      <c r="D2618" t="s">
        <v>1171</v>
      </c>
      <c r="P2618">
        <v>261</v>
      </c>
      <c r="Q2618" t="s">
        <v>5568</v>
      </c>
    </row>
    <row r="2619" spans="1:17" x14ac:dyDescent="0.3">
      <c r="A2619" t="s">
        <v>4708</v>
      </c>
      <c r="B2619" t="str">
        <f>"000923"</f>
        <v>000923</v>
      </c>
      <c r="C2619" t="s">
        <v>5569</v>
      </c>
      <c r="D2619" t="s">
        <v>2369</v>
      </c>
      <c r="P2619">
        <v>224</v>
      </c>
      <c r="Q2619" t="s">
        <v>5570</v>
      </c>
    </row>
    <row r="2620" spans="1:17" x14ac:dyDescent="0.3">
      <c r="A2620" t="s">
        <v>4708</v>
      </c>
      <c r="B2620" t="str">
        <f>"000925"</f>
        <v>000925</v>
      </c>
      <c r="C2620" t="s">
        <v>5571</v>
      </c>
      <c r="D2620" t="s">
        <v>1012</v>
      </c>
      <c r="P2620">
        <v>188</v>
      </c>
      <c r="Q2620" t="s">
        <v>5572</v>
      </c>
    </row>
    <row r="2621" spans="1:17" x14ac:dyDescent="0.3">
      <c r="A2621" t="s">
        <v>4708</v>
      </c>
      <c r="B2621" t="str">
        <f>"000926"</f>
        <v>000926</v>
      </c>
      <c r="C2621" t="s">
        <v>5573</v>
      </c>
      <c r="D2621" t="s">
        <v>104</v>
      </c>
      <c r="P2621">
        <v>239</v>
      </c>
      <c r="Q2621" t="s">
        <v>5574</v>
      </c>
    </row>
    <row r="2622" spans="1:17" x14ac:dyDescent="0.3">
      <c r="A2622" t="s">
        <v>4708</v>
      </c>
      <c r="B2622" t="str">
        <f>"000927"</f>
        <v>000927</v>
      </c>
      <c r="C2622" t="s">
        <v>5575</v>
      </c>
      <c r="D2622" t="s">
        <v>247</v>
      </c>
      <c r="P2622">
        <v>131</v>
      </c>
      <c r="Q2622" t="s">
        <v>5576</v>
      </c>
    </row>
    <row r="2623" spans="1:17" x14ac:dyDescent="0.3">
      <c r="A2623" t="s">
        <v>4708</v>
      </c>
      <c r="B2623" t="str">
        <f>"000928"</f>
        <v>000928</v>
      </c>
      <c r="C2623" t="s">
        <v>5577</v>
      </c>
      <c r="D2623" t="s">
        <v>1889</v>
      </c>
      <c r="P2623">
        <v>271</v>
      </c>
      <c r="Q2623" t="s">
        <v>5578</v>
      </c>
    </row>
    <row r="2624" spans="1:17" x14ac:dyDescent="0.3">
      <c r="A2624" t="s">
        <v>4708</v>
      </c>
      <c r="B2624" t="str">
        <f>"000929"</f>
        <v>000929</v>
      </c>
      <c r="C2624" t="s">
        <v>5579</v>
      </c>
      <c r="D2624" t="s">
        <v>319</v>
      </c>
      <c r="P2624">
        <v>144</v>
      </c>
      <c r="Q2624" t="s">
        <v>5580</v>
      </c>
    </row>
    <row r="2625" spans="1:17" x14ac:dyDescent="0.3">
      <c r="A2625" t="s">
        <v>4708</v>
      </c>
      <c r="B2625" t="str">
        <f>"000930"</f>
        <v>000930</v>
      </c>
      <c r="C2625" t="s">
        <v>5581</v>
      </c>
      <c r="D2625" t="s">
        <v>445</v>
      </c>
      <c r="P2625">
        <v>378</v>
      </c>
      <c r="Q2625" t="s">
        <v>5582</v>
      </c>
    </row>
    <row r="2626" spans="1:17" x14ac:dyDescent="0.3">
      <c r="A2626" t="s">
        <v>4708</v>
      </c>
      <c r="B2626" t="str">
        <f>"000931"</f>
        <v>000931</v>
      </c>
      <c r="C2626" t="s">
        <v>5583</v>
      </c>
      <c r="D2626" t="s">
        <v>143</v>
      </c>
      <c r="P2626">
        <v>142</v>
      </c>
      <c r="Q2626" t="s">
        <v>5584</v>
      </c>
    </row>
    <row r="2627" spans="1:17" x14ac:dyDescent="0.3">
      <c r="A2627" t="s">
        <v>4708</v>
      </c>
      <c r="B2627" t="str">
        <f>"000932"</f>
        <v>000932</v>
      </c>
      <c r="C2627" t="s">
        <v>5585</v>
      </c>
      <c r="D2627" t="s">
        <v>38</v>
      </c>
      <c r="P2627">
        <v>1039</v>
      </c>
      <c r="Q2627" t="s">
        <v>5586</v>
      </c>
    </row>
    <row r="2628" spans="1:17" x14ac:dyDescent="0.3">
      <c r="A2628" t="s">
        <v>4708</v>
      </c>
      <c r="B2628" t="str">
        <f>"000933"</f>
        <v>000933</v>
      </c>
      <c r="C2628" t="s">
        <v>5587</v>
      </c>
      <c r="D2628" t="s">
        <v>504</v>
      </c>
      <c r="P2628">
        <v>461</v>
      </c>
      <c r="Q2628" t="s">
        <v>5588</v>
      </c>
    </row>
    <row r="2629" spans="1:17" x14ac:dyDescent="0.3">
      <c r="A2629" t="s">
        <v>4708</v>
      </c>
      <c r="B2629" t="str">
        <f>"000935"</f>
        <v>000935</v>
      </c>
      <c r="C2629" t="s">
        <v>5589</v>
      </c>
      <c r="D2629" t="s">
        <v>731</v>
      </c>
      <c r="P2629">
        <v>230</v>
      </c>
      <c r="Q2629" t="s">
        <v>5590</v>
      </c>
    </row>
    <row r="2630" spans="1:17" x14ac:dyDescent="0.3">
      <c r="A2630" t="s">
        <v>4708</v>
      </c>
      <c r="B2630" t="str">
        <f>"000936"</f>
        <v>000936</v>
      </c>
      <c r="C2630" t="s">
        <v>5591</v>
      </c>
      <c r="D2630" t="s">
        <v>2720</v>
      </c>
      <c r="P2630">
        <v>226</v>
      </c>
      <c r="Q2630" t="s">
        <v>5592</v>
      </c>
    </row>
    <row r="2631" spans="1:17" x14ac:dyDescent="0.3">
      <c r="A2631" t="s">
        <v>4708</v>
      </c>
      <c r="B2631" t="str">
        <f>"000937"</f>
        <v>000937</v>
      </c>
      <c r="C2631" t="s">
        <v>5593</v>
      </c>
      <c r="D2631" t="s">
        <v>298</v>
      </c>
      <c r="P2631">
        <v>350</v>
      </c>
      <c r="Q2631" t="s">
        <v>5594</v>
      </c>
    </row>
    <row r="2632" spans="1:17" x14ac:dyDescent="0.3">
      <c r="A2632" t="s">
        <v>4708</v>
      </c>
      <c r="B2632" t="str">
        <f>"000938"</f>
        <v>000938</v>
      </c>
      <c r="C2632" t="s">
        <v>5595</v>
      </c>
      <c r="D2632" t="s">
        <v>316</v>
      </c>
      <c r="P2632">
        <v>3894</v>
      </c>
      <c r="Q2632" t="s">
        <v>5596</v>
      </c>
    </row>
    <row r="2633" spans="1:17" x14ac:dyDescent="0.3">
      <c r="A2633" t="s">
        <v>4708</v>
      </c>
      <c r="B2633" t="str">
        <f>"000939"</f>
        <v>000939</v>
      </c>
      <c r="C2633" t="s">
        <v>5597</v>
      </c>
      <c r="P2633">
        <v>61</v>
      </c>
      <c r="Q2633" t="s">
        <v>5598</v>
      </c>
    </row>
    <row r="2634" spans="1:17" x14ac:dyDescent="0.3">
      <c r="A2634" t="s">
        <v>4708</v>
      </c>
      <c r="B2634" t="str">
        <f>"000948"</f>
        <v>000948</v>
      </c>
      <c r="C2634" t="s">
        <v>5599</v>
      </c>
      <c r="D2634" t="s">
        <v>945</v>
      </c>
      <c r="P2634">
        <v>213</v>
      </c>
      <c r="Q2634" t="s">
        <v>5600</v>
      </c>
    </row>
    <row r="2635" spans="1:17" x14ac:dyDescent="0.3">
      <c r="A2635" t="s">
        <v>4708</v>
      </c>
      <c r="B2635" t="str">
        <f>"000949"</f>
        <v>000949</v>
      </c>
      <c r="C2635" t="s">
        <v>5601</v>
      </c>
      <c r="D2635" t="s">
        <v>5602</v>
      </c>
      <c r="P2635">
        <v>157</v>
      </c>
      <c r="Q2635" t="s">
        <v>5603</v>
      </c>
    </row>
    <row r="2636" spans="1:17" x14ac:dyDescent="0.3">
      <c r="A2636" t="s">
        <v>4708</v>
      </c>
      <c r="B2636" t="str">
        <f>"000950"</f>
        <v>000950</v>
      </c>
      <c r="C2636" t="s">
        <v>5604</v>
      </c>
      <c r="D2636" t="s">
        <v>125</v>
      </c>
      <c r="P2636">
        <v>145</v>
      </c>
      <c r="Q2636" t="s">
        <v>5605</v>
      </c>
    </row>
    <row r="2637" spans="1:17" x14ac:dyDescent="0.3">
      <c r="A2637" t="s">
        <v>4708</v>
      </c>
      <c r="B2637" t="str">
        <f>"000951"</f>
        <v>000951</v>
      </c>
      <c r="C2637" t="s">
        <v>5606</v>
      </c>
      <c r="D2637" t="s">
        <v>27</v>
      </c>
      <c r="P2637">
        <v>856</v>
      </c>
      <c r="Q2637" t="s">
        <v>5607</v>
      </c>
    </row>
    <row r="2638" spans="1:17" x14ac:dyDescent="0.3">
      <c r="A2638" t="s">
        <v>4708</v>
      </c>
      <c r="B2638" t="str">
        <f>"000952"</f>
        <v>000952</v>
      </c>
      <c r="C2638" t="s">
        <v>5608</v>
      </c>
      <c r="D2638" t="s">
        <v>496</v>
      </c>
      <c r="P2638">
        <v>169</v>
      </c>
      <c r="Q2638" t="s">
        <v>5609</v>
      </c>
    </row>
    <row r="2639" spans="1:17" x14ac:dyDescent="0.3">
      <c r="A2639" t="s">
        <v>4708</v>
      </c>
      <c r="B2639" t="str">
        <f>"000953"</f>
        <v>000953</v>
      </c>
      <c r="C2639" t="s">
        <v>5610</v>
      </c>
      <c r="D2639" t="s">
        <v>909</v>
      </c>
      <c r="P2639">
        <v>90</v>
      </c>
      <c r="Q2639" t="s">
        <v>5611</v>
      </c>
    </row>
    <row r="2640" spans="1:17" x14ac:dyDescent="0.3">
      <c r="A2640" t="s">
        <v>4708</v>
      </c>
      <c r="B2640" t="str">
        <f>"000955"</f>
        <v>000955</v>
      </c>
      <c r="C2640" t="s">
        <v>5612</v>
      </c>
      <c r="D2640" t="s">
        <v>366</v>
      </c>
      <c r="P2640">
        <v>241</v>
      </c>
      <c r="Q2640" t="s">
        <v>5613</v>
      </c>
    </row>
    <row r="2641" spans="1:17" x14ac:dyDescent="0.3">
      <c r="A2641" t="s">
        <v>4708</v>
      </c>
      <c r="B2641" t="str">
        <f>"000957"</f>
        <v>000957</v>
      </c>
      <c r="C2641" t="s">
        <v>5614</v>
      </c>
      <c r="D2641" t="s">
        <v>153</v>
      </c>
      <c r="P2641">
        <v>227</v>
      </c>
      <c r="Q2641" t="s">
        <v>5615</v>
      </c>
    </row>
    <row r="2642" spans="1:17" x14ac:dyDescent="0.3">
      <c r="A2642" t="s">
        <v>4708</v>
      </c>
      <c r="B2642" t="str">
        <f>"000958"</f>
        <v>000958</v>
      </c>
      <c r="C2642" t="s">
        <v>5616</v>
      </c>
      <c r="D2642" t="s">
        <v>41</v>
      </c>
      <c r="P2642">
        <v>162</v>
      </c>
      <c r="Q2642" t="s">
        <v>5617</v>
      </c>
    </row>
    <row r="2643" spans="1:17" x14ac:dyDescent="0.3">
      <c r="A2643" t="s">
        <v>4708</v>
      </c>
      <c r="B2643" t="str">
        <f>"000959"</f>
        <v>000959</v>
      </c>
      <c r="C2643" t="s">
        <v>5618</v>
      </c>
      <c r="D2643" t="s">
        <v>38</v>
      </c>
      <c r="P2643">
        <v>254</v>
      </c>
      <c r="Q2643" t="s">
        <v>5619</v>
      </c>
    </row>
    <row r="2644" spans="1:17" x14ac:dyDescent="0.3">
      <c r="A2644" t="s">
        <v>4708</v>
      </c>
      <c r="B2644" t="str">
        <f>"000960"</f>
        <v>000960</v>
      </c>
      <c r="C2644" t="s">
        <v>5620</v>
      </c>
      <c r="D2644" t="s">
        <v>636</v>
      </c>
      <c r="P2644">
        <v>356</v>
      </c>
      <c r="Q2644" t="s">
        <v>5621</v>
      </c>
    </row>
    <row r="2645" spans="1:17" x14ac:dyDescent="0.3">
      <c r="A2645" t="s">
        <v>4708</v>
      </c>
      <c r="B2645" t="str">
        <f>"000961"</f>
        <v>000961</v>
      </c>
      <c r="C2645" t="s">
        <v>5622</v>
      </c>
      <c r="D2645" t="s">
        <v>104</v>
      </c>
      <c r="P2645">
        <v>898</v>
      </c>
      <c r="Q2645" t="s">
        <v>5623</v>
      </c>
    </row>
    <row r="2646" spans="1:17" x14ac:dyDescent="0.3">
      <c r="A2646" t="s">
        <v>4708</v>
      </c>
      <c r="B2646" t="str">
        <f>"000962"</f>
        <v>000962</v>
      </c>
      <c r="C2646" t="s">
        <v>5624</v>
      </c>
      <c r="D2646" t="s">
        <v>636</v>
      </c>
      <c r="P2646">
        <v>131</v>
      </c>
      <c r="Q2646" t="s">
        <v>5625</v>
      </c>
    </row>
    <row r="2647" spans="1:17" x14ac:dyDescent="0.3">
      <c r="A2647" t="s">
        <v>4708</v>
      </c>
      <c r="B2647" t="str">
        <f>"000963"</f>
        <v>000963</v>
      </c>
      <c r="C2647" t="s">
        <v>5626</v>
      </c>
      <c r="D2647" t="s">
        <v>143</v>
      </c>
      <c r="P2647">
        <v>59262</v>
      </c>
      <c r="Q2647" t="s">
        <v>5627</v>
      </c>
    </row>
    <row r="2648" spans="1:17" x14ac:dyDescent="0.3">
      <c r="A2648" t="s">
        <v>4708</v>
      </c>
      <c r="B2648" t="str">
        <f>"000965"</f>
        <v>000965</v>
      </c>
      <c r="C2648" t="s">
        <v>5628</v>
      </c>
      <c r="D2648" t="s">
        <v>104</v>
      </c>
      <c r="P2648">
        <v>116</v>
      </c>
      <c r="Q2648" t="s">
        <v>5629</v>
      </c>
    </row>
    <row r="2649" spans="1:17" x14ac:dyDescent="0.3">
      <c r="A2649" t="s">
        <v>4708</v>
      </c>
      <c r="B2649" t="str">
        <f>"000966"</f>
        <v>000966</v>
      </c>
      <c r="C2649" t="s">
        <v>5630</v>
      </c>
      <c r="D2649" t="s">
        <v>41</v>
      </c>
      <c r="P2649">
        <v>398</v>
      </c>
      <c r="Q2649" t="s">
        <v>5631</v>
      </c>
    </row>
    <row r="2650" spans="1:17" x14ac:dyDescent="0.3">
      <c r="A2650" t="s">
        <v>4708</v>
      </c>
      <c r="B2650" t="str">
        <f>"000967"</f>
        <v>000967</v>
      </c>
      <c r="C2650" t="s">
        <v>5632</v>
      </c>
      <c r="D2650" t="s">
        <v>1070</v>
      </c>
      <c r="P2650">
        <v>329</v>
      </c>
      <c r="Q2650" t="s">
        <v>5633</v>
      </c>
    </row>
    <row r="2651" spans="1:17" x14ac:dyDescent="0.3">
      <c r="A2651" t="s">
        <v>4708</v>
      </c>
      <c r="B2651" t="str">
        <f>"000968"</f>
        <v>000968</v>
      </c>
      <c r="C2651" t="s">
        <v>5634</v>
      </c>
      <c r="D2651" t="s">
        <v>1541</v>
      </c>
      <c r="P2651">
        <v>244</v>
      </c>
      <c r="Q2651" t="s">
        <v>5635</v>
      </c>
    </row>
    <row r="2652" spans="1:17" x14ac:dyDescent="0.3">
      <c r="A2652" t="s">
        <v>4708</v>
      </c>
      <c r="B2652" t="str">
        <f>"000969"</f>
        <v>000969</v>
      </c>
      <c r="C2652" t="s">
        <v>5636</v>
      </c>
      <c r="D2652" t="s">
        <v>581</v>
      </c>
      <c r="P2652">
        <v>224</v>
      </c>
      <c r="Q2652" t="s">
        <v>5637</v>
      </c>
    </row>
    <row r="2653" spans="1:17" x14ac:dyDescent="0.3">
      <c r="A2653" t="s">
        <v>4708</v>
      </c>
      <c r="B2653" t="str">
        <f>"000970"</f>
        <v>000970</v>
      </c>
      <c r="C2653" t="s">
        <v>5638</v>
      </c>
      <c r="D2653" t="s">
        <v>808</v>
      </c>
      <c r="P2653">
        <v>364</v>
      </c>
      <c r="Q2653" t="s">
        <v>5639</v>
      </c>
    </row>
    <row r="2654" spans="1:17" x14ac:dyDescent="0.3">
      <c r="A2654" t="s">
        <v>4708</v>
      </c>
      <c r="B2654" t="str">
        <f>"000971"</f>
        <v>000971</v>
      </c>
      <c r="C2654" t="s">
        <v>5640</v>
      </c>
      <c r="D2654" t="s">
        <v>5641</v>
      </c>
      <c r="P2654">
        <v>74</v>
      </c>
      <c r="Q2654" t="s">
        <v>5642</v>
      </c>
    </row>
    <row r="2655" spans="1:17" x14ac:dyDescent="0.3">
      <c r="A2655" t="s">
        <v>4708</v>
      </c>
      <c r="B2655" t="str">
        <f>"000972"</f>
        <v>000972</v>
      </c>
      <c r="C2655" t="s">
        <v>5643</v>
      </c>
      <c r="D2655" t="s">
        <v>574</v>
      </c>
      <c r="P2655">
        <v>78</v>
      </c>
      <c r="Q2655" t="s">
        <v>5644</v>
      </c>
    </row>
    <row r="2656" spans="1:17" x14ac:dyDescent="0.3">
      <c r="A2656" t="s">
        <v>4708</v>
      </c>
      <c r="B2656" t="str">
        <f>"000973"</f>
        <v>000973</v>
      </c>
      <c r="C2656" t="s">
        <v>5645</v>
      </c>
      <c r="D2656" t="s">
        <v>324</v>
      </c>
      <c r="P2656">
        <v>123</v>
      </c>
      <c r="Q2656" t="s">
        <v>5646</v>
      </c>
    </row>
    <row r="2657" spans="1:17" x14ac:dyDescent="0.3">
      <c r="A2657" t="s">
        <v>4708</v>
      </c>
      <c r="B2657" t="str">
        <f>"000975"</f>
        <v>000975</v>
      </c>
      <c r="C2657" t="s">
        <v>5647</v>
      </c>
      <c r="D2657" t="s">
        <v>701</v>
      </c>
      <c r="P2657">
        <v>391</v>
      </c>
      <c r="Q2657" t="s">
        <v>5648</v>
      </c>
    </row>
    <row r="2658" spans="1:17" x14ac:dyDescent="0.3">
      <c r="A2658" t="s">
        <v>4708</v>
      </c>
      <c r="B2658" t="str">
        <f>"000976"</f>
        <v>000976</v>
      </c>
      <c r="C2658" t="s">
        <v>5649</v>
      </c>
      <c r="D2658" t="s">
        <v>1012</v>
      </c>
      <c r="P2658">
        <v>146</v>
      </c>
      <c r="Q2658" t="s">
        <v>5650</v>
      </c>
    </row>
    <row r="2659" spans="1:17" x14ac:dyDescent="0.3">
      <c r="A2659" t="s">
        <v>4708</v>
      </c>
      <c r="B2659" t="str">
        <f>"000977"</f>
        <v>000977</v>
      </c>
      <c r="C2659" t="s">
        <v>5651</v>
      </c>
      <c r="D2659" t="s">
        <v>236</v>
      </c>
      <c r="P2659">
        <v>4425</v>
      </c>
      <c r="Q2659" t="s">
        <v>5652</v>
      </c>
    </row>
    <row r="2660" spans="1:17" x14ac:dyDescent="0.3">
      <c r="A2660" t="s">
        <v>4708</v>
      </c>
      <c r="B2660" t="str">
        <f>"000978"</f>
        <v>000978</v>
      </c>
      <c r="C2660" t="s">
        <v>5653</v>
      </c>
      <c r="D2660" t="s">
        <v>119</v>
      </c>
      <c r="P2660">
        <v>140</v>
      </c>
      <c r="Q2660" t="s">
        <v>5654</v>
      </c>
    </row>
    <row r="2661" spans="1:17" x14ac:dyDescent="0.3">
      <c r="A2661" t="s">
        <v>4708</v>
      </c>
      <c r="B2661" t="str">
        <f>"000979"</f>
        <v>000979</v>
      </c>
      <c r="C2661" t="s">
        <v>5655</v>
      </c>
      <c r="P2661">
        <v>30</v>
      </c>
      <c r="Q2661" t="s">
        <v>5656</v>
      </c>
    </row>
    <row r="2662" spans="1:17" x14ac:dyDescent="0.3">
      <c r="A2662" t="s">
        <v>4708</v>
      </c>
      <c r="B2662" t="str">
        <f>"000980"</f>
        <v>000980</v>
      </c>
      <c r="C2662" t="s">
        <v>5657</v>
      </c>
      <c r="D2662" t="s">
        <v>1415</v>
      </c>
      <c r="P2662">
        <v>161</v>
      </c>
      <c r="Q2662" t="s">
        <v>5658</v>
      </c>
    </row>
    <row r="2663" spans="1:17" x14ac:dyDescent="0.3">
      <c r="A2663" t="s">
        <v>4708</v>
      </c>
      <c r="B2663" t="str">
        <f>"000981"</f>
        <v>000981</v>
      </c>
      <c r="C2663" t="s">
        <v>5659</v>
      </c>
      <c r="D2663" t="s">
        <v>104</v>
      </c>
      <c r="P2663">
        <v>118</v>
      </c>
      <c r="Q2663" t="s">
        <v>5660</v>
      </c>
    </row>
    <row r="2664" spans="1:17" x14ac:dyDescent="0.3">
      <c r="A2664" t="s">
        <v>4708</v>
      </c>
      <c r="B2664" t="str">
        <f>"000982"</f>
        <v>000982</v>
      </c>
      <c r="C2664" t="s">
        <v>5661</v>
      </c>
      <c r="D2664" t="s">
        <v>366</v>
      </c>
      <c r="P2664">
        <v>83</v>
      </c>
      <c r="Q2664" t="s">
        <v>5662</v>
      </c>
    </row>
    <row r="2665" spans="1:17" x14ac:dyDescent="0.3">
      <c r="A2665" t="s">
        <v>4708</v>
      </c>
      <c r="B2665" t="str">
        <f>"000983"</f>
        <v>000983</v>
      </c>
      <c r="C2665" t="s">
        <v>5663</v>
      </c>
      <c r="D2665" t="s">
        <v>298</v>
      </c>
      <c r="P2665">
        <v>688</v>
      </c>
      <c r="Q2665" t="s">
        <v>5664</v>
      </c>
    </row>
    <row r="2666" spans="1:17" x14ac:dyDescent="0.3">
      <c r="A2666" t="s">
        <v>4708</v>
      </c>
      <c r="B2666" t="str">
        <f>"000985"</f>
        <v>000985</v>
      </c>
      <c r="C2666" t="s">
        <v>5665</v>
      </c>
      <c r="D2666" t="s">
        <v>1615</v>
      </c>
      <c r="P2666">
        <v>82</v>
      </c>
      <c r="Q2666" t="s">
        <v>5666</v>
      </c>
    </row>
    <row r="2667" spans="1:17" x14ac:dyDescent="0.3">
      <c r="A2667" t="s">
        <v>4708</v>
      </c>
      <c r="B2667" t="str">
        <f>"000987"</f>
        <v>000987</v>
      </c>
      <c r="C2667" t="s">
        <v>5667</v>
      </c>
      <c r="D2667" t="s">
        <v>140</v>
      </c>
      <c r="P2667">
        <v>520</v>
      </c>
      <c r="Q2667" t="s">
        <v>5668</v>
      </c>
    </row>
    <row r="2668" spans="1:17" x14ac:dyDescent="0.3">
      <c r="A2668" t="s">
        <v>4708</v>
      </c>
      <c r="B2668" t="str">
        <f>"000988"</f>
        <v>000988</v>
      </c>
      <c r="C2668" t="s">
        <v>5669</v>
      </c>
      <c r="D2668" t="s">
        <v>3796</v>
      </c>
      <c r="P2668">
        <v>710</v>
      </c>
      <c r="Q2668" t="s">
        <v>5670</v>
      </c>
    </row>
    <row r="2669" spans="1:17" x14ac:dyDescent="0.3">
      <c r="A2669" t="s">
        <v>4708</v>
      </c>
      <c r="B2669" t="str">
        <f>"000989"</f>
        <v>000989</v>
      </c>
      <c r="C2669" t="s">
        <v>5671</v>
      </c>
      <c r="D2669" t="s">
        <v>188</v>
      </c>
      <c r="P2669">
        <v>370</v>
      </c>
      <c r="Q2669" t="s">
        <v>5672</v>
      </c>
    </row>
    <row r="2670" spans="1:17" x14ac:dyDescent="0.3">
      <c r="A2670" t="s">
        <v>4708</v>
      </c>
      <c r="B2670" t="str">
        <f>"000990"</f>
        <v>000990</v>
      </c>
      <c r="C2670" t="s">
        <v>5673</v>
      </c>
      <c r="D2670" t="s">
        <v>914</v>
      </c>
      <c r="P2670">
        <v>194</v>
      </c>
      <c r="Q2670" t="s">
        <v>5674</v>
      </c>
    </row>
    <row r="2671" spans="1:17" x14ac:dyDescent="0.3">
      <c r="A2671" t="s">
        <v>4708</v>
      </c>
      <c r="B2671" t="str">
        <f>"000993"</f>
        <v>000993</v>
      </c>
      <c r="C2671" t="s">
        <v>5675</v>
      </c>
      <c r="D2671" t="s">
        <v>66</v>
      </c>
      <c r="P2671">
        <v>163</v>
      </c>
      <c r="Q2671" t="s">
        <v>5676</v>
      </c>
    </row>
    <row r="2672" spans="1:17" x14ac:dyDescent="0.3">
      <c r="A2672" t="s">
        <v>4708</v>
      </c>
      <c r="B2672" t="str">
        <f>"000995"</f>
        <v>000995</v>
      </c>
      <c r="C2672" t="s">
        <v>5677</v>
      </c>
      <c r="D2672" t="s">
        <v>458</v>
      </c>
      <c r="P2672">
        <v>175</v>
      </c>
      <c r="Q2672" t="s">
        <v>5678</v>
      </c>
    </row>
    <row r="2673" spans="1:17" x14ac:dyDescent="0.3">
      <c r="A2673" t="s">
        <v>4708</v>
      </c>
      <c r="B2673" t="str">
        <f>"000996"</f>
        <v>000996</v>
      </c>
      <c r="C2673" t="s">
        <v>5679</v>
      </c>
      <c r="D2673" t="s">
        <v>672</v>
      </c>
      <c r="P2673">
        <v>70</v>
      </c>
      <c r="Q2673" t="s">
        <v>5680</v>
      </c>
    </row>
    <row r="2674" spans="1:17" x14ac:dyDescent="0.3">
      <c r="A2674" t="s">
        <v>4708</v>
      </c>
      <c r="B2674" t="str">
        <f>"000997"</f>
        <v>000997</v>
      </c>
      <c r="C2674" t="s">
        <v>5681</v>
      </c>
      <c r="D2674" t="s">
        <v>236</v>
      </c>
      <c r="P2674">
        <v>581</v>
      </c>
      <c r="Q2674" t="s">
        <v>5682</v>
      </c>
    </row>
    <row r="2675" spans="1:17" x14ac:dyDescent="0.3">
      <c r="A2675" t="s">
        <v>4708</v>
      </c>
      <c r="B2675" t="str">
        <f>"000998"</f>
        <v>000998</v>
      </c>
      <c r="C2675" t="s">
        <v>5683</v>
      </c>
      <c r="D2675" t="s">
        <v>706</v>
      </c>
      <c r="P2675">
        <v>649</v>
      </c>
      <c r="Q2675" t="s">
        <v>5684</v>
      </c>
    </row>
    <row r="2676" spans="1:17" x14ac:dyDescent="0.3">
      <c r="A2676" t="s">
        <v>4708</v>
      </c>
      <c r="B2676" t="str">
        <f>"000999"</f>
        <v>000999</v>
      </c>
      <c r="C2676" t="s">
        <v>5685</v>
      </c>
      <c r="D2676" t="s">
        <v>188</v>
      </c>
      <c r="P2676">
        <v>5773</v>
      </c>
      <c r="Q2676" t="s">
        <v>5686</v>
      </c>
    </row>
    <row r="2677" spans="1:17" x14ac:dyDescent="0.3">
      <c r="A2677" t="s">
        <v>4708</v>
      </c>
      <c r="B2677" t="str">
        <f>"001201"</f>
        <v>001201</v>
      </c>
      <c r="C2677" t="s">
        <v>5687</v>
      </c>
      <c r="D2677" t="s">
        <v>1896</v>
      </c>
      <c r="P2677">
        <v>61</v>
      </c>
      <c r="Q2677" t="s">
        <v>5688</v>
      </c>
    </row>
    <row r="2678" spans="1:17" x14ac:dyDescent="0.3">
      <c r="A2678" t="s">
        <v>4708</v>
      </c>
      <c r="B2678" t="str">
        <f>"001202"</f>
        <v>001202</v>
      </c>
      <c r="C2678" t="s">
        <v>5689</v>
      </c>
      <c r="D2678" t="s">
        <v>128</v>
      </c>
      <c r="P2678">
        <v>32</v>
      </c>
      <c r="Q2678" t="s">
        <v>5690</v>
      </c>
    </row>
    <row r="2679" spans="1:17" x14ac:dyDescent="0.3">
      <c r="A2679" t="s">
        <v>4708</v>
      </c>
      <c r="B2679" t="str">
        <f>"001203"</f>
        <v>001203</v>
      </c>
      <c r="C2679" t="s">
        <v>5691</v>
      </c>
      <c r="D2679" t="s">
        <v>2369</v>
      </c>
      <c r="P2679">
        <v>80</v>
      </c>
      <c r="Q2679" t="s">
        <v>5692</v>
      </c>
    </row>
    <row r="2680" spans="1:17" x14ac:dyDescent="0.3">
      <c r="A2680" t="s">
        <v>4708</v>
      </c>
      <c r="B2680" t="str">
        <f>"001205"</f>
        <v>001205</v>
      </c>
      <c r="C2680" t="s">
        <v>5693</v>
      </c>
      <c r="D2680" t="s">
        <v>69</v>
      </c>
      <c r="P2680">
        <v>44</v>
      </c>
      <c r="Q2680" t="s">
        <v>5694</v>
      </c>
    </row>
    <row r="2681" spans="1:17" x14ac:dyDescent="0.3">
      <c r="A2681" t="s">
        <v>4708</v>
      </c>
      <c r="B2681" t="str">
        <f>"001206"</f>
        <v>001206</v>
      </c>
      <c r="C2681" t="s">
        <v>5695</v>
      </c>
      <c r="D2681" t="s">
        <v>2740</v>
      </c>
      <c r="P2681">
        <v>53</v>
      </c>
      <c r="Q2681" t="s">
        <v>5696</v>
      </c>
    </row>
    <row r="2682" spans="1:17" x14ac:dyDescent="0.3">
      <c r="A2682" t="s">
        <v>4708</v>
      </c>
      <c r="B2682" t="str">
        <f>"001207"</f>
        <v>001207</v>
      </c>
      <c r="C2682" t="s">
        <v>5697</v>
      </c>
      <c r="D2682" t="s">
        <v>3631</v>
      </c>
      <c r="P2682">
        <v>25</v>
      </c>
      <c r="Q2682" t="s">
        <v>5698</v>
      </c>
    </row>
    <row r="2683" spans="1:17" x14ac:dyDescent="0.3">
      <c r="A2683" t="s">
        <v>4708</v>
      </c>
      <c r="B2683" t="str">
        <f>"001208"</f>
        <v>001208</v>
      </c>
      <c r="C2683" t="s">
        <v>5699</v>
      </c>
      <c r="D2683" t="s">
        <v>1164</v>
      </c>
      <c r="P2683">
        <v>66</v>
      </c>
      <c r="Q2683" t="s">
        <v>5700</v>
      </c>
    </row>
    <row r="2684" spans="1:17" x14ac:dyDescent="0.3">
      <c r="A2684" t="s">
        <v>4708</v>
      </c>
      <c r="B2684" t="str">
        <f>"001209"</f>
        <v>001209</v>
      </c>
      <c r="C2684" t="s">
        <v>5701</v>
      </c>
      <c r="D2684" t="s">
        <v>255</v>
      </c>
      <c r="P2684">
        <v>22</v>
      </c>
      <c r="Q2684" t="s">
        <v>5702</v>
      </c>
    </row>
    <row r="2685" spans="1:17" x14ac:dyDescent="0.3">
      <c r="A2685" t="s">
        <v>4708</v>
      </c>
      <c r="B2685" t="str">
        <f>"001210"</f>
        <v>001210</v>
      </c>
      <c r="C2685" t="s">
        <v>5703</v>
      </c>
      <c r="D2685" t="s">
        <v>351</v>
      </c>
      <c r="P2685">
        <v>27</v>
      </c>
      <c r="Q2685" t="s">
        <v>5704</v>
      </c>
    </row>
    <row r="2686" spans="1:17" x14ac:dyDescent="0.3">
      <c r="A2686" t="s">
        <v>4708</v>
      </c>
      <c r="B2686" t="str">
        <f>"001211"</f>
        <v>001211</v>
      </c>
      <c r="C2686" t="s">
        <v>5705</v>
      </c>
      <c r="D2686" t="s">
        <v>2438</v>
      </c>
      <c r="P2686">
        <v>13</v>
      </c>
      <c r="Q2686" t="s">
        <v>5706</v>
      </c>
    </row>
    <row r="2687" spans="1:17" x14ac:dyDescent="0.3">
      <c r="A2687" t="s">
        <v>4708</v>
      </c>
      <c r="B2687" t="str">
        <f>"001212"</f>
        <v>001212</v>
      </c>
      <c r="C2687" t="s">
        <v>5707</v>
      </c>
      <c r="D2687" t="s">
        <v>722</v>
      </c>
      <c r="P2687">
        <v>19</v>
      </c>
      <c r="Q2687" t="s">
        <v>5708</v>
      </c>
    </row>
    <row r="2688" spans="1:17" x14ac:dyDescent="0.3">
      <c r="A2688" t="s">
        <v>4708</v>
      </c>
      <c r="B2688" t="str">
        <f>"001213"</f>
        <v>001213</v>
      </c>
      <c r="C2688" t="s">
        <v>5709</v>
      </c>
      <c r="D2688" t="s">
        <v>301</v>
      </c>
      <c r="P2688">
        <v>27</v>
      </c>
      <c r="Q2688" t="s">
        <v>5710</v>
      </c>
    </row>
    <row r="2689" spans="1:17" x14ac:dyDescent="0.3">
      <c r="A2689" t="s">
        <v>4708</v>
      </c>
      <c r="B2689" t="str">
        <f>"001215"</f>
        <v>001215</v>
      </c>
      <c r="C2689" t="s">
        <v>5711</v>
      </c>
      <c r="D2689" t="s">
        <v>2850</v>
      </c>
      <c r="P2689">
        <v>59</v>
      </c>
      <c r="Q2689" t="s">
        <v>5712</v>
      </c>
    </row>
    <row r="2690" spans="1:17" x14ac:dyDescent="0.3">
      <c r="A2690" t="s">
        <v>4708</v>
      </c>
      <c r="B2690" t="str">
        <f>"001216"</f>
        <v>001216</v>
      </c>
      <c r="C2690" t="s">
        <v>5713</v>
      </c>
      <c r="D2690" t="s">
        <v>2438</v>
      </c>
      <c r="P2690">
        <v>19</v>
      </c>
      <c r="Q2690" t="s">
        <v>5714</v>
      </c>
    </row>
    <row r="2691" spans="1:17" x14ac:dyDescent="0.3">
      <c r="A2691" t="s">
        <v>4708</v>
      </c>
      <c r="B2691" t="str">
        <f>"001217"</f>
        <v>001217</v>
      </c>
      <c r="C2691" t="s">
        <v>5715</v>
      </c>
      <c r="D2691" t="s">
        <v>1233</v>
      </c>
      <c r="P2691">
        <v>27</v>
      </c>
      <c r="Q2691" t="s">
        <v>5716</v>
      </c>
    </row>
    <row r="2692" spans="1:17" x14ac:dyDescent="0.3">
      <c r="A2692" t="s">
        <v>4708</v>
      </c>
      <c r="B2692" t="str">
        <f>"001218"</f>
        <v>001218</v>
      </c>
      <c r="C2692" t="s">
        <v>5717</v>
      </c>
      <c r="D2692" t="s">
        <v>386</v>
      </c>
      <c r="P2692">
        <v>15</v>
      </c>
      <c r="Q2692" t="s">
        <v>5718</v>
      </c>
    </row>
    <row r="2693" spans="1:17" x14ac:dyDescent="0.3">
      <c r="A2693" t="s">
        <v>4708</v>
      </c>
      <c r="B2693" t="str">
        <f>"001219"</f>
        <v>001219</v>
      </c>
      <c r="C2693" t="s">
        <v>5719</v>
      </c>
      <c r="D2693" t="s">
        <v>2481</v>
      </c>
      <c r="P2693">
        <v>33</v>
      </c>
      <c r="Q2693" t="s">
        <v>5720</v>
      </c>
    </row>
    <row r="2694" spans="1:17" x14ac:dyDescent="0.3">
      <c r="A2694" t="s">
        <v>4708</v>
      </c>
      <c r="B2694" t="str">
        <f>"001227"</f>
        <v>001227</v>
      </c>
      <c r="C2694" t="s">
        <v>5721</v>
      </c>
      <c r="D2694" t="s">
        <v>1838</v>
      </c>
      <c r="P2694">
        <v>31</v>
      </c>
      <c r="Q2694" t="s">
        <v>5722</v>
      </c>
    </row>
    <row r="2695" spans="1:17" x14ac:dyDescent="0.3">
      <c r="A2695" t="s">
        <v>4708</v>
      </c>
      <c r="B2695" t="str">
        <f>"001228"</f>
        <v>001228</v>
      </c>
      <c r="C2695" t="s">
        <v>5723</v>
      </c>
      <c r="P2695">
        <v>2</v>
      </c>
      <c r="Q2695" t="s">
        <v>5724</v>
      </c>
    </row>
    <row r="2696" spans="1:17" x14ac:dyDescent="0.3">
      <c r="A2696" t="s">
        <v>4708</v>
      </c>
      <c r="B2696" t="str">
        <f>"001234"</f>
        <v>001234</v>
      </c>
      <c r="C2696" t="s">
        <v>5725</v>
      </c>
      <c r="D2696" t="s">
        <v>366</v>
      </c>
      <c r="P2696">
        <v>16</v>
      </c>
      <c r="Q2696" t="s">
        <v>5726</v>
      </c>
    </row>
    <row r="2697" spans="1:17" x14ac:dyDescent="0.3">
      <c r="A2697" t="s">
        <v>4708</v>
      </c>
      <c r="B2697" t="str">
        <f>"001266"</f>
        <v>001266</v>
      </c>
      <c r="C2697" t="s">
        <v>5727</v>
      </c>
      <c r="P2697">
        <v>8</v>
      </c>
      <c r="Q2697" t="s">
        <v>5728</v>
      </c>
    </row>
    <row r="2698" spans="1:17" x14ac:dyDescent="0.3">
      <c r="A2698" t="s">
        <v>4708</v>
      </c>
      <c r="B2698" t="str">
        <f>"001267"</f>
        <v>001267</v>
      </c>
      <c r="C2698" t="s">
        <v>5729</v>
      </c>
      <c r="D2698" t="s">
        <v>2410</v>
      </c>
      <c r="P2698">
        <v>10</v>
      </c>
      <c r="Q2698" t="s">
        <v>5730</v>
      </c>
    </row>
    <row r="2699" spans="1:17" x14ac:dyDescent="0.3">
      <c r="A2699" t="s">
        <v>4708</v>
      </c>
      <c r="B2699" t="str">
        <f>"001288"</f>
        <v>001288</v>
      </c>
      <c r="C2699" t="s">
        <v>5731</v>
      </c>
      <c r="D2699" t="s">
        <v>395</v>
      </c>
      <c r="P2699">
        <v>14</v>
      </c>
      <c r="Q2699" t="s">
        <v>5732</v>
      </c>
    </row>
    <row r="2700" spans="1:17" x14ac:dyDescent="0.3">
      <c r="A2700" t="s">
        <v>4708</v>
      </c>
      <c r="B2700" t="str">
        <f>"001289"</f>
        <v>001289</v>
      </c>
      <c r="C2700" t="s">
        <v>5733</v>
      </c>
      <c r="P2700">
        <v>28</v>
      </c>
      <c r="Q2700" t="s">
        <v>5734</v>
      </c>
    </row>
    <row r="2701" spans="1:17" x14ac:dyDescent="0.3">
      <c r="A2701" t="s">
        <v>4708</v>
      </c>
      <c r="B2701" t="str">
        <f>"001296"</f>
        <v>001296</v>
      </c>
      <c r="C2701" t="s">
        <v>5735</v>
      </c>
      <c r="D2701" t="s">
        <v>2751</v>
      </c>
      <c r="P2701">
        <v>15</v>
      </c>
      <c r="Q2701" t="s">
        <v>5736</v>
      </c>
    </row>
    <row r="2702" spans="1:17" x14ac:dyDescent="0.3">
      <c r="A2702" t="s">
        <v>4708</v>
      </c>
      <c r="B2702" t="str">
        <f>"001308"</f>
        <v>001308</v>
      </c>
      <c r="C2702" t="s">
        <v>5737</v>
      </c>
      <c r="P2702">
        <v>5</v>
      </c>
      <c r="Q2702" t="s">
        <v>5738</v>
      </c>
    </row>
    <row r="2703" spans="1:17" x14ac:dyDescent="0.3">
      <c r="A2703" t="s">
        <v>4708</v>
      </c>
      <c r="B2703" t="str">
        <f>"001313"</f>
        <v>001313</v>
      </c>
      <c r="C2703" t="s">
        <v>5739</v>
      </c>
      <c r="P2703">
        <v>10</v>
      </c>
      <c r="Q2703" t="s">
        <v>5740</v>
      </c>
    </row>
    <row r="2704" spans="1:17" x14ac:dyDescent="0.3">
      <c r="A2704" t="s">
        <v>4708</v>
      </c>
      <c r="B2704" t="str">
        <f>"001317"</f>
        <v>001317</v>
      </c>
      <c r="C2704" t="s">
        <v>5741</v>
      </c>
      <c r="D2704" t="s">
        <v>301</v>
      </c>
      <c r="P2704">
        <v>23</v>
      </c>
      <c r="Q2704" t="s">
        <v>5742</v>
      </c>
    </row>
    <row r="2705" spans="1:17" x14ac:dyDescent="0.3">
      <c r="A2705" t="s">
        <v>4708</v>
      </c>
      <c r="B2705" t="str">
        <f>"001696"</f>
        <v>001696</v>
      </c>
      <c r="C2705" t="s">
        <v>5743</v>
      </c>
      <c r="D2705" t="s">
        <v>560</v>
      </c>
      <c r="P2705">
        <v>274</v>
      </c>
      <c r="Q2705" t="s">
        <v>5744</v>
      </c>
    </row>
    <row r="2706" spans="1:17" x14ac:dyDescent="0.3">
      <c r="A2706" t="s">
        <v>4708</v>
      </c>
      <c r="B2706" t="str">
        <f>"001872"</f>
        <v>001872</v>
      </c>
      <c r="C2706" t="s">
        <v>5745</v>
      </c>
      <c r="D2706" t="s">
        <v>51</v>
      </c>
      <c r="P2706">
        <v>254</v>
      </c>
      <c r="Q2706" t="s">
        <v>5746</v>
      </c>
    </row>
    <row r="2707" spans="1:17" x14ac:dyDescent="0.3">
      <c r="A2707" t="s">
        <v>4708</v>
      </c>
      <c r="B2707" t="str">
        <f>"001896"</f>
        <v>001896</v>
      </c>
      <c r="C2707" t="s">
        <v>5747</v>
      </c>
      <c r="D2707" t="s">
        <v>41</v>
      </c>
      <c r="P2707">
        <v>202</v>
      </c>
      <c r="Q2707" t="s">
        <v>5748</v>
      </c>
    </row>
    <row r="2708" spans="1:17" x14ac:dyDescent="0.3">
      <c r="A2708" t="s">
        <v>4708</v>
      </c>
      <c r="B2708" t="str">
        <f>"001914"</f>
        <v>001914</v>
      </c>
      <c r="C2708" t="s">
        <v>5749</v>
      </c>
      <c r="D2708" t="s">
        <v>2960</v>
      </c>
      <c r="P2708">
        <v>264</v>
      </c>
      <c r="Q2708" t="s">
        <v>5750</v>
      </c>
    </row>
    <row r="2709" spans="1:17" x14ac:dyDescent="0.3">
      <c r="A2709" t="s">
        <v>4708</v>
      </c>
      <c r="B2709" t="str">
        <f>"001965"</f>
        <v>001965</v>
      </c>
      <c r="C2709" t="s">
        <v>5751</v>
      </c>
      <c r="D2709" t="s">
        <v>44</v>
      </c>
      <c r="P2709">
        <v>359</v>
      </c>
      <c r="Q2709" t="s">
        <v>5752</v>
      </c>
    </row>
    <row r="2710" spans="1:17" x14ac:dyDescent="0.3">
      <c r="A2710" t="s">
        <v>4708</v>
      </c>
      <c r="B2710" t="str">
        <f>"001979"</f>
        <v>001979</v>
      </c>
      <c r="C2710" t="s">
        <v>5753</v>
      </c>
      <c r="D2710" t="s">
        <v>30</v>
      </c>
      <c r="P2710">
        <v>1456</v>
      </c>
      <c r="Q2710" t="s">
        <v>5754</v>
      </c>
    </row>
    <row r="2711" spans="1:17" x14ac:dyDescent="0.3">
      <c r="A2711" t="s">
        <v>4708</v>
      </c>
      <c r="B2711" t="str">
        <f>"002001"</f>
        <v>002001</v>
      </c>
      <c r="C2711" t="s">
        <v>5755</v>
      </c>
      <c r="D2711" t="s">
        <v>496</v>
      </c>
      <c r="P2711">
        <v>1984</v>
      </c>
      <c r="Q2711" t="s">
        <v>5756</v>
      </c>
    </row>
    <row r="2712" spans="1:17" x14ac:dyDescent="0.3">
      <c r="A2712" t="s">
        <v>4708</v>
      </c>
      <c r="B2712" t="str">
        <f>"002002"</f>
        <v>002002</v>
      </c>
      <c r="C2712" t="s">
        <v>5757</v>
      </c>
      <c r="D2712" t="s">
        <v>175</v>
      </c>
      <c r="P2712">
        <v>451</v>
      </c>
      <c r="Q2712" t="s">
        <v>5758</v>
      </c>
    </row>
    <row r="2713" spans="1:17" x14ac:dyDescent="0.3">
      <c r="A2713" t="s">
        <v>4708</v>
      </c>
      <c r="B2713" t="str">
        <f>"002003"</f>
        <v>002003</v>
      </c>
      <c r="C2713" t="s">
        <v>5759</v>
      </c>
      <c r="D2713" t="s">
        <v>2941</v>
      </c>
      <c r="P2713">
        <v>761</v>
      </c>
      <c r="Q2713" t="s">
        <v>5760</v>
      </c>
    </row>
    <row r="2714" spans="1:17" x14ac:dyDescent="0.3">
      <c r="A2714" t="s">
        <v>4708</v>
      </c>
      <c r="B2714" t="str">
        <f>"002004"</f>
        <v>002004</v>
      </c>
      <c r="C2714" t="s">
        <v>5761</v>
      </c>
      <c r="D2714" t="s">
        <v>143</v>
      </c>
      <c r="P2714">
        <v>328</v>
      </c>
      <c r="Q2714" t="s">
        <v>5762</v>
      </c>
    </row>
    <row r="2715" spans="1:17" x14ac:dyDescent="0.3">
      <c r="A2715" t="s">
        <v>4708</v>
      </c>
      <c r="B2715" t="str">
        <f>"002005"</f>
        <v>002005</v>
      </c>
      <c r="C2715" t="s">
        <v>5763</v>
      </c>
      <c r="D2715" t="s">
        <v>5764</v>
      </c>
      <c r="P2715">
        <v>74</v>
      </c>
      <c r="Q2715" t="s">
        <v>5765</v>
      </c>
    </row>
    <row r="2716" spans="1:17" x14ac:dyDescent="0.3">
      <c r="A2716" t="s">
        <v>4708</v>
      </c>
      <c r="B2716" t="str">
        <f>"002006"</f>
        <v>002006</v>
      </c>
      <c r="C2716" t="s">
        <v>5766</v>
      </c>
      <c r="D2716" t="s">
        <v>741</v>
      </c>
      <c r="P2716">
        <v>127</v>
      </c>
      <c r="Q2716" t="s">
        <v>5767</v>
      </c>
    </row>
    <row r="2717" spans="1:17" x14ac:dyDescent="0.3">
      <c r="A2717" t="s">
        <v>4708</v>
      </c>
      <c r="B2717" t="str">
        <f>"002007"</f>
        <v>002007</v>
      </c>
      <c r="C2717" t="s">
        <v>5768</v>
      </c>
      <c r="D2717" t="s">
        <v>378</v>
      </c>
      <c r="P2717">
        <v>13194</v>
      </c>
      <c r="Q2717" t="s">
        <v>5769</v>
      </c>
    </row>
    <row r="2718" spans="1:17" x14ac:dyDescent="0.3">
      <c r="A2718" t="s">
        <v>4708</v>
      </c>
      <c r="B2718" t="str">
        <f>"002008"</f>
        <v>002008</v>
      </c>
      <c r="C2718" t="s">
        <v>5770</v>
      </c>
      <c r="D2718" t="s">
        <v>3796</v>
      </c>
      <c r="P2718">
        <v>4830</v>
      </c>
      <c r="Q2718" t="s">
        <v>5771</v>
      </c>
    </row>
    <row r="2719" spans="1:17" x14ac:dyDescent="0.3">
      <c r="A2719" t="s">
        <v>4708</v>
      </c>
      <c r="B2719" t="str">
        <f>"002009"</f>
        <v>002009</v>
      </c>
      <c r="C2719" t="s">
        <v>5772</v>
      </c>
      <c r="D2719" t="s">
        <v>741</v>
      </c>
      <c r="P2719">
        <v>148</v>
      </c>
      <c r="Q2719" t="s">
        <v>5773</v>
      </c>
    </row>
    <row r="2720" spans="1:17" x14ac:dyDescent="0.3">
      <c r="A2720" t="s">
        <v>4708</v>
      </c>
      <c r="B2720" t="str">
        <f>"002010"</f>
        <v>002010</v>
      </c>
      <c r="C2720" t="s">
        <v>5774</v>
      </c>
      <c r="D2720" t="s">
        <v>2496</v>
      </c>
      <c r="P2720">
        <v>279</v>
      </c>
      <c r="Q2720" t="s">
        <v>5775</v>
      </c>
    </row>
    <row r="2721" spans="1:17" x14ac:dyDescent="0.3">
      <c r="A2721" t="s">
        <v>4708</v>
      </c>
      <c r="B2721" t="str">
        <f>"002011"</f>
        <v>002011</v>
      </c>
      <c r="C2721" t="s">
        <v>5776</v>
      </c>
      <c r="D2721" t="s">
        <v>1253</v>
      </c>
      <c r="P2721">
        <v>201</v>
      </c>
      <c r="Q2721" t="s">
        <v>5777</v>
      </c>
    </row>
    <row r="2722" spans="1:17" x14ac:dyDescent="0.3">
      <c r="A2722" t="s">
        <v>4708</v>
      </c>
      <c r="B2722" t="str">
        <f>"002012"</f>
        <v>002012</v>
      </c>
      <c r="C2722" t="s">
        <v>5778</v>
      </c>
      <c r="D2722" t="s">
        <v>244</v>
      </c>
      <c r="P2722">
        <v>131</v>
      </c>
      <c r="Q2722" t="s">
        <v>5779</v>
      </c>
    </row>
    <row r="2723" spans="1:17" x14ac:dyDescent="0.3">
      <c r="A2723" t="s">
        <v>4708</v>
      </c>
      <c r="B2723" t="str">
        <f>"002013"</f>
        <v>002013</v>
      </c>
      <c r="C2723" t="s">
        <v>5780</v>
      </c>
      <c r="D2723" t="s">
        <v>98</v>
      </c>
      <c r="P2723">
        <v>656</v>
      </c>
      <c r="Q2723" t="s">
        <v>5781</v>
      </c>
    </row>
    <row r="2724" spans="1:17" x14ac:dyDescent="0.3">
      <c r="A2724" t="s">
        <v>4708</v>
      </c>
      <c r="B2724" t="str">
        <f>"002014"</f>
        <v>002014</v>
      </c>
      <c r="C2724" t="s">
        <v>5782</v>
      </c>
      <c r="D2724" t="s">
        <v>485</v>
      </c>
      <c r="P2724">
        <v>467</v>
      </c>
      <c r="Q2724" t="s">
        <v>5783</v>
      </c>
    </row>
    <row r="2725" spans="1:17" x14ac:dyDescent="0.3">
      <c r="A2725" t="s">
        <v>4708</v>
      </c>
      <c r="B2725" t="str">
        <f>"002015"</f>
        <v>002015</v>
      </c>
      <c r="C2725" t="s">
        <v>5784</v>
      </c>
      <c r="D2725" t="s">
        <v>351</v>
      </c>
      <c r="P2725">
        <v>239</v>
      </c>
      <c r="Q2725" t="s">
        <v>5785</v>
      </c>
    </row>
    <row r="2726" spans="1:17" x14ac:dyDescent="0.3">
      <c r="A2726" t="s">
        <v>4708</v>
      </c>
      <c r="B2726" t="str">
        <f>"002016"</f>
        <v>002016</v>
      </c>
      <c r="C2726" t="s">
        <v>5786</v>
      </c>
      <c r="D2726" t="s">
        <v>104</v>
      </c>
      <c r="P2726">
        <v>457</v>
      </c>
      <c r="Q2726" t="s">
        <v>5787</v>
      </c>
    </row>
    <row r="2727" spans="1:17" x14ac:dyDescent="0.3">
      <c r="A2727" t="s">
        <v>4708</v>
      </c>
      <c r="B2727" t="str">
        <f>"002017"</f>
        <v>002017</v>
      </c>
      <c r="C2727" t="s">
        <v>5788</v>
      </c>
      <c r="D2727" t="s">
        <v>786</v>
      </c>
      <c r="P2727">
        <v>216</v>
      </c>
      <c r="Q2727" t="s">
        <v>5789</v>
      </c>
    </row>
    <row r="2728" spans="1:17" x14ac:dyDescent="0.3">
      <c r="A2728" t="s">
        <v>4708</v>
      </c>
      <c r="B2728" t="str">
        <f>"002018"</f>
        <v>002018</v>
      </c>
      <c r="C2728" t="s">
        <v>5790</v>
      </c>
      <c r="P2728">
        <v>40</v>
      </c>
      <c r="Q2728" t="s">
        <v>5791</v>
      </c>
    </row>
    <row r="2729" spans="1:17" x14ac:dyDescent="0.3">
      <c r="A2729" t="s">
        <v>4708</v>
      </c>
      <c r="B2729" t="str">
        <f>"002019"</f>
        <v>002019</v>
      </c>
      <c r="C2729" t="s">
        <v>5792</v>
      </c>
      <c r="D2729" t="s">
        <v>143</v>
      </c>
      <c r="P2729">
        <v>974</v>
      </c>
      <c r="Q2729" t="s">
        <v>5793</v>
      </c>
    </row>
    <row r="2730" spans="1:17" x14ac:dyDescent="0.3">
      <c r="A2730" t="s">
        <v>4708</v>
      </c>
      <c r="B2730" t="str">
        <f>"002020"</f>
        <v>002020</v>
      </c>
      <c r="C2730" t="s">
        <v>5794</v>
      </c>
      <c r="D2730" t="s">
        <v>143</v>
      </c>
      <c r="P2730">
        <v>619</v>
      </c>
      <c r="Q2730" t="s">
        <v>5795</v>
      </c>
    </row>
    <row r="2731" spans="1:17" x14ac:dyDescent="0.3">
      <c r="A2731" t="s">
        <v>4708</v>
      </c>
      <c r="B2731" t="str">
        <f>"002021"</f>
        <v>002021</v>
      </c>
      <c r="C2731" t="s">
        <v>5796</v>
      </c>
      <c r="D2731" t="s">
        <v>534</v>
      </c>
      <c r="P2731">
        <v>57</v>
      </c>
      <c r="Q2731" t="s">
        <v>5797</v>
      </c>
    </row>
    <row r="2732" spans="1:17" x14ac:dyDescent="0.3">
      <c r="A2732" t="s">
        <v>4708</v>
      </c>
      <c r="B2732" t="str">
        <f>"002022"</f>
        <v>002022</v>
      </c>
      <c r="C2732" t="s">
        <v>5798</v>
      </c>
      <c r="D2732" t="s">
        <v>1305</v>
      </c>
      <c r="P2732">
        <v>1024</v>
      </c>
      <c r="Q2732" t="s">
        <v>5799</v>
      </c>
    </row>
    <row r="2733" spans="1:17" x14ac:dyDescent="0.3">
      <c r="A2733" t="s">
        <v>4708</v>
      </c>
      <c r="B2733" t="str">
        <f>"002023"</f>
        <v>002023</v>
      </c>
      <c r="C2733" t="s">
        <v>5800</v>
      </c>
      <c r="D2733" t="s">
        <v>98</v>
      </c>
      <c r="P2733">
        <v>580</v>
      </c>
      <c r="Q2733" t="s">
        <v>5801</v>
      </c>
    </row>
    <row r="2734" spans="1:17" x14ac:dyDescent="0.3">
      <c r="A2734" t="s">
        <v>4708</v>
      </c>
      <c r="B2734" t="str">
        <f>"002024"</f>
        <v>002024</v>
      </c>
      <c r="C2734" t="s">
        <v>5802</v>
      </c>
      <c r="D2734" t="s">
        <v>3078</v>
      </c>
      <c r="P2734">
        <v>1902</v>
      </c>
      <c r="Q2734" t="s">
        <v>5803</v>
      </c>
    </row>
    <row r="2735" spans="1:17" x14ac:dyDescent="0.3">
      <c r="A2735" t="s">
        <v>4708</v>
      </c>
      <c r="B2735" t="str">
        <f>"002025"</f>
        <v>002025</v>
      </c>
      <c r="C2735" t="s">
        <v>5804</v>
      </c>
      <c r="D2735" t="s">
        <v>1136</v>
      </c>
      <c r="P2735">
        <v>468</v>
      </c>
      <c r="Q2735" t="s">
        <v>5805</v>
      </c>
    </row>
    <row r="2736" spans="1:17" x14ac:dyDescent="0.3">
      <c r="A2736" t="s">
        <v>4708</v>
      </c>
      <c r="B2736" t="str">
        <f>"002026"</f>
        <v>002026</v>
      </c>
      <c r="C2736" t="s">
        <v>5806</v>
      </c>
      <c r="D2736" t="s">
        <v>274</v>
      </c>
      <c r="P2736">
        <v>208</v>
      </c>
      <c r="Q2736" t="s">
        <v>5807</v>
      </c>
    </row>
    <row r="2737" spans="1:17" x14ac:dyDescent="0.3">
      <c r="A2737" t="s">
        <v>4708</v>
      </c>
      <c r="B2737" t="str">
        <f>"002027"</f>
        <v>002027</v>
      </c>
      <c r="C2737" t="s">
        <v>5808</v>
      </c>
      <c r="D2737" t="s">
        <v>5107</v>
      </c>
      <c r="P2737">
        <v>5236</v>
      </c>
      <c r="Q2737" t="s">
        <v>5809</v>
      </c>
    </row>
    <row r="2738" spans="1:17" x14ac:dyDescent="0.3">
      <c r="A2738" t="s">
        <v>4708</v>
      </c>
      <c r="B2738" t="str">
        <f>"002028"</f>
        <v>002028</v>
      </c>
      <c r="C2738" t="s">
        <v>5810</v>
      </c>
      <c r="D2738" t="s">
        <v>210</v>
      </c>
      <c r="P2738">
        <v>603</v>
      </c>
      <c r="Q2738" t="s">
        <v>5811</v>
      </c>
    </row>
    <row r="2739" spans="1:17" x14ac:dyDescent="0.3">
      <c r="A2739" t="s">
        <v>4708</v>
      </c>
      <c r="B2739" t="str">
        <f>"002029"</f>
        <v>002029</v>
      </c>
      <c r="C2739" t="s">
        <v>5812</v>
      </c>
      <c r="D2739" t="s">
        <v>255</v>
      </c>
      <c r="P2739">
        <v>217</v>
      </c>
      <c r="Q2739" t="s">
        <v>5813</v>
      </c>
    </row>
    <row r="2740" spans="1:17" x14ac:dyDescent="0.3">
      <c r="A2740" t="s">
        <v>4708</v>
      </c>
      <c r="B2740" t="str">
        <f>"002030"</f>
        <v>002030</v>
      </c>
      <c r="C2740" t="s">
        <v>5814</v>
      </c>
      <c r="D2740" t="s">
        <v>1305</v>
      </c>
      <c r="P2740">
        <v>1177</v>
      </c>
      <c r="Q2740" t="s">
        <v>5815</v>
      </c>
    </row>
    <row r="2741" spans="1:17" x14ac:dyDescent="0.3">
      <c r="A2741" t="s">
        <v>4708</v>
      </c>
      <c r="B2741" t="str">
        <f>"002031"</f>
        <v>002031</v>
      </c>
      <c r="C2741" t="s">
        <v>5816</v>
      </c>
      <c r="D2741" t="s">
        <v>741</v>
      </c>
      <c r="P2741">
        <v>137</v>
      </c>
      <c r="Q2741" t="s">
        <v>5817</v>
      </c>
    </row>
    <row r="2742" spans="1:17" x14ac:dyDescent="0.3">
      <c r="A2742" t="s">
        <v>4708</v>
      </c>
      <c r="B2742" t="str">
        <f>"002032"</f>
        <v>002032</v>
      </c>
      <c r="C2742" t="s">
        <v>5818</v>
      </c>
      <c r="D2742" t="s">
        <v>5764</v>
      </c>
      <c r="P2742">
        <v>52892</v>
      </c>
      <c r="Q2742" t="s">
        <v>5819</v>
      </c>
    </row>
    <row r="2743" spans="1:17" x14ac:dyDescent="0.3">
      <c r="A2743" t="s">
        <v>4708</v>
      </c>
      <c r="B2743" t="str">
        <f>"002033"</f>
        <v>002033</v>
      </c>
      <c r="C2743" t="s">
        <v>5820</v>
      </c>
      <c r="D2743" t="s">
        <v>119</v>
      </c>
      <c r="P2743">
        <v>278</v>
      </c>
      <c r="Q2743" t="s">
        <v>5821</v>
      </c>
    </row>
    <row r="2744" spans="1:17" x14ac:dyDescent="0.3">
      <c r="A2744" t="s">
        <v>4708</v>
      </c>
      <c r="B2744" t="str">
        <f>"002034"</f>
        <v>002034</v>
      </c>
      <c r="C2744" t="s">
        <v>5822</v>
      </c>
      <c r="D2744" t="s">
        <v>499</v>
      </c>
      <c r="P2744">
        <v>244</v>
      </c>
      <c r="Q2744" t="s">
        <v>5823</v>
      </c>
    </row>
    <row r="2745" spans="1:17" x14ac:dyDescent="0.3">
      <c r="A2745" t="s">
        <v>4708</v>
      </c>
      <c r="B2745" t="str">
        <f>"002035"</f>
        <v>002035</v>
      </c>
      <c r="C2745" t="s">
        <v>5824</v>
      </c>
      <c r="D2745" t="s">
        <v>3692</v>
      </c>
      <c r="P2745">
        <v>1344</v>
      </c>
      <c r="Q2745" t="s">
        <v>5825</v>
      </c>
    </row>
    <row r="2746" spans="1:17" x14ac:dyDescent="0.3">
      <c r="A2746" t="s">
        <v>4708</v>
      </c>
      <c r="B2746" t="str">
        <f>"002036"</f>
        <v>002036</v>
      </c>
      <c r="C2746" t="s">
        <v>5826</v>
      </c>
      <c r="D2746" t="s">
        <v>164</v>
      </c>
      <c r="P2746">
        <v>548</v>
      </c>
      <c r="Q2746" t="s">
        <v>5827</v>
      </c>
    </row>
    <row r="2747" spans="1:17" x14ac:dyDescent="0.3">
      <c r="A2747" t="s">
        <v>4708</v>
      </c>
      <c r="B2747" t="str">
        <f>"002037"</f>
        <v>002037</v>
      </c>
      <c r="C2747" t="s">
        <v>5828</v>
      </c>
      <c r="D2747" t="s">
        <v>2725</v>
      </c>
      <c r="P2747">
        <v>81</v>
      </c>
      <c r="Q2747" t="s">
        <v>5829</v>
      </c>
    </row>
    <row r="2748" spans="1:17" x14ac:dyDescent="0.3">
      <c r="A2748" t="s">
        <v>4708</v>
      </c>
      <c r="B2748" t="str">
        <f>"002038"</f>
        <v>002038</v>
      </c>
      <c r="C2748" t="s">
        <v>5830</v>
      </c>
      <c r="D2748" t="s">
        <v>1379</v>
      </c>
      <c r="P2748">
        <v>5163</v>
      </c>
      <c r="Q2748" t="s">
        <v>5831</v>
      </c>
    </row>
    <row r="2749" spans="1:17" x14ac:dyDescent="0.3">
      <c r="A2749" t="s">
        <v>4708</v>
      </c>
      <c r="B2749" t="str">
        <f>"002039"</f>
        <v>002039</v>
      </c>
      <c r="C2749" t="s">
        <v>5832</v>
      </c>
      <c r="D2749" t="s">
        <v>66</v>
      </c>
      <c r="P2749">
        <v>431</v>
      </c>
      <c r="Q2749" t="s">
        <v>5833</v>
      </c>
    </row>
    <row r="2750" spans="1:17" x14ac:dyDescent="0.3">
      <c r="A2750" t="s">
        <v>4708</v>
      </c>
      <c r="B2750" t="str">
        <f>"002040"</f>
        <v>002040</v>
      </c>
      <c r="C2750" t="s">
        <v>5834</v>
      </c>
      <c r="D2750" t="s">
        <v>51</v>
      </c>
      <c r="P2750">
        <v>100</v>
      </c>
      <c r="Q2750" t="s">
        <v>5835</v>
      </c>
    </row>
    <row r="2751" spans="1:17" x14ac:dyDescent="0.3">
      <c r="A2751" t="s">
        <v>4708</v>
      </c>
      <c r="B2751" t="str">
        <f>"002041"</f>
        <v>002041</v>
      </c>
      <c r="C2751" t="s">
        <v>5836</v>
      </c>
      <c r="D2751" t="s">
        <v>706</v>
      </c>
      <c r="P2751">
        <v>446</v>
      </c>
      <c r="Q2751" t="s">
        <v>5837</v>
      </c>
    </row>
    <row r="2752" spans="1:17" x14ac:dyDescent="0.3">
      <c r="A2752" t="s">
        <v>4708</v>
      </c>
      <c r="B2752" t="str">
        <f>"002042"</f>
        <v>002042</v>
      </c>
      <c r="C2752" t="s">
        <v>5838</v>
      </c>
      <c r="D2752" t="s">
        <v>1009</v>
      </c>
      <c r="P2752">
        <v>196</v>
      </c>
      <c r="Q2752" t="s">
        <v>5839</v>
      </c>
    </row>
    <row r="2753" spans="1:17" x14ac:dyDescent="0.3">
      <c r="A2753" t="s">
        <v>4708</v>
      </c>
      <c r="B2753" t="str">
        <f>"002043"</f>
        <v>002043</v>
      </c>
      <c r="C2753" t="s">
        <v>5840</v>
      </c>
      <c r="D2753" t="s">
        <v>722</v>
      </c>
      <c r="P2753">
        <v>665</v>
      </c>
      <c r="Q2753" t="s">
        <v>5841</v>
      </c>
    </row>
    <row r="2754" spans="1:17" x14ac:dyDescent="0.3">
      <c r="A2754" t="s">
        <v>4708</v>
      </c>
      <c r="B2754" t="str">
        <f>"002044"</f>
        <v>002044</v>
      </c>
      <c r="C2754" t="s">
        <v>5842</v>
      </c>
      <c r="D2754" t="s">
        <v>1147</v>
      </c>
      <c r="P2754">
        <v>1237</v>
      </c>
      <c r="Q2754" t="s">
        <v>5843</v>
      </c>
    </row>
    <row r="2755" spans="1:17" x14ac:dyDescent="0.3">
      <c r="A2755" t="s">
        <v>4708</v>
      </c>
      <c r="B2755" t="str">
        <f>"002045"</f>
        <v>002045</v>
      </c>
      <c r="C2755" t="s">
        <v>5844</v>
      </c>
      <c r="D2755" t="s">
        <v>3511</v>
      </c>
      <c r="P2755">
        <v>216</v>
      </c>
      <c r="Q2755" t="s">
        <v>5845</v>
      </c>
    </row>
    <row r="2756" spans="1:17" x14ac:dyDescent="0.3">
      <c r="A2756" t="s">
        <v>4708</v>
      </c>
      <c r="B2756" t="str">
        <f>"002046"</f>
        <v>002046</v>
      </c>
      <c r="C2756" t="s">
        <v>5846</v>
      </c>
      <c r="D2756" t="s">
        <v>274</v>
      </c>
      <c r="P2756">
        <v>148</v>
      </c>
      <c r="Q2756" t="s">
        <v>5847</v>
      </c>
    </row>
    <row r="2757" spans="1:17" x14ac:dyDescent="0.3">
      <c r="A2757" t="s">
        <v>4708</v>
      </c>
      <c r="B2757" t="str">
        <f>"002047"</f>
        <v>002047</v>
      </c>
      <c r="C2757" t="s">
        <v>5848</v>
      </c>
      <c r="D2757" t="s">
        <v>450</v>
      </c>
      <c r="P2757">
        <v>103</v>
      </c>
      <c r="Q2757" t="s">
        <v>5849</v>
      </c>
    </row>
    <row r="2758" spans="1:17" x14ac:dyDescent="0.3">
      <c r="A2758" t="s">
        <v>4708</v>
      </c>
      <c r="B2758" t="str">
        <f>"002048"</f>
        <v>002048</v>
      </c>
      <c r="C2758" t="s">
        <v>5850</v>
      </c>
      <c r="D2758" t="s">
        <v>191</v>
      </c>
      <c r="P2758">
        <v>645</v>
      </c>
      <c r="Q2758" t="s">
        <v>5851</v>
      </c>
    </row>
    <row r="2759" spans="1:17" x14ac:dyDescent="0.3">
      <c r="A2759" t="s">
        <v>4708</v>
      </c>
      <c r="B2759" t="str">
        <f>"002049"</f>
        <v>002049</v>
      </c>
      <c r="C2759" t="s">
        <v>5852</v>
      </c>
      <c r="D2759" t="s">
        <v>461</v>
      </c>
      <c r="P2759">
        <v>4605</v>
      </c>
      <c r="Q2759" t="s">
        <v>5853</v>
      </c>
    </row>
    <row r="2760" spans="1:17" x14ac:dyDescent="0.3">
      <c r="A2760" t="s">
        <v>4708</v>
      </c>
      <c r="B2760" t="str">
        <f>"002050"</f>
        <v>002050</v>
      </c>
      <c r="C2760" t="s">
        <v>5854</v>
      </c>
      <c r="D2760" t="s">
        <v>1253</v>
      </c>
      <c r="P2760">
        <v>2043</v>
      </c>
      <c r="Q2760" t="s">
        <v>5855</v>
      </c>
    </row>
    <row r="2761" spans="1:17" x14ac:dyDescent="0.3">
      <c r="A2761" t="s">
        <v>4708</v>
      </c>
      <c r="B2761" t="str">
        <f>"002051"</f>
        <v>002051</v>
      </c>
      <c r="C2761" t="s">
        <v>5856</v>
      </c>
      <c r="D2761" t="s">
        <v>1889</v>
      </c>
      <c r="P2761">
        <v>556</v>
      </c>
      <c r="Q2761" t="s">
        <v>5857</v>
      </c>
    </row>
    <row r="2762" spans="1:17" x14ac:dyDescent="0.3">
      <c r="A2762" t="s">
        <v>4708</v>
      </c>
      <c r="B2762" t="str">
        <f>"002052"</f>
        <v>002052</v>
      </c>
      <c r="C2762" t="s">
        <v>5858</v>
      </c>
      <c r="D2762" t="s">
        <v>4448</v>
      </c>
      <c r="P2762">
        <v>76</v>
      </c>
      <c r="Q2762" t="s">
        <v>5859</v>
      </c>
    </row>
    <row r="2763" spans="1:17" x14ac:dyDescent="0.3">
      <c r="A2763" t="s">
        <v>4708</v>
      </c>
      <c r="B2763" t="str">
        <f>"002053"</f>
        <v>002053</v>
      </c>
      <c r="C2763" t="s">
        <v>5860</v>
      </c>
      <c r="D2763" t="s">
        <v>736</v>
      </c>
      <c r="P2763">
        <v>105</v>
      </c>
      <c r="Q2763" t="s">
        <v>5861</v>
      </c>
    </row>
    <row r="2764" spans="1:17" x14ac:dyDescent="0.3">
      <c r="A2764" t="s">
        <v>4708</v>
      </c>
      <c r="B2764" t="str">
        <f>"002054"</f>
        <v>002054</v>
      </c>
      <c r="C2764" t="s">
        <v>5862</v>
      </c>
      <c r="D2764" t="s">
        <v>779</v>
      </c>
      <c r="P2764">
        <v>110</v>
      </c>
      <c r="Q2764" t="s">
        <v>5863</v>
      </c>
    </row>
    <row r="2765" spans="1:17" x14ac:dyDescent="0.3">
      <c r="A2765" t="s">
        <v>4708</v>
      </c>
      <c r="B2765" t="str">
        <f>"002055"</f>
        <v>002055</v>
      </c>
      <c r="C2765" t="s">
        <v>5864</v>
      </c>
      <c r="D2765" t="s">
        <v>313</v>
      </c>
      <c r="P2765">
        <v>245</v>
      </c>
      <c r="Q2765" t="s">
        <v>5865</v>
      </c>
    </row>
    <row r="2766" spans="1:17" x14ac:dyDescent="0.3">
      <c r="A2766" t="s">
        <v>4708</v>
      </c>
      <c r="B2766" t="str">
        <f>"002056"</f>
        <v>002056</v>
      </c>
      <c r="C2766" t="s">
        <v>5866</v>
      </c>
      <c r="D2766" t="s">
        <v>808</v>
      </c>
      <c r="P2766">
        <v>783</v>
      </c>
      <c r="Q2766" t="s">
        <v>5867</v>
      </c>
    </row>
    <row r="2767" spans="1:17" x14ac:dyDescent="0.3">
      <c r="A2767" t="s">
        <v>4708</v>
      </c>
      <c r="B2767" t="str">
        <f>"002057"</f>
        <v>002057</v>
      </c>
      <c r="C2767" t="s">
        <v>5868</v>
      </c>
      <c r="D2767" t="s">
        <v>808</v>
      </c>
      <c r="P2767">
        <v>126</v>
      </c>
      <c r="Q2767" t="s">
        <v>5869</v>
      </c>
    </row>
    <row r="2768" spans="1:17" x14ac:dyDescent="0.3">
      <c r="A2768" t="s">
        <v>4708</v>
      </c>
      <c r="B2768" t="str">
        <f>"002058"</f>
        <v>002058</v>
      </c>
      <c r="C2768" t="s">
        <v>5870</v>
      </c>
      <c r="D2768" t="s">
        <v>2173</v>
      </c>
      <c r="P2768">
        <v>55</v>
      </c>
      <c r="Q2768" t="s">
        <v>5871</v>
      </c>
    </row>
    <row r="2769" spans="1:17" x14ac:dyDescent="0.3">
      <c r="A2769" t="s">
        <v>4708</v>
      </c>
      <c r="B2769" t="str">
        <f>"002059"</f>
        <v>002059</v>
      </c>
      <c r="C2769" t="s">
        <v>5872</v>
      </c>
      <c r="D2769" t="s">
        <v>333</v>
      </c>
      <c r="P2769">
        <v>160</v>
      </c>
      <c r="Q2769" t="s">
        <v>5873</v>
      </c>
    </row>
    <row r="2770" spans="1:17" x14ac:dyDescent="0.3">
      <c r="A2770" t="s">
        <v>4708</v>
      </c>
      <c r="B2770" t="str">
        <f>"002060"</f>
        <v>002060</v>
      </c>
      <c r="C2770" t="s">
        <v>5874</v>
      </c>
      <c r="D2770" t="s">
        <v>101</v>
      </c>
      <c r="P2770">
        <v>169</v>
      </c>
      <c r="Q2770" t="s">
        <v>5875</v>
      </c>
    </row>
    <row r="2771" spans="1:17" x14ac:dyDescent="0.3">
      <c r="A2771" t="s">
        <v>4708</v>
      </c>
      <c r="B2771" t="str">
        <f>"002061"</f>
        <v>002061</v>
      </c>
      <c r="C2771" t="s">
        <v>5876</v>
      </c>
      <c r="D2771" t="s">
        <v>101</v>
      </c>
      <c r="P2771">
        <v>215</v>
      </c>
      <c r="Q2771" t="s">
        <v>5877</v>
      </c>
    </row>
    <row r="2772" spans="1:17" x14ac:dyDescent="0.3">
      <c r="A2772" t="s">
        <v>4708</v>
      </c>
      <c r="B2772" t="str">
        <f>"002062"</f>
        <v>002062</v>
      </c>
      <c r="C2772" t="s">
        <v>5878</v>
      </c>
      <c r="D2772" t="s">
        <v>101</v>
      </c>
      <c r="P2772">
        <v>145</v>
      </c>
      <c r="Q2772" t="s">
        <v>5879</v>
      </c>
    </row>
    <row r="2773" spans="1:17" x14ac:dyDescent="0.3">
      <c r="A2773" t="s">
        <v>4708</v>
      </c>
      <c r="B2773" t="str">
        <f>"002063"</f>
        <v>002063</v>
      </c>
      <c r="C2773" t="s">
        <v>5880</v>
      </c>
      <c r="D2773" t="s">
        <v>945</v>
      </c>
      <c r="P2773">
        <v>489</v>
      </c>
      <c r="Q2773" t="s">
        <v>5881</v>
      </c>
    </row>
    <row r="2774" spans="1:17" x14ac:dyDescent="0.3">
      <c r="A2774" t="s">
        <v>4708</v>
      </c>
      <c r="B2774" t="str">
        <f>"002064"</f>
        <v>002064</v>
      </c>
      <c r="C2774" t="s">
        <v>5882</v>
      </c>
      <c r="D2774" t="s">
        <v>5602</v>
      </c>
      <c r="P2774">
        <v>686</v>
      </c>
      <c r="Q2774" t="s">
        <v>5883</v>
      </c>
    </row>
    <row r="2775" spans="1:17" x14ac:dyDescent="0.3">
      <c r="A2775" t="s">
        <v>4708</v>
      </c>
      <c r="B2775" t="str">
        <f>"002065"</f>
        <v>002065</v>
      </c>
      <c r="C2775" t="s">
        <v>5884</v>
      </c>
      <c r="D2775" t="s">
        <v>316</v>
      </c>
      <c r="P2775">
        <v>942</v>
      </c>
      <c r="Q2775" t="s">
        <v>5885</v>
      </c>
    </row>
    <row r="2776" spans="1:17" x14ac:dyDescent="0.3">
      <c r="A2776" t="s">
        <v>4708</v>
      </c>
      <c r="B2776" t="str">
        <f>"002066"</f>
        <v>002066</v>
      </c>
      <c r="C2776" t="s">
        <v>5886</v>
      </c>
      <c r="D2776" t="s">
        <v>5887</v>
      </c>
      <c r="P2776">
        <v>74</v>
      </c>
      <c r="Q2776" t="s">
        <v>5888</v>
      </c>
    </row>
    <row r="2777" spans="1:17" x14ac:dyDescent="0.3">
      <c r="A2777" t="s">
        <v>4708</v>
      </c>
      <c r="B2777" t="str">
        <f>"002067"</f>
        <v>002067</v>
      </c>
      <c r="C2777" t="s">
        <v>5889</v>
      </c>
      <c r="D2777" t="s">
        <v>694</v>
      </c>
      <c r="P2777">
        <v>173</v>
      </c>
      <c r="Q2777" t="s">
        <v>5890</v>
      </c>
    </row>
    <row r="2778" spans="1:17" x14ac:dyDescent="0.3">
      <c r="A2778" t="s">
        <v>4708</v>
      </c>
      <c r="B2778" t="str">
        <f>"002068"</f>
        <v>002068</v>
      </c>
      <c r="C2778" t="s">
        <v>5891</v>
      </c>
      <c r="D2778" t="s">
        <v>3631</v>
      </c>
      <c r="P2778">
        <v>300</v>
      </c>
      <c r="Q2778" t="s">
        <v>5892</v>
      </c>
    </row>
    <row r="2779" spans="1:17" x14ac:dyDescent="0.3">
      <c r="A2779" t="s">
        <v>4708</v>
      </c>
      <c r="B2779" t="str">
        <f>"002069"</f>
        <v>002069</v>
      </c>
      <c r="C2779" t="s">
        <v>5893</v>
      </c>
      <c r="D2779" t="s">
        <v>587</v>
      </c>
      <c r="P2779">
        <v>406</v>
      </c>
      <c r="Q2779" t="s">
        <v>5894</v>
      </c>
    </row>
    <row r="2780" spans="1:17" x14ac:dyDescent="0.3">
      <c r="A2780" t="s">
        <v>4708</v>
      </c>
      <c r="B2780" t="str">
        <f>"002070"</f>
        <v>002070</v>
      </c>
      <c r="C2780" t="s">
        <v>5895</v>
      </c>
      <c r="P2780">
        <v>27</v>
      </c>
      <c r="Q2780" t="s">
        <v>5896</v>
      </c>
    </row>
    <row r="2781" spans="1:17" x14ac:dyDescent="0.3">
      <c r="A2781" t="s">
        <v>4708</v>
      </c>
      <c r="B2781" t="str">
        <f>"002071"</f>
        <v>002071</v>
      </c>
      <c r="C2781" t="s">
        <v>5897</v>
      </c>
      <c r="P2781">
        <v>97</v>
      </c>
      <c r="Q2781" t="s">
        <v>5898</v>
      </c>
    </row>
    <row r="2782" spans="1:17" x14ac:dyDescent="0.3">
      <c r="A2782" t="s">
        <v>4708</v>
      </c>
      <c r="B2782" t="str">
        <f>"002072"</f>
        <v>002072</v>
      </c>
      <c r="C2782" t="s">
        <v>5899</v>
      </c>
      <c r="D2782" t="s">
        <v>110</v>
      </c>
      <c r="P2782">
        <v>64</v>
      </c>
      <c r="Q2782" t="s">
        <v>5900</v>
      </c>
    </row>
    <row r="2783" spans="1:17" x14ac:dyDescent="0.3">
      <c r="A2783" t="s">
        <v>4708</v>
      </c>
      <c r="B2783" t="str">
        <f>"002073"</f>
        <v>002073</v>
      </c>
      <c r="C2783" t="s">
        <v>5901</v>
      </c>
      <c r="D2783" t="s">
        <v>741</v>
      </c>
      <c r="P2783">
        <v>150</v>
      </c>
      <c r="Q2783" t="s">
        <v>5902</v>
      </c>
    </row>
    <row r="2784" spans="1:17" x14ac:dyDescent="0.3">
      <c r="A2784" t="s">
        <v>4708</v>
      </c>
      <c r="B2784" t="str">
        <f>"002074"</f>
        <v>002074</v>
      </c>
      <c r="C2784" t="s">
        <v>5903</v>
      </c>
      <c r="D2784" t="s">
        <v>359</v>
      </c>
      <c r="P2784">
        <v>1003</v>
      </c>
      <c r="Q2784" t="s">
        <v>5904</v>
      </c>
    </row>
    <row r="2785" spans="1:17" x14ac:dyDescent="0.3">
      <c r="A2785" t="s">
        <v>4708</v>
      </c>
      <c r="B2785" t="str">
        <f>"002075"</f>
        <v>002075</v>
      </c>
      <c r="C2785" t="s">
        <v>5905</v>
      </c>
      <c r="D2785" t="s">
        <v>281</v>
      </c>
      <c r="P2785">
        <v>281</v>
      </c>
      <c r="Q2785" t="s">
        <v>5906</v>
      </c>
    </row>
    <row r="2786" spans="1:17" x14ac:dyDescent="0.3">
      <c r="A2786" t="s">
        <v>4708</v>
      </c>
      <c r="B2786" t="str">
        <f>"002076"</f>
        <v>002076</v>
      </c>
      <c r="C2786" t="s">
        <v>5907</v>
      </c>
      <c r="D2786" t="s">
        <v>598</v>
      </c>
      <c r="P2786">
        <v>100</v>
      </c>
      <c r="Q2786" t="s">
        <v>5908</v>
      </c>
    </row>
    <row r="2787" spans="1:17" x14ac:dyDescent="0.3">
      <c r="A2787" t="s">
        <v>4708</v>
      </c>
      <c r="B2787" t="str">
        <f>"002077"</f>
        <v>002077</v>
      </c>
      <c r="C2787" t="s">
        <v>5909</v>
      </c>
      <c r="D2787" t="s">
        <v>1180</v>
      </c>
      <c r="P2787">
        <v>125</v>
      </c>
      <c r="Q2787" t="s">
        <v>5910</v>
      </c>
    </row>
    <row r="2788" spans="1:17" x14ac:dyDescent="0.3">
      <c r="A2788" t="s">
        <v>4708</v>
      </c>
      <c r="B2788" t="str">
        <f>"002078"</f>
        <v>002078</v>
      </c>
      <c r="C2788" t="s">
        <v>5911</v>
      </c>
      <c r="D2788" t="s">
        <v>694</v>
      </c>
      <c r="P2788">
        <v>1103</v>
      </c>
      <c r="Q2788" t="s">
        <v>5912</v>
      </c>
    </row>
    <row r="2789" spans="1:17" x14ac:dyDescent="0.3">
      <c r="A2789" t="s">
        <v>4708</v>
      </c>
      <c r="B2789" t="str">
        <f>"002079"</f>
        <v>002079</v>
      </c>
      <c r="C2789" t="s">
        <v>5913</v>
      </c>
      <c r="D2789" t="s">
        <v>795</v>
      </c>
      <c r="P2789">
        <v>372</v>
      </c>
      <c r="Q2789" t="s">
        <v>5914</v>
      </c>
    </row>
    <row r="2790" spans="1:17" x14ac:dyDescent="0.3">
      <c r="A2790" t="s">
        <v>4708</v>
      </c>
      <c r="B2790" t="str">
        <f>"002080"</f>
        <v>002080</v>
      </c>
      <c r="C2790" t="s">
        <v>5915</v>
      </c>
      <c r="D2790" t="s">
        <v>411</v>
      </c>
      <c r="P2790">
        <v>913</v>
      </c>
      <c r="Q2790" t="s">
        <v>5916</v>
      </c>
    </row>
    <row r="2791" spans="1:17" x14ac:dyDescent="0.3">
      <c r="A2791" t="s">
        <v>4708</v>
      </c>
      <c r="B2791" t="str">
        <f>"002081"</f>
        <v>002081</v>
      </c>
      <c r="C2791" t="s">
        <v>5917</v>
      </c>
      <c r="D2791" t="s">
        <v>450</v>
      </c>
      <c r="P2791">
        <v>18140</v>
      </c>
      <c r="Q2791" t="s">
        <v>5918</v>
      </c>
    </row>
    <row r="2792" spans="1:17" x14ac:dyDescent="0.3">
      <c r="A2792" t="s">
        <v>4708</v>
      </c>
      <c r="B2792" t="str">
        <f>"002082"</f>
        <v>002082</v>
      </c>
      <c r="C2792" t="s">
        <v>5919</v>
      </c>
      <c r="D2792" t="s">
        <v>504</v>
      </c>
      <c r="P2792">
        <v>135</v>
      </c>
      <c r="Q2792" t="s">
        <v>5920</v>
      </c>
    </row>
    <row r="2793" spans="1:17" x14ac:dyDescent="0.3">
      <c r="A2793" t="s">
        <v>4708</v>
      </c>
      <c r="B2793" t="str">
        <f>"002083"</f>
        <v>002083</v>
      </c>
      <c r="C2793" t="s">
        <v>5921</v>
      </c>
      <c r="D2793" t="s">
        <v>1009</v>
      </c>
      <c r="P2793">
        <v>283</v>
      </c>
      <c r="Q2793" t="s">
        <v>5922</v>
      </c>
    </row>
    <row r="2794" spans="1:17" x14ac:dyDescent="0.3">
      <c r="A2794" t="s">
        <v>4708</v>
      </c>
      <c r="B2794" t="str">
        <f>"002084"</f>
        <v>002084</v>
      </c>
      <c r="C2794" t="s">
        <v>5923</v>
      </c>
      <c r="D2794" t="s">
        <v>2897</v>
      </c>
      <c r="P2794">
        <v>148</v>
      </c>
      <c r="Q2794" t="s">
        <v>5924</v>
      </c>
    </row>
    <row r="2795" spans="1:17" x14ac:dyDescent="0.3">
      <c r="A2795" t="s">
        <v>4708</v>
      </c>
      <c r="B2795" t="str">
        <f>"002085"</f>
        <v>002085</v>
      </c>
      <c r="C2795" t="s">
        <v>5925</v>
      </c>
      <c r="D2795" t="s">
        <v>422</v>
      </c>
      <c r="P2795">
        <v>1527</v>
      </c>
      <c r="Q2795" t="s">
        <v>5926</v>
      </c>
    </row>
    <row r="2796" spans="1:17" x14ac:dyDescent="0.3">
      <c r="A2796" t="s">
        <v>4708</v>
      </c>
      <c r="B2796" t="str">
        <f>"002086"</f>
        <v>002086</v>
      </c>
      <c r="C2796" t="s">
        <v>5927</v>
      </c>
      <c r="D2796" t="s">
        <v>587</v>
      </c>
      <c r="P2796">
        <v>70</v>
      </c>
      <c r="Q2796" t="s">
        <v>5928</v>
      </c>
    </row>
    <row r="2797" spans="1:17" x14ac:dyDescent="0.3">
      <c r="A2797" t="s">
        <v>4708</v>
      </c>
      <c r="B2797" t="str">
        <f>"002087"</f>
        <v>002087</v>
      </c>
      <c r="C2797" t="s">
        <v>5929</v>
      </c>
      <c r="D2797" t="s">
        <v>1009</v>
      </c>
      <c r="P2797">
        <v>208</v>
      </c>
      <c r="Q2797" t="s">
        <v>5930</v>
      </c>
    </row>
    <row r="2798" spans="1:17" x14ac:dyDescent="0.3">
      <c r="A2798" t="s">
        <v>4708</v>
      </c>
      <c r="B2798" t="str">
        <f>"002088"</f>
        <v>002088</v>
      </c>
      <c r="C2798" t="s">
        <v>5931</v>
      </c>
      <c r="D2798" t="s">
        <v>5887</v>
      </c>
      <c r="P2798">
        <v>407</v>
      </c>
      <c r="Q2798" t="s">
        <v>5932</v>
      </c>
    </row>
    <row r="2799" spans="1:17" x14ac:dyDescent="0.3">
      <c r="A2799" t="s">
        <v>4708</v>
      </c>
      <c r="B2799" t="str">
        <f>"002089"</f>
        <v>002089</v>
      </c>
      <c r="C2799" t="s">
        <v>5933</v>
      </c>
      <c r="D2799" t="s">
        <v>1019</v>
      </c>
      <c r="P2799">
        <v>175</v>
      </c>
      <c r="Q2799" t="s">
        <v>5934</v>
      </c>
    </row>
    <row r="2800" spans="1:17" x14ac:dyDescent="0.3">
      <c r="A2800" t="s">
        <v>4708</v>
      </c>
      <c r="B2800" t="str">
        <f>"002090"</f>
        <v>002090</v>
      </c>
      <c r="C2800" t="s">
        <v>5935</v>
      </c>
      <c r="D2800" t="s">
        <v>610</v>
      </c>
      <c r="P2800">
        <v>229</v>
      </c>
      <c r="Q2800" t="s">
        <v>5936</v>
      </c>
    </row>
    <row r="2801" spans="1:17" x14ac:dyDescent="0.3">
      <c r="A2801" t="s">
        <v>4708</v>
      </c>
      <c r="B2801" t="str">
        <f>"002091"</f>
        <v>002091</v>
      </c>
      <c r="C2801" t="s">
        <v>5937</v>
      </c>
      <c r="D2801" t="s">
        <v>131</v>
      </c>
      <c r="P2801">
        <v>509</v>
      </c>
      <c r="Q2801" t="s">
        <v>5938</v>
      </c>
    </row>
    <row r="2802" spans="1:17" x14ac:dyDescent="0.3">
      <c r="A2802" t="s">
        <v>4708</v>
      </c>
      <c r="B2802" t="str">
        <f>"002092"</f>
        <v>002092</v>
      </c>
      <c r="C2802" t="s">
        <v>5939</v>
      </c>
      <c r="D2802" t="s">
        <v>175</v>
      </c>
      <c r="P2802">
        <v>521</v>
      </c>
      <c r="Q2802" t="s">
        <v>5940</v>
      </c>
    </row>
    <row r="2803" spans="1:17" x14ac:dyDescent="0.3">
      <c r="A2803" t="s">
        <v>4708</v>
      </c>
      <c r="B2803" t="str">
        <f>"002093"</f>
        <v>002093</v>
      </c>
      <c r="C2803" t="s">
        <v>5941</v>
      </c>
      <c r="D2803" t="s">
        <v>654</v>
      </c>
      <c r="P2803">
        <v>288</v>
      </c>
      <c r="Q2803" t="s">
        <v>5942</v>
      </c>
    </row>
    <row r="2804" spans="1:17" x14ac:dyDescent="0.3">
      <c r="A2804" t="s">
        <v>4708</v>
      </c>
      <c r="B2804" t="str">
        <f>"002094"</f>
        <v>002094</v>
      </c>
      <c r="C2804" t="s">
        <v>5943</v>
      </c>
      <c r="D2804" t="s">
        <v>5944</v>
      </c>
      <c r="P2804">
        <v>183</v>
      </c>
      <c r="Q2804" t="s">
        <v>5945</v>
      </c>
    </row>
    <row r="2805" spans="1:17" x14ac:dyDescent="0.3">
      <c r="A2805" t="s">
        <v>4708</v>
      </c>
      <c r="B2805" t="str">
        <f>"002095"</f>
        <v>002095</v>
      </c>
      <c r="C2805" t="s">
        <v>5946</v>
      </c>
      <c r="D2805" t="s">
        <v>522</v>
      </c>
      <c r="P2805">
        <v>97</v>
      </c>
      <c r="Q2805" t="s">
        <v>5947</v>
      </c>
    </row>
    <row r="2806" spans="1:17" x14ac:dyDescent="0.3">
      <c r="A2806" t="s">
        <v>4708</v>
      </c>
      <c r="B2806" t="str">
        <f>"002096"</f>
        <v>002096</v>
      </c>
      <c r="C2806" t="s">
        <v>5948</v>
      </c>
      <c r="D2806" t="s">
        <v>2725</v>
      </c>
      <c r="P2806">
        <v>79</v>
      </c>
      <c r="Q2806" t="s">
        <v>5949</v>
      </c>
    </row>
    <row r="2807" spans="1:17" x14ac:dyDescent="0.3">
      <c r="A2807" t="s">
        <v>4708</v>
      </c>
      <c r="B2807" t="str">
        <f>"002097"</f>
        <v>002097</v>
      </c>
      <c r="C2807" t="s">
        <v>5950</v>
      </c>
      <c r="D2807" t="s">
        <v>83</v>
      </c>
      <c r="P2807">
        <v>217</v>
      </c>
      <c r="Q2807" t="s">
        <v>5951</v>
      </c>
    </row>
    <row r="2808" spans="1:17" x14ac:dyDescent="0.3">
      <c r="A2808" t="s">
        <v>4708</v>
      </c>
      <c r="B2808" t="str">
        <f>"002098"</f>
        <v>002098</v>
      </c>
      <c r="C2808" t="s">
        <v>5952</v>
      </c>
      <c r="D2808" t="s">
        <v>2941</v>
      </c>
      <c r="P2808">
        <v>111</v>
      </c>
      <c r="Q2808" t="s">
        <v>5953</v>
      </c>
    </row>
    <row r="2809" spans="1:17" x14ac:dyDescent="0.3">
      <c r="A2809" t="s">
        <v>4708</v>
      </c>
      <c r="B2809" t="str">
        <f>"002099"</f>
        <v>002099</v>
      </c>
      <c r="C2809" t="s">
        <v>5954</v>
      </c>
      <c r="D2809" t="s">
        <v>496</v>
      </c>
      <c r="P2809">
        <v>298</v>
      </c>
      <c r="Q2809" t="s">
        <v>5955</v>
      </c>
    </row>
    <row r="2810" spans="1:17" x14ac:dyDescent="0.3">
      <c r="A2810" t="s">
        <v>4708</v>
      </c>
      <c r="B2810" t="str">
        <f>"002100"</f>
        <v>002100</v>
      </c>
      <c r="C2810" t="s">
        <v>5956</v>
      </c>
      <c r="D2810" t="s">
        <v>2871</v>
      </c>
      <c r="P2810">
        <v>737</v>
      </c>
      <c r="Q2810" t="s">
        <v>5957</v>
      </c>
    </row>
    <row r="2811" spans="1:17" x14ac:dyDescent="0.3">
      <c r="A2811" t="s">
        <v>4708</v>
      </c>
      <c r="B2811" t="str">
        <f>"002101"</f>
        <v>002101</v>
      </c>
      <c r="C2811" t="s">
        <v>5958</v>
      </c>
      <c r="D2811" t="s">
        <v>985</v>
      </c>
      <c r="P2811">
        <v>267</v>
      </c>
      <c r="Q2811" t="s">
        <v>5959</v>
      </c>
    </row>
    <row r="2812" spans="1:17" x14ac:dyDescent="0.3">
      <c r="A2812" t="s">
        <v>4708</v>
      </c>
      <c r="B2812" t="str">
        <f>"002102"</f>
        <v>002102</v>
      </c>
      <c r="C2812" t="s">
        <v>5960</v>
      </c>
      <c r="D2812" t="s">
        <v>496</v>
      </c>
      <c r="P2812">
        <v>119</v>
      </c>
      <c r="Q2812" t="s">
        <v>5961</v>
      </c>
    </row>
    <row r="2813" spans="1:17" x14ac:dyDescent="0.3">
      <c r="A2813" t="s">
        <v>4708</v>
      </c>
      <c r="B2813" t="str">
        <f>"002103"</f>
        <v>002103</v>
      </c>
      <c r="C2813" t="s">
        <v>5962</v>
      </c>
      <c r="D2813" t="s">
        <v>207</v>
      </c>
      <c r="P2813">
        <v>108</v>
      </c>
      <c r="Q2813" t="s">
        <v>5963</v>
      </c>
    </row>
    <row r="2814" spans="1:17" x14ac:dyDescent="0.3">
      <c r="A2814" t="s">
        <v>4708</v>
      </c>
      <c r="B2814" t="str">
        <f>"002104"</f>
        <v>002104</v>
      </c>
      <c r="C2814" t="s">
        <v>5964</v>
      </c>
      <c r="D2814" t="s">
        <v>786</v>
      </c>
      <c r="P2814">
        <v>416</v>
      </c>
      <c r="Q2814" t="s">
        <v>5965</v>
      </c>
    </row>
    <row r="2815" spans="1:17" x14ac:dyDescent="0.3">
      <c r="A2815" t="s">
        <v>4708</v>
      </c>
      <c r="B2815" t="str">
        <f>"002105"</f>
        <v>002105</v>
      </c>
      <c r="C2815" t="s">
        <v>5966</v>
      </c>
      <c r="D2815" t="s">
        <v>233</v>
      </c>
      <c r="P2815">
        <v>217</v>
      </c>
      <c r="Q2815" t="s">
        <v>5967</v>
      </c>
    </row>
    <row r="2816" spans="1:17" x14ac:dyDescent="0.3">
      <c r="A2816" t="s">
        <v>4708</v>
      </c>
      <c r="B2816" t="str">
        <f>"002106"</f>
        <v>002106</v>
      </c>
      <c r="C2816" t="s">
        <v>5968</v>
      </c>
      <c r="D2816" t="s">
        <v>1117</v>
      </c>
      <c r="P2816">
        <v>296</v>
      </c>
      <c r="Q2816" t="s">
        <v>5969</v>
      </c>
    </row>
    <row r="2817" spans="1:17" x14ac:dyDescent="0.3">
      <c r="A2817" t="s">
        <v>4708</v>
      </c>
      <c r="B2817" t="str">
        <f>"002107"</f>
        <v>002107</v>
      </c>
      <c r="C2817" t="s">
        <v>5970</v>
      </c>
      <c r="D2817" t="s">
        <v>188</v>
      </c>
      <c r="P2817">
        <v>350</v>
      </c>
      <c r="Q2817" t="s">
        <v>5971</v>
      </c>
    </row>
    <row r="2818" spans="1:17" x14ac:dyDescent="0.3">
      <c r="A2818" t="s">
        <v>4708</v>
      </c>
      <c r="B2818" t="str">
        <f>"002108"</f>
        <v>002108</v>
      </c>
      <c r="C2818" t="s">
        <v>5972</v>
      </c>
      <c r="D2818" t="s">
        <v>1192</v>
      </c>
      <c r="P2818">
        <v>345</v>
      </c>
      <c r="Q2818" t="s">
        <v>5973</v>
      </c>
    </row>
    <row r="2819" spans="1:17" x14ac:dyDescent="0.3">
      <c r="A2819" t="s">
        <v>4708</v>
      </c>
      <c r="B2819" t="str">
        <f>"002109"</f>
        <v>002109</v>
      </c>
      <c r="C2819" t="s">
        <v>5974</v>
      </c>
      <c r="D2819" t="s">
        <v>1233</v>
      </c>
      <c r="P2819">
        <v>138</v>
      </c>
      <c r="Q2819" t="s">
        <v>5975</v>
      </c>
    </row>
    <row r="2820" spans="1:17" x14ac:dyDescent="0.3">
      <c r="A2820" t="s">
        <v>4708</v>
      </c>
      <c r="B2820" t="str">
        <f>"002110"</f>
        <v>002110</v>
      </c>
      <c r="C2820" t="s">
        <v>5976</v>
      </c>
      <c r="D2820" t="s">
        <v>531</v>
      </c>
      <c r="P2820">
        <v>1174</v>
      </c>
      <c r="Q2820" t="s">
        <v>5977</v>
      </c>
    </row>
    <row r="2821" spans="1:17" x14ac:dyDescent="0.3">
      <c r="A2821" t="s">
        <v>4708</v>
      </c>
      <c r="B2821" t="str">
        <f>"002111"</f>
        <v>002111</v>
      </c>
      <c r="C2821" t="s">
        <v>5978</v>
      </c>
      <c r="D2821" t="s">
        <v>741</v>
      </c>
      <c r="P2821">
        <v>214</v>
      </c>
      <c r="Q2821" t="s">
        <v>5979</v>
      </c>
    </row>
    <row r="2822" spans="1:17" x14ac:dyDescent="0.3">
      <c r="A2822" t="s">
        <v>4708</v>
      </c>
      <c r="B2822" t="str">
        <f>"002112"</f>
        <v>002112</v>
      </c>
      <c r="C2822" t="s">
        <v>5980</v>
      </c>
      <c r="D2822" t="s">
        <v>210</v>
      </c>
      <c r="P2822">
        <v>76</v>
      </c>
      <c r="Q2822" t="s">
        <v>5981</v>
      </c>
    </row>
    <row r="2823" spans="1:17" x14ac:dyDescent="0.3">
      <c r="A2823" t="s">
        <v>4708</v>
      </c>
      <c r="B2823" t="str">
        <f>"002113"</f>
        <v>002113</v>
      </c>
      <c r="C2823" t="s">
        <v>5982</v>
      </c>
      <c r="D2823" t="s">
        <v>517</v>
      </c>
      <c r="P2823">
        <v>77</v>
      </c>
      <c r="Q2823" t="s">
        <v>5983</v>
      </c>
    </row>
    <row r="2824" spans="1:17" x14ac:dyDescent="0.3">
      <c r="A2824" t="s">
        <v>4708</v>
      </c>
      <c r="B2824" t="str">
        <f>"002114"</f>
        <v>002114</v>
      </c>
      <c r="C2824" t="s">
        <v>5984</v>
      </c>
      <c r="D2824" t="s">
        <v>744</v>
      </c>
      <c r="P2824">
        <v>73</v>
      </c>
      <c r="Q2824" t="s">
        <v>5985</v>
      </c>
    </row>
    <row r="2825" spans="1:17" x14ac:dyDescent="0.3">
      <c r="A2825" t="s">
        <v>4708</v>
      </c>
      <c r="B2825" t="str">
        <f>"002115"</f>
        <v>002115</v>
      </c>
      <c r="C2825" t="s">
        <v>5986</v>
      </c>
      <c r="D2825" t="s">
        <v>654</v>
      </c>
      <c r="P2825">
        <v>239</v>
      </c>
      <c r="Q2825" t="s">
        <v>5987</v>
      </c>
    </row>
    <row r="2826" spans="1:17" x14ac:dyDescent="0.3">
      <c r="A2826" t="s">
        <v>4708</v>
      </c>
      <c r="B2826" t="str">
        <f>"002116"</f>
        <v>002116</v>
      </c>
      <c r="C2826" t="s">
        <v>5988</v>
      </c>
      <c r="D2826" t="s">
        <v>1988</v>
      </c>
      <c r="P2826">
        <v>176</v>
      </c>
      <c r="Q2826" t="s">
        <v>5989</v>
      </c>
    </row>
    <row r="2827" spans="1:17" x14ac:dyDescent="0.3">
      <c r="A2827" t="s">
        <v>4708</v>
      </c>
      <c r="B2827" t="str">
        <f>"002117"</f>
        <v>002117</v>
      </c>
      <c r="C2827" t="s">
        <v>5990</v>
      </c>
      <c r="D2827" t="s">
        <v>1692</v>
      </c>
      <c r="P2827">
        <v>392</v>
      </c>
      <c r="Q2827" t="s">
        <v>5991</v>
      </c>
    </row>
    <row r="2828" spans="1:17" x14ac:dyDescent="0.3">
      <c r="A2828" t="s">
        <v>4708</v>
      </c>
      <c r="B2828" t="str">
        <f>"002118"</f>
        <v>002118</v>
      </c>
      <c r="C2828" t="s">
        <v>5992</v>
      </c>
      <c r="D2828" t="s">
        <v>188</v>
      </c>
      <c r="P2828">
        <v>226</v>
      </c>
      <c r="Q2828" t="s">
        <v>5993</v>
      </c>
    </row>
    <row r="2829" spans="1:17" x14ac:dyDescent="0.3">
      <c r="A2829" t="s">
        <v>4708</v>
      </c>
      <c r="B2829" t="str">
        <f>"002119"</f>
        <v>002119</v>
      </c>
      <c r="C2829" t="s">
        <v>5994</v>
      </c>
      <c r="D2829" t="s">
        <v>475</v>
      </c>
      <c r="P2829">
        <v>214</v>
      </c>
      <c r="Q2829" t="s">
        <v>5995</v>
      </c>
    </row>
    <row r="2830" spans="1:17" x14ac:dyDescent="0.3">
      <c r="A2830" t="s">
        <v>4708</v>
      </c>
      <c r="B2830" t="str">
        <f>"002120"</f>
        <v>002120</v>
      </c>
      <c r="C2830" t="s">
        <v>5996</v>
      </c>
      <c r="D2830" t="s">
        <v>537</v>
      </c>
      <c r="P2830">
        <v>1163</v>
      </c>
      <c r="Q2830" t="s">
        <v>5997</v>
      </c>
    </row>
    <row r="2831" spans="1:17" x14ac:dyDescent="0.3">
      <c r="A2831" t="s">
        <v>4708</v>
      </c>
      <c r="B2831" t="str">
        <f>"002121"</f>
        <v>002121</v>
      </c>
      <c r="C2831" t="s">
        <v>5998</v>
      </c>
      <c r="D2831" t="s">
        <v>2173</v>
      </c>
      <c r="P2831">
        <v>234</v>
      </c>
      <c r="Q2831" t="s">
        <v>5999</v>
      </c>
    </row>
    <row r="2832" spans="1:17" x14ac:dyDescent="0.3">
      <c r="A2832" t="s">
        <v>4708</v>
      </c>
      <c r="B2832" t="str">
        <f>"002122"</f>
        <v>002122</v>
      </c>
      <c r="C2832" t="s">
        <v>6000</v>
      </c>
      <c r="D2832" t="s">
        <v>274</v>
      </c>
      <c r="P2832">
        <v>69</v>
      </c>
      <c r="Q2832" t="s">
        <v>6001</v>
      </c>
    </row>
    <row r="2833" spans="1:17" x14ac:dyDescent="0.3">
      <c r="A2833" t="s">
        <v>4708</v>
      </c>
      <c r="B2833" t="str">
        <f>"002123"</f>
        <v>002123</v>
      </c>
      <c r="C2833" t="s">
        <v>6002</v>
      </c>
      <c r="D2833" t="s">
        <v>5641</v>
      </c>
      <c r="P2833">
        <v>364</v>
      </c>
      <c r="Q2833" t="s">
        <v>6003</v>
      </c>
    </row>
    <row r="2834" spans="1:17" x14ac:dyDescent="0.3">
      <c r="A2834" t="s">
        <v>4708</v>
      </c>
      <c r="B2834" t="str">
        <f>"002124"</f>
        <v>002124</v>
      </c>
      <c r="C2834" t="s">
        <v>6004</v>
      </c>
      <c r="D2834" t="s">
        <v>1896</v>
      </c>
      <c r="P2834">
        <v>922</v>
      </c>
      <c r="Q2834" t="s">
        <v>6005</v>
      </c>
    </row>
    <row r="2835" spans="1:17" x14ac:dyDescent="0.3">
      <c r="A2835" t="s">
        <v>4708</v>
      </c>
      <c r="B2835" t="str">
        <f>"002125"</f>
        <v>002125</v>
      </c>
      <c r="C2835" t="s">
        <v>6006</v>
      </c>
      <c r="D2835" t="s">
        <v>736</v>
      </c>
      <c r="P2835">
        <v>157</v>
      </c>
      <c r="Q2835" t="s">
        <v>6007</v>
      </c>
    </row>
    <row r="2836" spans="1:17" x14ac:dyDescent="0.3">
      <c r="A2836" t="s">
        <v>4708</v>
      </c>
      <c r="B2836" t="str">
        <f>"002126"</f>
        <v>002126</v>
      </c>
      <c r="C2836" t="s">
        <v>6008</v>
      </c>
      <c r="D2836" t="s">
        <v>348</v>
      </c>
      <c r="P2836">
        <v>450</v>
      </c>
      <c r="Q2836" t="s">
        <v>6009</v>
      </c>
    </row>
    <row r="2837" spans="1:17" x14ac:dyDescent="0.3">
      <c r="A2837" t="s">
        <v>4708</v>
      </c>
      <c r="B2837" t="str">
        <f>"002127"</f>
        <v>002127</v>
      </c>
      <c r="C2837" t="s">
        <v>6010</v>
      </c>
      <c r="D2837" t="s">
        <v>3602</v>
      </c>
      <c r="P2837">
        <v>1745</v>
      </c>
      <c r="Q2837" t="s">
        <v>6011</v>
      </c>
    </row>
    <row r="2838" spans="1:17" x14ac:dyDescent="0.3">
      <c r="A2838" t="s">
        <v>4708</v>
      </c>
      <c r="B2838" t="str">
        <f>"002128"</f>
        <v>002128</v>
      </c>
      <c r="C2838" t="s">
        <v>6012</v>
      </c>
      <c r="D2838" t="s">
        <v>292</v>
      </c>
      <c r="P2838">
        <v>1050</v>
      </c>
      <c r="Q2838" t="s">
        <v>6013</v>
      </c>
    </row>
    <row r="2839" spans="1:17" x14ac:dyDescent="0.3">
      <c r="A2839" t="s">
        <v>4708</v>
      </c>
      <c r="B2839" t="str">
        <f>"002129"</f>
        <v>002129</v>
      </c>
      <c r="C2839" t="s">
        <v>6014</v>
      </c>
      <c r="D2839" t="s">
        <v>929</v>
      </c>
      <c r="P2839">
        <v>1522</v>
      </c>
      <c r="Q2839" t="s">
        <v>6015</v>
      </c>
    </row>
    <row r="2840" spans="1:17" x14ac:dyDescent="0.3">
      <c r="A2840" t="s">
        <v>4708</v>
      </c>
      <c r="B2840" t="str">
        <f>"002130"</f>
        <v>002130</v>
      </c>
      <c r="C2840" t="s">
        <v>6016</v>
      </c>
      <c r="D2840" t="s">
        <v>651</v>
      </c>
      <c r="P2840">
        <v>266</v>
      </c>
      <c r="Q2840" t="s">
        <v>6017</v>
      </c>
    </row>
    <row r="2841" spans="1:17" x14ac:dyDescent="0.3">
      <c r="A2841" t="s">
        <v>4708</v>
      </c>
      <c r="B2841" t="str">
        <f>"002131"</f>
        <v>002131</v>
      </c>
      <c r="C2841" t="s">
        <v>6018</v>
      </c>
      <c r="D2841" t="s">
        <v>207</v>
      </c>
      <c r="P2841">
        <v>417</v>
      </c>
      <c r="Q2841" t="s">
        <v>6019</v>
      </c>
    </row>
    <row r="2842" spans="1:17" x14ac:dyDescent="0.3">
      <c r="A2842" t="s">
        <v>4708</v>
      </c>
      <c r="B2842" t="str">
        <f>"002132"</f>
        <v>002132</v>
      </c>
      <c r="C2842" t="s">
        <v>6020</v>
      </c>
      <c r="D2842" t="s">
        <v>274</v>
      </c>
      <c r="P2842">
        <v>127</v>
      </c>
      <c r="Q2842" t="s">
        <v>6021</v>
      </c>
    </row>
    <row r="2843" spans="1:17" x14ac:dyDescent="0.3">
      <c r="A2843" t="s">
        <v>4708</v>
      </c>
      <c r="B2843" t="str">
        <f>"002133"</f>
        <v>002133</v>
      </c>
      <c r="C2843" t="s">
        <v>6022</v>
      </c>
      <c r="D2843" t="s">
        <v>104</v>
      </c>
      <c r="P2843">
        <v>132</v>
      </c>
      <c r="Q2843" t="s">
        <v>6023</v>
      </c>
    </row>
    <row r="2844" spans="1:17" x14ac:dyDescent="0.3">
      <c r="A2844" t="s">
        <v>4708</v>
      </c>
      <c r="B2844" t="str">
        <f>"002134"</f>
        <v>002134</v>
      </c>
      <c r="C2844" t="s">
        <v>6024</v>
      </c>
      <c r="D2844" t="s">
        <v>425</v>
      </c>
      <c r="P2844">
        <v>119</v>
      </c>
      <c r="Q2844" t="s">
        <v>6025</v>
      </c>
    </row>
    <row r="2845" spans="1:17" x14ac:dyDescent="0.3">
      <c r="A2845" t="s">
        <v>4708</v>
      </c>
      <c r="B2845" t="str">
        <f>"002135"</f>
        <v>002135</v>
      </c>
      <c r="C2845" t="s">
        <v>6026</v>
      </c>
      <c r="D2845" t="s">
        <v>978</v>
      </c>
      <c r="P2845">
        <v>163</v>
      </c>
      <c r="Q2845" t="s">
        <v>6027</v>
      </c>
    </row>
    <row r="2846" spans="1:17" x14ac:dyDescent="0.3">
      <c r="A2846" t="s">
        <v>4708</v>
      </c>
      <c r="B2846" t="str">
        <f>"002136"</f>
        <v>002136</v>
      </c>
      <c r="C2846" t="s">
        <v>6028</v>
      </c>
      <c r="D2846" t="s">
        <v>1474</v>
      </c>
      <c r="P2846">
        <v>131</v>
      </c>
      <c r="Q2846" t="s">
        <v>6029</v>
      </c>
    </row>
    <row r="2847" spans="1:17" x14ac:dyDescent="0.3">
      <c r="A2847" t="s">
        <v>4708</v>
      </c>
      <c r="B2847" t="str">
        <f>"002137"</f>
        <v>002137</v>
      </c>
      <c r="C2847" t="s">
        <v>6030</v>
      </c>
      <c r="D2847" t="s">
        <v>207</v>
      </c>
      <c r="P2847">
        <v>148</v>
      </c>
      <c r="Q2847" t="s">
        <v>6031</v>
      </c>
    </row>
    <row r="2848" spans="1:17" x14ac:dyDescent="0.3">
      <c r="A2848" t="s">
        <v>4708</v>
      </c>
      <c r="B2848" t="str">
        <f>"002138"</f>
        <v>002138</v>
      </c>
      <c r="C2848" t="s">
        <v>6032</v>
      </c>
      <c r="D2848" t="s">
        <v>546</v>
      </c>
      <c r="P2848">
        <v>1065</v>
      </c>
      <c r="Q2848" t="s">
        <v>6033</v>
      </c>
    </row>
    <row r="2849" spans="1:17" x14ac:dyDescent="0.3">
      <c r="A2849" t="s">
        <v>4708</v>
      </c>
      <c r="B2849" t="str">
        <f>"002139"</f>
        <v>002139</v>
      </c>
      <c r="C2849" t="s">
        <v>6034</v>
      </c>
      <c r="D2849" t="s">
        <v>313</v>
      </c>
      <c r="P2849">
        <v>919</v>
      </c>
      <c r="Q2849" t="s">
        <v>6035</v>
      </c>
    </row>
    <row r="2850" spans="1:17" x14ac:dyDescent="0.3">
      <c r="A2850" t="s">
        <v>4708</v>
      </c>
      <c r="B2850" t="str">
        <f>"002140"</f>
        <v>002140</v>
      </c>
      <c r="C2850" t="s">
        <v>6036</v>
      </c>
      <c r="D2850" t="s">
        <v>2021</v>
      </c>
      <c r="P2850">
        <v>129</v>
      </c>
      <c r="Q2850" t="s">
        <v>6037</v>
      </c>
    </row>
    <row r="2851" spans="1:17" x14ac:dyDescent="0.3">
      <c r="A2851" t="s">
        <v>4708</v>
      </c>
      <c r="B2851" t="str">
        <f>"002141"</f>
        <v>002141</v>
      </c>
      <c r="C2851" t="s">
        <v>6038</v>
      </c>
      <c r="D2851" t="s">
        <v>651</v>
      </c>
      <c r="P2851">
        <v>74</v>
      </c>
      <c r="Q2851" t="s">
        <v>6039</v>
      </c>
    </row>
    <row r="2852" spans="1:17" x14ac:dyDescent="0.3">
      <c r="A2852" t="s">
        <v>4708</v>
      </c>
      <c r="B2852" t="str">
        <f>"002142"</f>
        <v>002142</v>
      </c>
      <c r="C2852" t="s">
        <v>6040</v>
      </c>
      <c r="D2852" t="s">
        <v>1838</v>
      </c>
      <c r="P2852">
        <v>59332</v>
      </c>
      <c r="Q2852" t="s">
        <v>6041</v>
      </c>
    </row>
    <row r="2853" spans="1:17" x14ac:dyDescent="0.3">
      <c r="A2853" t="s">
        <v>4708</v>
      </c>
      <c r="B2853" t="str">
        <f>"002143"</f>
        <v>002143</v>
      </c>
      <c r="C2853" t="s">
        <v>6042</v>
      </c>
      <c r="P2853">
        <v>59</v>
      </c>
      <c r="Q2853" t="s">
        <v>6043</v>
      </c>
    </row>
    <row r="2854" spans="1:17" x14ac:dyDescent="0.3">
      <c r="A2854" t="s">
        <v>4708</v>
      </c>
      <c r="B2854" t="str">
        <f>"002144"</f>
        <v>002144</v>
      </c>
      <c r="C2854" t="s">
        <v>6044</v>
      </c>
      <c r="D2854" t="s">
        <v>366</v>
      </c>
      <c r="P2854">
        <v>115</v>
      </c>
      <c r="Q2854" t="s">
        <v>6045</v>
      </c>
    </row>
    <row r="2855" spans="1:17" x14ac:dyDescent="0.3">
      <c r="A2855" t="s">
        <v>4708</v>
      </c>
      <c r="B2855" t="str">
        <f>"002145"</f>
        <v>002145</v>
      </c>
      <c r="C2855" t="s">
        <v>6046</v>
      </c>
      <c r="D2855" t="s">
        <v>1474</v>
      </c>
      <c r="P2855">
        <v>284</v>
      </c>
      <c r="Q2855" t="s">
        <v>6047</v>
      </c>
    </row>
    <row r="2856" spans="1:17" x14ac:dyDescent="0.3">
      <c r="A2856" t="s">
        <v>4708</v>
      </c>
      <c r="B2856" t="str">
        <f>"002146"</f>
        <v>002146</v>
      </c>
      <c r="C2856" t="s">
        <v>6048</v>
      </c>
      <c r="D2856" t="s">
        <v>104</v>
      </c>
      <c r="P2856">
        <v>12588</v>
      </c>
      <c r="Q2856" t="s">
        <v>6049</v>
      </c>
    </row>
    <row r="2857" spans="1:17" x14ac:dyDescent="0.3">
      <c r="A2857" t="s">
        <v>4708</v>
      </c>
      <c r="B2857" t="str">
        <f>"002147"</f>
        <v>002147</v>
      </c>
      <c r="C2857" t="s">
        <v>6050</v>
      </c>
      <c r="D2857" t="s">
        <v>560</v>
      </c>
      <c r="P2857">
        <v>94</v>
      </c>
      <c r="Q2857" t="s">
        <v>6051</v>
      </c>
    </row>
    <row r="2858" spans="1:17" x14ac:dyDescent="0.3">
      <c r="A2858" t="s">
        <v>4708</v>
      </c>
      <c r="B2858" t="str">
        <f>"002148"</f>
        <v>002148</v>
      </c>
      <c r="C2858" t="s">
        <v>6052</v>
      </c>
      <c r="D2858" t="s">
        <v>5641</v>
      </c>
      <c r="P2858">
        <v>103</v>
      </c>
      <c r="Q2858" t="s">
        <v>6053</v>
      </c>
    </row>
    <row r="2859" spans="1:17" x14ac:dyDescent="0.3">
      <c r="A2859" t="s">
        <v>4708</v>
      </c>
      <c r="B2859" t="str">
        <f>"002149"</f>
        <v>002149</v>
      </c>
      <c r="C2859" t="s">
        <v>6054</v>
      </c>
      <c r="D2859" t="s">
        <v>636</v>
      </c>
      <c r="P2859">
        <v>259</v>
      </c>
      <c r="Q2859" t="s">
        <v>6055</v>
      </c>
    </row>
    <row r="2860" spans="1:17" x14ac:dyDescent="0.3">
      <c r="A2860" t="s">
        <v>4708</v>
      </c>
      <c r="B2860" t="str">
        <f>"002150"</f>
        <v>002150</v>
      </c>
      <c r="C2860" t="s">
        <v>6056</v>
      </c>
      <c r="D2860" t="s">
        <v>274</v>
      </c>
      <c r="P2860">
        <v>103</v>
      </c>
      <c r="Q2860" t="s">
        <v>6057</v>
      </c>
    </row>
    <row r="2861" spans="1:17" x14ac:dyDescent="0.3">
      <c r="A2861" t="s">
        <v>4708</v>
      </c>
      <c r="B2861" t="str">
        <f>"002151"</f>
        <v>002151</v>
      </c>
      <c r="C2861" t="s">
        <v>6058</v>
      </c>
      <c r="D2861" t="s">
        <v>1136</v>
      </c>
      <c r="P2861">
        <v>3423</v>
      </c>
      <c r="Q2861" t="s">
        <v>6059</v>
      </c>
    </row>
    <row r="2862" spans="1:17" x14ac:dyDescent="0.3">
      <c r="A2862" t="s">
        <v>4708</v>
      </c>
      <c r="B2862" t="str">
        <f>"002152"</f>
        <v>002152</v>
      </c>
      <c r="C2862" t="s">
        <v>6060</v>
      </c>
      <c r="D2862" t="s">
        <v>236</v>
      </c>
      <c r="P2862">
        <v>16880</v>
      </c>
      <c r="Q2862" t="s">
        <v>6061</v>
      </c>
    </row>
    <row r="2863" spans="1:17" x14ac:dyDescent="0.3">
      <c r="A2863" t="s">
        <v>4708</v>
      </c>
      <c r="B2863" t="str">
        <f>"002153"</f>
        <v>002153</v>
      </c>
      <c r="C2863" t="s">
        <v>6062</v>
      </c>
      <c r="D2863" t="s">
        <v>945</v>
      </c>
      <c r="P2863">
        <v>679</v>
      </c>
      <c r="Q2863" t="s">
        <v>6063</v>
      </c>
    </row>
    <row r="2864" spans="1:17" x14ac:dyDescent="0.3">
      <c r="A2864" t="s">
        <v>4708</v>
      </c>
      <c r="B2864" t="str">
        <f>"002154"</f>
        <v>002154</v>
      </c>
      <c r="C2864" t="s">
        <v>6064</v>
      </c>
      <c r="D2864" t="s">
        <v>255</v>
      </c>
      <c r="P2864">
        <v>204</v>
      </c>
      <c r="Q2864" t="s">
        <v>6065</v>
      </c>
    </row>
    <row r="2865" spans="1:17" x14ac:dyDescent="0.3">
      <c r="A2865" t="s">
        <v>4708</v>
      </c>
      <c r="B2865" t="str">
        <f>"002155"</f>
        <v>002155</v>
      </c>
      <c r="C2865" t="s">
        <v>6066</v>
      </c>
      <c r="D2865" t="s">
        <v>701</v>
      </c>
      <c r="P2865">
        <v>219</v>
      </c>
      <c r="Q2865" t="s">
        <v>6067</v>
      </c>
    </row>
    <row r="2866" spans="1:17" x14ac:dyDescent="0.3">
      <c r="A2866" t="s">
        <v>4708</v>
      </c>
      <c r="B2866" t="str">
        <f>"002156"</f>
        <v>002156</v>
      </c>
      <c r="C2866" t="s">
        <v>6068</v>
      </c>
      <c r="D2866" t="s">
        <v>1180</v>
      </c>
      <c r="P2866">
        <v>770</v>
      </c>
      <c r="Q2866" t="s">
        <v>6069</v>
      </c>
    </row>
    <row r="2867" spans="1:17" x14ac:dyDescent="0.3">
      <c r="A2867" t="s">
        <v>4708</v>
      </c>
      <c r="B2867" t="str">
        <f>"002157"</f>
        <v>002157</v>
      </c>
      <c r="C2867" t="s">
        <v>6070</v>
      </c>
      <c r="D2867" t="s">
        <v>1896</v>
      </c>
      <c r="P2867">
        <v>1128</v>
      </c>
      <c r="Q2867" t="s">
        <v>6071</v>
      </c>
    </row>
    <row r="2868" spans="1:17" x14ac:dyDescent="0.3">
      <c r="A2868" t="s">
        <v>4708</v>
      </c>
      <c r="B2868" t="str">
        <f>"002158"</f>
        <v>002158</v>
      </c>
      <c r="C2868" t="s">
        <v>6072</v>
      </c>
      <c r="D2868" t="s">
        <v>988</v>
      </c>
      <c r="P2868">
        <v>478</v>
      </c>
      <c r="Q2868" t="s">
        <v>6073</v>
      </c>
    </row>
    <row r="2869" spans="1:17" x14ac:dyDescent="0.3">
      <c r="A2869" t="s">
        <v>4708</v>
      </c>
      <c r="B2869" t="str">
        <f>"002159"</f>
        <v>002159</v>
      </c>
      <c r="C2869" t="s">
        <v>6074</v>
      </c>
      <c r="D2869" t="s">
        <v>119</v>
      </c>
      <c r="P2869">
        <v>119</v>
      </c>
      <c r="Q2869" t="s">
        <v>6075</v>
      </c>
    </row>
    <row r="2870" spans="1:17" x14ac:dyDescent="0.3">
      <c r="A2870" t="s">
        <v>4708</v>
      </c>
      <c r="B2870" t="str">
        <f>"002160"</f>
        <v>002160</v>
      </c>
      <c r="C2870" t="s">
        <v>6076</v>
      </c>
      <c r="D2870" t="s">
        <v>504</v>
      </c>
      <c r="P2870">
        <v>166</v>
      </c>
      <c r="Q2870" t="s">
        <v>6077</v>
      </c>
    </row>
    <row r="2871" spans="1:17" x14ac:dyDescent="0.3">
      <c r="A2871" t="s">
        <v>4708</v>
      </c>
      <c r="B2871" t="str">
        <f>"002161"</f>
        <v>002161</v>
      </c>
      <c r="C2871" t="s">
        <v>6078</v>
      </c>
      <c r="D2871" t="s">
        <v>651</v>
      </c>
      <c r="P2871">
        <v>211</v>
      </c>
      <c r="Q2871" t="s">
        <v>6079</v>
      </c>
    </row>
    <row r="2872" spans="1:17" x14ac:dyDescent="0.3">
      <c r="A2872" t="s">
        <v>4708</v>
      </c>
      <c r="B2872" t="str">
        <f>"002162"</f>
        <v>002162</v>
      </c>
      <c r="C2872" t="s">
        <v>6080</v>
      </c>
      <c r="D2872" t="s">
        <v>178</v>
      </c>
      <c r="P2872">
        <v>137</v>
      </c>
      <c r="Q2872" t="s">
        <v>6081</v>
      </c>
    </row>
    <row r="2873" spans="1:17" x14ac:dyDescent="0.3">
      <c r="A2873" t="s">
        <v>4708</v>
      </c>
      <c r="B2873" t="str">
        <f>"002163"</f>
        <v>002163</v>
      </c>
      <c r="C2873" t="s">
        <v>6082</v>
      </c>
      <c r="D2873" t="s">
        <v>666</v>
      </c>
      <c r="P2873">
        <v>170</v>
      </c>
      <c r="Q2873" t="s">
        <v>6083</v>
      </c>
    </row>
    <row r="2874" spans="1:17" x14ac:dyDescent="0.3">
      <c r="A2874" t="s">
        <v>4708</v>
      </c>
      <c r="B2874" t="str">
        <f>"002164"</f>
        <v>002164</v>
      </c>
      <c r="C2874" t="s">
        <v>6084</v>
      </c>
      <c r="D2874" t="s">
        <v>274</v>
      </c>
      <c r="P2874">
        <v>187</v>
      </c>
      <c r="Q2874" t="s">
        <v>6085</v>
      </c>
    </row>
    <row r="2875" spans="1:17" x14ac:dyDescent="0.3">
      <c r="A2875" t="s">
        <v>4708</v>
      </c>
      <c r="B2875" t="str">
        <f>"002165"</f>
        <v>002165</v>
      </c>
      <c r="C2875" t="s">
        <v>6086</v>
      </c>
      <c r="D2875" t="s">
        <v>528</v>
      </c>
      <c r="P2875">
        <v>100</v>
      </c>
      <c r="Q2875" t="s">
        <v>6087</v>
      </c>
    </row>
    <row r="2876" spans="1:17" x14ac:dyDescent="0.3">
      <c r="A2876" t="s">
        <v>4708</v>
      </c>
      <c r="B2876" t="str">
        <f>"002166"</f>
        <v>002166</v>
      </c>
      <c r="C2876" t="s">
        <v>6088</v>
      </c>
      <c r="D2876" t="s">
        <v>188</v>
      </c>
      <c r="P2876">
        <v>200</v>
      </c>
      <c r="Q2876" t="s">
        <v>6089</v>
      </c>
    </row>
    <row r="2877" spans="1:17" x14ac:dyDescent="0.3">
      <c r="A2877" t="s">
        <v>4708</v>
      </c>
      <c r="B2877" t="str">
        <f>"002167"</f>
        <v>002167</v>
      </c>
      <c r="C2877" t="s">
        <v>6090</v>
      </c>
      <c r="D2877" t="s">
        <v>636</v>
      </c>
      <c r="P2877">
        <v>111</v>
      </c>
      <c r="Q2877" t="s">
        <v>6091</v>
      </c>
    </row>
    <row r="2878" spans="1:17" x14ac:dyDescent="0.3">
      <c r="A2878" t="s">
        <v>4708</v>
      </c>
      <c r="B2878" t="str">
        <f>"002168"</f>
        <v>002168</v>
      </c>
      <c r="C2878" t="s">
        <v>6092</v>
      </c>
      <c r="D2878" t="s">
        <v>517</v>
      </c>
      <c r="P2878">
        <v>158</v>
      </c>
      <c r="Q2878" t="s">
        <v>6093</v>
      </c>
    </row>
    <row r="2879" spans="1:17" x14ac:dyDescent="0.3">
      <c r="A2879" t="s">
        <v>4708</v>
      </c>
      <c r="B2879" t="str">
        <f>"002169"</f>
        <v>002169</v>
      </c>
      <c r="C2879" t="s">
        <v>6094</v>
      </c>
      <c r="D2879" t="s">
        <v>610</v>
      </c>
      <c r="P2879">
        <v>219</v>
      </c>
      <c r="Q2879" t="s">
        <v>6095</v>
      </c>
    </row>
    <row r="2880" spans="1:17" x14ac:dyDescent="0.3">
      <c r="A2880" t="s">
        <v>4708</v>
      </c>
      <c r="B2880" t="str">
        <f>"002170"</f>
        <v>002170</v>
      </c>
      <c r="C2880" t="s">
        <v>6096</v>
      </c>
      <c r="D2880" t="s">
        <v>5533</v>
      </c>
      <c r="P2880">
        <v>103</v>
      </c>
      <c r="Q2880" t="s">
        <v>6097</v>
      </c>
    </row>
    <row r="2881" spans="1:17" x14ac:dyDescent="0.3">
      <c r="A2881" t="s">
        <v>4708</v>
      </c>
      <c r="B2881" t="str">
        <f>"002171"</f>
        <v>002171</v>
      </c>
      <c r="C2881" t="s">
        <v>6098</v>
      </c>
      <c r="D2881" t="s">
        <v>263</v>
      </c>
      <c r="P2881">
        <v>237</v>
      </c>
      <c r="Q2881" t="s">
        <v>6099</v>
      </c>
    </row>
    <row r="2882" spans="1:17" x14ac:dyDescent="0.3">
      <c r="A2882" t="s">
        <v>4708</v>
      </c>
      <c r="B2882" t="str">
        <f>"002172"</f>
        <v>002172</v>
      </c>
      <c r="C2882" t="s">
        <v>6100</v>
      </c>
      <c r="D2882" t="s">
        <v>888</v>
      </c>
      <c r="P2882">
        <v>141</v>
      </c>
      <c r="Q2882" t="s">
        <v>6101</v>
      </c>
    </row>
    <row r="2883" spans="1:17" x14ac:dyDescent="0.3">
      <c r="A2883" t="s">
        <v>4708</v>
      </c>
      <c r="B2883" t="str">
        <f>"002173"</f>
        <v>002173</v>
      </c>
      <c r="C2883" t="s">
        <v>6102</v>
      </c>
      <c r="D2883" t="s">
        <v>1147</v>
      </c>
      <c r="P2883">
        <v>125</v>
      </c>
      <c r="Q2883" t="s">
        <v>6103</v>
      </c>
    </row>
    <row r="2884" spans="1:17" x14ac:dyDescent="0.3">
      <c r="A2884" t="s">
        <v>4708</v>
      </c>
      <c r="B2884" t="str">
        <f>"002174"</f>
        <v>002174</v>
      </c>
      <c r="C2884" t="s">
        <v>6104</v>
      </c>
      <c r="D2884" t="s">
        <v>517</v>
      </c>
      <c r="P2884">
        <v>736</v>
      </c>
      <c r="Q2884" t="s">
        <v>6105</v>
      </c>
    </row>
    <row r="2885" spans="1:17" x14ac:dyDescent="0.3">
      <c r="A2885" t="s">
        <v>4708</v>
      </c>
      <c r="B2885" t="str">
        <f>"002175"</f>
        <v>002175</v>
      </c>
      <c r="C2885" t="s">
        <v>6106</v>
      </c>
      <c r="D2885" t="s">
        <v>110</v>
      </c>
      <c r="P2885">
        <v>79</v>
      </c>
      <c r="Q2885" t="s">
        <v>6107</v>
      </c>
    </row>
    <row r="2886" spans="1:17" x14ac:dyDescent="0.3">
      <c r="A2886" t="s">
        <v>4708</v>
      </c>
      <c r="B2886" t="str">
        <f>"002176"</f>
        <v>002176</v>
      </c>
      <c r="C2886" t="s">
        <v>6108</v>
      </c>
      <c r="D2886" t="s">
        <v>1171</v>
      </c>
      <c r="P2886">
        <v>317</v>
      </c>
      <c r="Q2886" t="s">
        <v>6109</v>
      </c>
    </row>
    <row r="2887" spans="1:17" x14ac:dyDescent="0.3">
      <c r="A2887" t="s">
        <v>4708</v>
      </c>
      <c r="B2887" t="str">
        <f>"002177"</f>
        <v>002177</v>
      </c>
      <c r="C2887" t="s">
        <v>6110</v>
      </c>
      <c r="D2887" t="s">
        <v>236</v>
      </c>
      <c r="P2887">
        <v>3025</v>
      </c>
      <c r="Q2887" t="s">
        <v>6111</v>
      </c>
    </row>
    <row r="2888" spans="1:17" x14ac:dyDescent="0.3">
      <c r="A2888" t="s">
        <v>4708</v>
      </c>
      <c r="B2888" t="str">
        <f>"002178"</f>
        <v>002178</v>
      </c>
      <c r="C2888" t="s">
        <v>6112</v>
      </c>
      <c r="D2888" t="s">
        <v>945</v>
      </c>
      <c r="P2888">
        <v>89</v>
      </c>
      <c r="Q2888" t="s">
        <v>6113</v>
      </c>
    </row>
    <row r="2889" spans="1:17" x14ac:dyDescent="0.3">
      <c r="A2889" t="s">
        <v>4708</v>
      </c>
      <c r="B2889" t="str">
        <f>"002179"</f>
        <v>002179</v>
      </c>
      <c r="C2889" t="s">
        <v>6114</v>
      </c>
      <c r="D2889" t="s">
        <v>1136</v>
      </c>
      <c r="P2889">
        <v>1738</v>
      </c>
      <c r="Q2889" t="s">
        <v>6115</v>
      </c>
    </row>
    <row r="2890" spans="1:17" x14ac:dyDescent="0.3">
      <c r="A2890" t="s">
        <v>4708</v>
      </c>
      <c r="B2890" t="str">
        <f>"002180"</f>
        <v>002180</v>
      </c>
      <c r="C2890" t="s">
        <v>6116</v>
      </c>
      <c r="D2890" t="s">
        <v>461</v>
      </c>
      <c r="P2890">
        <v>472</v>
      </c>
      <c r="Q2890" t="s">
        <v>6117</v>
      </c>
    </row>
    <row r="2891" spans="1:17" x14ac:dyDescent="0.3">
      <c r="A2891" t="s">
        <v>4708</v>
      </c>
      <c r="B2891" t="str">
        <f>"002181"</f>
        <v>002181</v>
      </c>
      <c r="C2891" t="s">
        <v>6118</v>
      </c>
      <c r="D2891" t="s">
        <v>525</v>
      </c>
      <c r="P2891">
        <v>107</v>
      </c>
      <c r="Q2891" t="s">
        <v>6119</v>
      </c>
    </row>
    <row r="2892" spans="1:17" x14ac:dyDescent="0.3">
      <c r="A2892" t="s">
        <v>4708</v>
      </c>
      <c r="B2892" t="str">
        <f>"002182"</f>
        <v>002182</v>
      </c>
      <c r="C2892" t="s">
        <v>6120</v>
      </c>
      <c r="D2892" t="s">
        <v>636</v>
      </c>
      <c r="P2892">
        <v>372</v>
      </c>
      <c r="Q2892" t="s">
        <v>6121</v>
      </c>
    </row>
    <row r="2893" spans="1:17" x14ac:dyDescent="0.3">
      <c r="A2893" t="s">
        <v>4708</v>
      </c>
      <c r="B2893" t="str">
        <f>"002183"</f>
        <v>002183</v>
      </c>
      <c r="C2893" t="s">
        <v>6122</v>
      </c>
      <c r="D2893" t="s">
        <v>3110</v>
      </c>
      <c r="P2893">
        <v>261</v>
      </c>
      <c r="Q2893" t="s">
        <v>6123</v>
      </c>
    </row>
    <row r="2894" spans="1:17" x14ac:dyDescent="0.3">
      <c r="A2894" t="s">
        <v>4708</v>
      </c>
      <c r="B2894" t="str">
        <f>"002184"</f>
        <v>002184</v>
      </c>
      <c r="C2894" t="s">
        <v>6124</v>
      </c>
      <c r="D2894" t="s">
        <v>2425</v>
      </c>
      <c r="P2894">
        <v>186</v>
      </c>
      <c r="Q2894" t="s">
        <v>6125</v>
      </c>
    </row>
    <row r="2895" spans="1:17" x14ac:dyDescent="0.3">
      <c r="A2895" t="s">
        <v>4708</v>
      </c>
      <c r="B2895" t="str">
        <f>"002185"</f>
        <v>002185</v>
      </c>
      <c r="C2895" t="s">
        <v>6126</v>
      </c>
      <c r="D2895" t="s">
        <v>1180</v>
      </c>
      <c r="P2895">
        <v>1176</v>
      </c>
      <c r="Q2895" t="s">
        <v>6127</v>
      </c>
    </row>
    <row r="2896" spans="1:17" x14ac:dyDescent="0.3">
      <c r="A2896" t="s">
        <v>4708</v>
      </c>
      <c r="B2896" t="str">
        <f>"002186"</f>
        <v>002186</v>
      </c>
      <c r="C2896" t="s">
        <v>6128</v>
      </c>
      <c r="D2896" t="s">
        <v>3583</v>
      </c>
      <c r="P2896">
        <v>179</v>
      </c>
      <c r="Q2896" t="s">
        <v>6129</v>
      </c>
    </row>
    <row r="2897" spans="1:17" x14ac:dyDescent="0.3">
      <c r="A2897" t="s">
        <v>4708</v>
      </c>
      <c r="B2897" t="str">
        <f>"002187"</f>
        <v>002187</v>
      </c>
      <c r="C2897" t="s">
        <v>6130</v>
      </c>
      <c r="D2897" t="s">
        <v>633</v>
      </c>
      <c r="P2897">
        <v>147</v>
      </c>
      <c r="Q2897" t="s">
        <v>6131</v>
      </c>
    </row>
    <row r="2898" spans="1:17" x14ac:dyDescent="0.3">
      <c r="A2898" t="s">
        <v>4708</v>
      </c>
      <c r="B2898" t="str">
        <f>"002188"</f>
        <v>002188</v>
      </c>
      <c r="C2898" t="s">
        <v>6132</v>
      </c>
      <c r="D2898" t="s">
        <v>207</v>
      </c>
      <c r="P2898">
        <v>69</v>
      </c>
      <c r="Q2898" t="s">
        <v>6133</v>
      </c>
    </row>
    <row r="2899" spans="1:17" x14ac:dyDescent="0.3">
      <c r="A2899" t="s">
        <v>4708</v>
      </c>
      <c r="B2899" t="str">
        <f>"002189"</f>
        <v>002189</v>
      </c>
      <c r="C2899" t="s">
        <v>6134</v>
      </c>
      <c r="D2899" t="s">
        <v>1136</v>
      </c>
      <c r="P2899">
        <v>221</v>
      </c>
      <c r="Q2899" t="s">
        <v>6135</v>
      </c>
    </row>
    <row r="2900" spans="1:17" x14ac:dyDescent="0.3">
      <c r="A2900" t="s">
        <v>4708</v>
      </c>
      <c r="B2900" t="str">
        <f>"002190"</f>
        <v>002190</v>
      </c>
      <c r="C2900" t="s">
        <v>6136</v>
      </c>
      <c r="D2900" t="s">
        <v>98</v>
      </c>
      <c r="P2900">
        <v>184</v>
      </c>
      <c r="Q2900" t="s">
        <v>6137</v>
      </c>
    </row>
    <row r="2901" spans="1:17" x14ac:dyDescent="0.3">
      <c r="A2901" t="s">
        <v>4708</v>
      </c>
      <c r="B2901" t="str">
        <f>"002191"</f>
        <v>002191</v>
      </c>
      <c r="C2901" t="s">
        <v>6138</v>
      </c>
      <c r="D2901" t="s">
        <v>2158</v>
      </c>
      <c r="P2901">
        <v>6347</v>
      </c>
      <c r="Q2901" t="s">
        <v>6139</v>
      </c>
    </row>
    <row r="2902" spans="1:17" x14ac:dyDescent="0.3">
      <c r="A2902" t="s">
        <v>4708</v>
      </c>
      <c r="B2902" t="str">
        <f>"002192"</f>
        <v>002192</v>
      </c>
      <c r="C2902" t="s">
        <v>6140</v>
      </c>
      <c r="D2902" t="s">
        <v>3761</v>
      </c>
      <c r="P2902">
        <v>230</v>
      </c>
      <c r="Q2902" t="s">
        <v>6141</v>
      </c>
    </row>
    <row r="2903" spans="1:17" x14ac:dyDescent="0.3">
      <c r="A2903" t="s">
        <v>4708</v>
      </c>
      <c r="B2903" t="str">
        <f>"002193"</f>
        <v>002193</v>
      </c>
      <c r="C2903" t="s">
        <v>6142</v>
      </c>
      <c r="D2903" t="s">
        <v>366</v>
      </c>
      <c r="P2903">
        <v>93</v>
      </c>
      <c r="Q2903" t="s">
        <v>6143</v>
      </c>
    </row>
    <row r="2904" spans="1:17" x14ac:dyDescent="0.3">
      <c r="A2904" t="s">
        <v>4708</v>
      </c>
      <c r="B2904" t="str">
        <f>"002194"</f>
        <v>002194</v>
      </c>
      <c r="C2904" t="s">
        <v>6144</v>
      </c>
      <c r="D2904" t="s">
        <v>1019</v>
      </c>
      <c r="P2904">
        <v>906</v>
      </c>
      <c r="Q2904" t="s">
        <v>6145</v>
      </c>
    </row>
    <row r="2905" spans="1:17" x14ac:dyDescent="0.3">
      <c r="A2905" t="s">
        <v>4708</v>
      </c>
      <c r="B2905" t="str">
        <f>"002195"</f>
        <v>002195</v>
      </c>
      <c r="C2905" t="s">
        <v>6146</v>
      </c>
      <c r="D2905" t="s">
        <v>316</v>
      </c>
      <c r="P2905">
        <v>558</v>
      </c>
      <c r="Q2905" t="s">
        <v>6147</v>
      </c>
    </row>
    <row r="2906" spans="1:17" x14ac:dyDescent="0.3">
      <c r="A2906" t="s">
        <v>4708</v>
      </c>
      <c r="B2906" t="str">
        <f>"002196"</f>
        <v>002196</v>
      </c>
      <c r="C2906" t="s">
        <v>6148</v>
      </c>
      <c r="D2906" t="s">
        <v>1171</v>
      </c>
      <c r="P2906">
        <v>163</v>
      </c>
      <c r="Q2906" t="s">
        <v>6149</v>
      </c>
    </row>
    <row r="2907" spans="1:17" x14ac:dyDescent="0.3">
      <c r="A2907" t="s">
        <v>4708</v>
      </c>
      <c r="B2907" t="str">
        <f>"002197"</f>
        <v>002197</v>
      </c>
      <c r="C2907" t="s">
        <v>6150</v>
      </c>
      <c r="D2907" t="s">
        <v>236</v>
      </c>
      <c r="P2907">
        <v>230</v>
      </c>
      <c r="Q2907" t="s">
        <v>6151</v>
      </c>
    </row>
    <row r="2908" spans="1:17" x14ac:dyDescent="0.3">
      <c r="A2908" t="s">
        <v>4708</v>
      </c>
      <c r="B2908" t="str">
        <f>"002198"</f>
        <v>002198</v>
      </c>
      <c r="C2908" t="s">
        <v>6152</v>
      </c>
      <c r="D2908" t="s">
        <v>188</v>
      </c>
      <c r="P2908">
        <v>120</v>
      </c>
      <c r="Q2908" t="s">
        <v>6153</v>
      </c>
    </row>
    <row r="2909" spans="1:17" x14ac:dyDescent="0.3">
      <c r="A2909" t="s">
        <v>4708</v>
      </c>
      <c r="B2909" t="str">
        <f>"002199"</f>
        <v>002199</v>
      </c>
      <c r="C2909" t="s">
        <v>6154</v>
      </c>
      <c r="D2909" t="s">
        <v>546</v>
      </c>
      <c r="P2909">
        <v>111</v>
      </c>
      <c r="Q2909" t="s">
        <v>6155</v>
      </c>
    </row>
    <row r="2910" spans="1:17" x14ac:dyDescent="0.3">
      <c r="A2910" t="s">
        <v>4708</v>
      </c>
      <c r="B2910" t="str">
        <f>"002200"</f>
        <v>002200</v>
      </c>
      <c r="C2910" t="s">
        <v>6156</v>
      </c>
      <c r="D2910" t="s">
        <v>2410</v>
      </c>
      <c r="P2910">
        <v>53</v>
      </c>
      <c r="Q2910" t="s">
        <v>6157</v>
      </c>
    </row>
    <row r="2911" spans="1:17" x14ac:dyDescent="0.3">
      <c r="A2911" t="s">
        <v>4708</v>
      </c>
      <c r="B2911" t="str">
        <f>"002201"</f>
        <v>002201</v>
      </c>
      <c r="C2911" t="s">
        <v>6158</v>
      </c>
      <c r="D2911" t="s">
        <v>411</v>
      </c>
      <c r="P2911">
        <v>132</v>
      </c>
      <c r="Q2911" t="s">
        <v>6159</v>
      </c>
    </row>
    <row r="2912" spans="1:17" x14ac:dyDescent="0.3">
      <c r="A2912" t="s">
        <v>4708</v>
      </c>
      <c r="B2912" t="str">
        <f>"002202"</f>
        <v>002202</v>
      </c>
      <c r="C2912" t="s">
        <v>6160</v>
      </c>
      <c r="D2912" t="s">
        <v>895</v>
      </c>
      <c r="P2912">
        <v>1283</v>
      </c>
      <c r="Q2912" t="s">
        <v>6161</v>
      </c>
    </row>
    <row r="2913" spans="1:17" x14ac:dyDescent="0.3">
      <c r="A2913" t="s">
        <v>4708</v>
      </c>
      <c r="B2913" t="str">
        <f>"002203"</f>
        <v>002203</v>
      </c>
      <c r="C2913" t="s">
        <v>6162</v>
      </c>
      <c r="D2913" t="s">
        <v>263</v>
      </c>
      <c r="P2913">
        <v>239</v>
      </c>
      <c r="Q2913" t="s">
        <v>6163</v>
      </c>
    </row>
    <row r="2914" spans="1:17" x14ac:dyDescent="0.3">
      <c r="A2914" t="s">
        <v>4708</v>
      </c>
      <c r="B2914" t="str">
        <f>"002204"</f>
        <v>002204</v>
      </c>
      <c r="C2914" t="s">
        <v>6164</v>
      </c>
      <c r="D2914" t="s">
        <v>395</v>
      </c>
      <c r="P2914">
        <v>137</v>
      </c>
      <c r="Q2914" t="s">
        <v>6165</v>
      </c>
    </row>
    <row r="2915" spans="1:17" x14ac:dyDescent="0.3">
      <c r="A2915" t="s">
        <v>4708</v>
      </c>
      <c r="B2915" t="str">
        <f>"002205"</f>
        <v>002205</v>
      </c>
      <c r="C2915" t="s">
        <v>6166</v>
      </c>
      <c r="D2915" t="s">
        <v>3560</v>
      </c>
      <c r="P2915">
        <v>86</v>
      </c>
      <c r="Q2915" t="s">
        <v>6167</v>
      </c>
    </row>
    <row r="2916" spans="1:17" x14ac:dyDescent="0.3">
      <c r="A2916" t="s">
        <v>4708</v>
      </c>
      <c r="B2916" t="str">
        <f>"002206"</f>
        <v>002206</v>
      </c>
      <c r="C2916" t="s">
        <v>6168</v>
      </c>
      <c r="D2916" t="s">
        <v>2720</v>
      </c>
      <c r="P2916">
        <v>369</v>
      </c>
      <c r="Q2916" t="s">
        <v>6169</v>
      </c>
    </row>
    <row r="2917" spans="1:17" x14ac:dyDescent="0.3">
      <c r="A2917" t="s">
        <v>4708</v>
      </c>
      <c r="B2917" t="str">
        <f>"002207"</f>
        <v>002207</v>
      </c>
      <c r="C2917" t="s">
        <v>6170</v>
      </c>
      <c r="D2917" t="s">
        <v>1758</v>
      </c>
      <c r="P2917">
        <v>73</v>
      </c>
      <c r="Q2917" t="s">
        <v>6171</v>
      </c>
    </row>
    <row r="2918" spans="1:17" x14ac:dyDescent="0.3">
      <c r="A2918" t="s">
        <v>4708</v>
      </c>
      <c r="B2918" t="str">
        <f>"002208"</f>
        <v>002208</v>
      </c>
      <c r="C2918" t="s">
        <v>6172</v>
      </c>
      <c r="D2918" t="s">
        <v>104</v>
      </c>
      <c r="P2918">
        <v>198</v>
      </c>
      <c r="Q2918" t="s">
        <v>6173</v>
      </c>
    </row>
    <row r="2919" spans="1:17" x14ac:dyDescent="0.3">
      <c r="A2919" t="s">
        <v>4708</v>
      </c>
      <c r="B2919" t="str">
        <f>"002209"</f>
        <v>002209</v>
      </c>
      <c r="C2919" t="s">
        <v>6174</v>
      </c>
      <c r="D2919" t="s">
        <v>3400</v>
      </c>
      <c r="P2919">
        <v>75</v>
      </c>
      <c r="Q2919" t="s">
        <v>6175</v>
      </c>
    </row>
    <row r="2920" spans="1:17" x14ac:dyDescent="0.3">
      <c r="A2920" t="s">
        <v>4708</v>
      </c>
      <c r="B2920" t="str">
        <f>"002210"</f>
        <v>002210</v>
      </c>
      <c r="C2920" t="s">
        <v>6176</v>
      </c>
      <c r="D2920" t="s">
        <v>128</v>
      </c>
      <c r="P2920">
        <v>83</v>
      </c>
      <c r="Q2920" t="s">
        <v>6177</v>
      </c>
    </row>
    <row r="2921" spans="1:17" x14ac:dyDescent="0.3">
      <c r="A2921" t="s">
        <v>4708</v>
      </c>
      <c r="B2921" t="str">
        <f>"002211"</f>
        <v>002211</v>
      </c>
      <c r="C2921" t="s">
        <v>6178</v>
      </c>
      <c r="D2921" t="s">
        <v>1205</v>
      </c>
      <c r="P2921">
        <v>85</v>
      </c>
      <c r="Q2921" t="s">
        <v>6179</v>
      </c>
    </row>
    <row r="2922" spans="1:17" x14ac:dyDescent="0.3">
      <c r="A2922" t="s">
        <v>4708</v>
      </c>
      <c r="B2922" t="str">
        <f>"002212"</f>
        <v>002212</v>
      </c>
      <c r="C2922" t="s">
        <v>6180</v>
      </c>
      <c r="D2922" t="s">
        <v>1189</v>
      </c>
      <c r="P2922">
        <v>249</v>
      </c>
      <c r="Q2922" t="s">
        <v>6181</v>
      </c>
    </row>
    <row r="2923" spans="1:17" x14ac:dyDescent="0.3">
      <c r="A2923" t="s">
        <v>4708</v>
      </c>
      <c r="B2923" t="str">
        <f>"002213"</f>
        <v>002213</v>
      </c>
      <c r="C2923" t="s">
        <v>6182</v>
      </c>
      <c r="D2923" t="s">
        <v>348</v>
      </c>
      <c r="P2923">
        <v>90</v>
      </c>
      <c r="Q2923" t="s">
        <v>6183</v>
      </c>
    </row>
    <row r="2924" spans="1:17" x14ac:dyDescent="0.3">
      <c r="A2924" t="s">
        <v>4708</v>
      </c>
      <c r="B2924" t="str">
        <f>"002214"</f>
        <v>002214</v>
      </c>
      <c r="C2924" t="s">
        <v>6184</v>
      </c>
      <c r="D2924" t="s">
        <v>1136</v>
      </c>
      <c r="P2924">
        <v>511</v>
      </c>
      <c r="Q2924" t="s">
        <v>6185</v>
      </c>
    </row>
    <row r="2925" spans="1:17" x14ac:dyDescent="0.3">
      <c r="A2925" t="s">
        <v>4708</v>
      </c>
      <c r="B2925" t="str">
        <f>"002215"</f>
        <v>002215</v>
      </c>
      <c r="C2925" t="s">
        <v>6186</v>
      </c>
      <c r="D2925" t="s">
        <v>853</v>
      </c>
      <c r="P2925">
        <v>175</v>
      </c>
      <c r="Q2925" t="s">
        <v>6187</v>
      </c>
    </row>
    <row r="2926" spans="1:17" x14ac:dyDescent="0.3">
      <c r="A2926" t="s">
        <v>4708</v>
      </c>
      <c r="B2926" t="str">
        <f>"002216"</f>
        <v>002216</v>
      </c>
      <c r="C2926" t="s">
        <v>6188</v>
      </c>
      <c r="D2926" t="s">
        <v>2850</v>
      </c>
      <c r="P2926">
        <v>1276</v>
      </c>
      <c r="Q2926" t="s">
        <v>6189</v>
      </c>
    </row>
    <row r="2927" spans="1:17" x14ac:dyDescent="0.3">
      <c r="A2927" t="s">
        <v>4708</v>
      </c>
      <c r="B2927" t="str">
        <f>"002217"</f>
        <v>002217</v>
      </c>
      <c r="C2927" t="s">
        <v>6190</v>
      </c>
      <c r="D2927" t="s">
        <v>1117</v>
      </c>
      <c r="P2927">
        <v>490</v>
      </c>
      <c r="Q2927" t="s">
        <v>6191</v>
      </c>
    </row>
    <row r="2928" spans="1:17" x14ac:dyDescent="0.3">
      <c r="A2928" t="s">
        <v>4708</v>
      </c>
      <c r="B2928" t="str">
        <f>"002218"</f>
        <v>002218</v>
      </c>
      <c r="C2928" t="s">
        <v>6192</v>
      </c>
      <c r="D2928" t="s">
        <v>478</v>
      </c>
      <c r="P2928">
        <v>218</v>
      </c>
      <c r="Q2928" t="s">
        <v>6193</v>
      </c>
    </row>
    <row r="2929" spans="1:17" x14ac:dyDescent="0.3">
      <c r="A2929" t="s">
        <v>4708</v>
      </c>
      <c r="B2929" t="str">
        <f>"002219"</f>
        <v>002219</v>
      </c>
      <c r="C2929" t="s">
        <v>6194</v>
      </c>
      <c r="D2929" t="s">
        <v>1147</v>
      </c>
      <c r="P2929">
        <v>94</v>
      </c>
      <c r="Q2929" t="s">
        <v>6195</v>
      </c>
    </row>
    <row r="2930" spans="1:17" x14ac:dyDescent="0.3">
      <c r="A2930" t="s">
        <v>4708</v>
      </c>
      <c r="B2930" t="str">
        <f>"002220"</f>
        <v>002220</v>
      </c>
      <c r="C2930" t="s">
        <v>6196</v>
      </c>
      <c r="P2930">
        <v>51</v>
      </c>
      <c r="Q2930" t="s">
        <v>6197</v>
      </c>
    </row>
    <row r="2931" spans="1:17" x14ac:dyDescent="0.3">
      <c r="A2931" t="s">
        <v>4708</v>
      </c>
      <c r="B2931" t="str">
        <f>"002221"</f>
        <v>002221</v>
      </c>
      <c r="C2931" t="s">
        <v>6198</v>
      </c>
      <c r="D2931" t="s">
        <v>1615</v>
      </c>
      <c r="P2931">
        <v>390</v>
      </c>
      <c r="Q2931" t="s">
        <v>6199</v>
      </c>
    </row>
    <row r="2932" spans="1:17" x14ac:dyDescent="0.3">
      <c r="A2932" t="s">
        <v>4708</v>
      </c>
      <c r="B2932" t="str">
        <f>"002222"</f>
        <v>002222</v>
      </c>
      <c r="C2932" t="s">
        <v>6200</v>
      </c>
      <c r="D2932" t="s">
        <v>164</v>
      </c>
      <c r="P2932">
        <v>517</v>
      </c>
      <c r="Q2932" t="s">
        <v>6201</v>
      </c>
    </row>
    <row r="2933" spans="1:17" x14ac:dyDescent="0.3">
      <c r="A2933" t="s">
        <v>4708</v>
      </c>
      <c r="B2933" t="str">
        <f>"002223"</f>
        <v>002223</v>
      </c>
      <c r="C2933" t="s">
        <v>6202</v>
      </c>
      <c r="D2933" t="s">
        <v>122</v>
      </c>
      <c r="P2933">
        <v>17494</v>
      </c>
      <c r="Q2933" t="s">
        <v>6203</v>
      </c>
    </row>
    <row r="2934" spans="1:17" x14ac:dyDescent="0.3">
      <c r="A2934" t="s">
        <v>4708</v>
      </c>
      <c r="B2934" t="str">
        <f>"002224"</f>
        <v>002224</v>
      </c>
      <c r="C2934" t="s">
        <v>6204</v>
      </c>
      <c r="D2934" t="s">
        <v>2462</v>
      </c>
      <c r="P2934">
        <v>186</v>
      </c>
      <c r="Q2934" t="s">
        <v>6205</v>
      </c>
    </row>
    <row r="2935" spans="1:17" x14ac:dyDescent="0.3">
      <c r="A2935" t="s">
        <v>4708</v>
      </c>
      <c r="B2935" t="str">
        <f>"002225"</f>
        <v>002225</v>
      </c>
      <c r="C2935" t="s">
        <v>6206</v>
      </c>
      <c r="D2935" t="s">
        <v>5887</v>
      </c>
      <c r="P2935">
        <v>142</v>
      </c>
      <c r="Q2935" t="s">
        <v>6207</v>
      </c>
    </row>
    <row r="2936" spans="1:17" x14ac:dyDescent="0.3">
      <c r="A2936" t="s">
        <v>4708</v>
      </c>
      <c r="B2936" t="str">
        <f>"002226"</f>
        <v>002226</v>
      </c>
      <c r="C2936" t="s">
        <v>6208</v>
      </c>
      <c r="D2936" t="s">
        <v>2725</v>
      </c>
      <c r="P2936">
        <v>172</v>
      </c>
      <c r="Q2936" t="s">
        <v>6209</v>
      </c>
    </row>
    <row r="2937" spans="1:17" x14ac:dyDescent="0.3">
      <c r="A2937" t="s">
        <v>4708</v>
      </c>
      <c r="B2937" t="str">
        <f>"002227"</f>
        <v>002227</v>
      </c>
      <c r="C2937" t="s">
        <v>6210</v>
      </c>
      <c r="D2937" t="s">
        <v>470</v>
      </c>
      <c r="P2937">
        <v>162</v>
      </c>
      <c r="Q2937" t="s">
        <v>6211</v>
      </c>
    </row>
    <row r="2938" spans="1:17" x14ac:dyDescent="0.3">
      <c r="A2938" t="s">
        <v>4708</v>
      </c>
      <c r="B2938" t="str">
        <f>"002228"</f>
        <v>002228</v>
      </c>
      <c r="C2938" t="s">
        <v>6212</v>
      </c>
      <c r="D2938" t="s">
        <v>2158</v>
      </c>
      <c r="P2938">
        <v>290</v>
      </c>
      <c r="Q2938" t="s">
        <v>6213</v>
      </c>
    </row>
    <row r="2939" spans="1:17" x14ac:dyDescent="0.3">
      <c r="A2939" t="s">
        <v>4708</v>
      </c>
      <c r="B2939" t="str">
        <f>"002229"</f>
        <v>002229</v>
      </c>
      <c r="C2939" t="s">
        <v>6214</v>
      </c>
      <c r="D2939" t="s">
        <v>1692</v>
      </c>
      <c r="P2939">
        <v>118</v>
      </c>
      <c r="Q2939" t="s">
        <v>6215</v>
      </c>
    </row>
    <row r="2940" spans="1:17" x14ac:dyDescent="0.3">
      <c r="A2940" t="s">
        <v>4708</v>
      </c>
      <c r="B2940" t="str">
        <f>"002230"</f>
        <v>002230</v>
      </c>
      <c r="C2940" t="s">
        <v>6216</v>
      </c>
      <c r="D2940" t="s">
        <v>1189</v>
      </c>
      <c r="P2940">
        <v>3020</v>
      </c>
      <c r="Q2940" t="s">
        <v>6217</v>
      </c>
    </row>
    <row r="2941" spans="1:17" x14ac:dyDescent="0.3">
      <c r="A2941" t="s">
        <v>4708</v>
      </c>
      <c r="B2941" t="str">
        <f>"002231"</f>
        <v>002231</v>
      </c>
      <c r="C2941" t="s">
        <v>6218</v>
      </c>
      <c r="D2941" t="s">
        <v>1136</v>
      </c>
      <c r="P2941">
        <v>155</v>
      </c>
      <c r="Q2941" t="s">
        <v>6219</v>
      </c>
    </row>
    <row r="2942" spans="1:17" x14ac:dyDescent="0.3">
      <c r="A2942" t="s">
        <v>4708</v>
      </c>
      <c r="B2942" t="str">
        <f>"002232"</f>
        <v>002232</v>
      </c>
      <c r="C2942" t="s">
        <v>6220</v>
      </c>
      <c r="D2942" t="s">
        <v>316</v>
      </c>
      <c r="P2942">
        <v>247</v>
      </c>
      <c r="Q2942" t="s">
        <v>6221</v>
      </c>
    </row>
    <row r="2943" spans="1:17" x14ac:dyDescent="0.3">
      <c r="A2943" t="s">
        <v>4708</v>
      </c>
      <c r="B2943" t="str">
        <f>"002233"</f>
        <v>002233</v>
      </c>
      <c r="C2943" t="s">
        <v>6222</v>
      </c>
      <c r="D2943" t="s">
        <v>731</v>
      </c>
      <c r="P2943">
        <v>1388</v>
      </c>
      <c r="Q2943" t="s">
        <v>6223</v>
      </c>
    </row>
    <row r="2944" spans="1:17" x14ac:dyDescent="0.3">
      <c r="A2944" t="s">
        <v>4708</v>
      </c>
      <c r="B2944" t="str">
        <f>"002234"</f>
        <v>002234</v>
      </c>
      <c r="C2944" t="s">
        <v>6224</v>
      </c>
      <c r="D2944" t="s">
        <v>6225</v>
      </c>
      <c r="P2944">
        <v>577</v>
      </c>
      <c r="Q2944" t="s">
        <v>6226</v>
      </c>
    </row>
    <row r="2945" spans="1:17" x14ac:dyDescent="0.3">
      <c r="A2945" t="s">
        <v>4708</v>
      </c>
      <c r="B2945" t="str">
        <f>"002235"</f>
        <v>002235</v>
      </c>
      <c r="C2945" t="s">
        <v>6227</v>
      </c>
      <c r="D2945" t="s">
        <v>244</v>
      </c>
      <c r="P2945">
        <v>142</v>
      </c>
      <c r="Q2945" t="s">
        <v>6228</v>
      </c>
    </row>
    <row r="2946" spans="1:17" x14ac:dyDescent="0.3">
      <c r="A2946" t="s">
        <v>4708</v>
      </c>
      <c r="B2946" t="str">
        <f>"002236"</f>
        <v>002236</v>
      </c>
      <c r="C2946" t="s">
        <v>6229</v>
      </c>
      <c r="D2946" t="s">
        <v>2965</v>
      </c>
      <c r="P2946">
        <v>32899</v>
      </c>
      <c r="Q2946" t="s">
        <v>6230</v>
      </c>
    </row>
    <row r="2947" spans="1:17" x14ac:dyDescent="0.3">
      <c r="A2947" t="s">
        <v>4708</v>
      </c>
      <c r="B2947" t="str">
        <f>"002237"</f>
        <v>002237</v>
      </c>
      <c r="C2947" t="s">
        <v>6231</v>
      </c>
      <c r="D2947" t="s">
        <v>701</v>
      </c>
      <c r="P2947">
        <v>193</v>
      </c>
      <c r="Q2947" t="s">
        <v>6232</v>
      </c>
    </row>
    <row r="2948" spans="1:17" x14ac:dyDescent="0.3">
      <c r="A2948" t="s">
        <v>4708</v>
      </c>
      <c r="B2948" t="str">
        <f>"002238"</f>
        <v>002238</v>
      </c>
      <c r="C2948" t="s">
        <v>6233</v>
      </c>
      <c r="D2948" t="s">
        <v>95</v>
      </c>
      <c r="P2948">
        <v>205</v>
      </c>
      <c r="Q2948" t="s">
        <v>6234</v>
      </c>
    </row>
    <row r="2949" spans="1:17" x14ac:dyDescent="0.3">
      <c r="A2949" t="s">
        <v>4708</v>
      </c>
      <c r="B2949" t="str">
        <f>"002239"</f>
        <v>002239</v>
      </c>
      <c r="C2949" t="s">
        <v>6235</v>
      </c>
      <c r="D2949" t="s">
        <v>1415</v>
      </c>
      <c r="P2949">
        <v>242</v>
      </c>
      <c r="Q2949" t="s">
        <v>6236</v>
      </c>
    </row>
    <row r="2950" spans="1:17" x14ac:dyDescent="0.3">
      <c r="A2950" t="s">
        <v>4708</v>
      </c>
      <c r="B2950" t="str">
        <f>"002240"</f>
        <v>002240</v>
      </c>
      <c r="C2950" t="s">
        <v>6237</v>
      </c>
      <c r="D2950" t="s">
        <v>5344</v>
      </c>
      <c r="P2950">
        <v>389</v>
      </c>
      <c r="Q2950" t="s">
        <v>6238</v>
      </c>
    </row>
    <row r="2951" spans="1:17" x14ac:dyDescent="0.3">
      <c r="A2951" t="s">
        <v>4708</v>
      </c>
      <c r="B2951" t="str">
        <f>"002241"</f>
        <v>002241</v>
      </c>
      <c r="C2951" t="s">
        <v>6239</v>
      </c>
      <c r="D2951" t="s">
        <v>313</v>
      </c>
      <c r="P2951">
        <v>3528</v>
      </c>
      <c r="Q2951" t="s">
        <v>6240</v>
      </c>
    </row>
    <row r="2952" spans="1:17" x14ac:dyDescent="0.3">
      <c r="A2952" t="s">
        <v>4708</v>
      </c>
      <c r="B2952" t="str">
        <f>"002242"</f>
        <v>002242</v>
      </c>
      <c r="C2952" t="s">
        <v>6241</v>
      </c>
      <c r="D2952" t="s">
        <v>5764</v>
      </c>
      <c r="P2952">
        <v>54902</v>
      </c>
      <c r="Q2952" t="s">
        <v>6242</v>
      </c>
    </row>
    <row r="2953" spans="1:17" x14ac:dyDescent="0.3">
      <c r="A2953" t="s">
        <v>4708</v>
      </c>
      <c r="B2953" t="str">
        <f>"002243"</f>
        <v>002243</v>
      </c>
      <c r="C2953" t="s">
        <v>6243</v>
      </c>
      <c r="D2953" t="s">
        <v>5944</v>
      </c>
      <c r="P2953">
        <v>155</v>
      </c>
      <c r="Q2953" t="s">
        <v>6244</v>
      </c>
    </row>
    <row r="2954" spans="1:17" x14ac:dyDescent="0.3">
      <c r="A2954" t="s">
        <v>4708</v>
      </c>
      <c r="B2954" t="str">
        <f>"002244"</f>
        <v>002244</v>
      </c>
      <c r="C2954" t="s">
        <v>6245</v>
      </c>
      <c r="D2954" t="s">
        <v>104</v>
      </c>
      <c r="P2954">
        <v>403</v>
      </c>
      <c r="Q2954" t="s">
        <v>6246</v>
      </c>
    </row>
    <row r="2955" spans="1:17" x14ac:dyDescent="0.3">
      <c r="A2955" t="s">
        <v>4708</v>
      </c>
      <c r="B2955" t="str">
        <f>"002245"</f>
        <v>002245</v>
      </c>
      <c r="C2955" t="s">
        <v>6247</v>
      </c>
      <c r="D2955" t="s">
        <v>359</v>
      </c>
      <c r="P2955">
        <v>377</v>
      </c>
      <c r="Q2955" t="s">
        <v>6248</v>
      </c>
    </row>
    <row r="2956" spans="1:17" x14ac:dyDescent="0.3">
      <c r="A2956" t="s">
        <v>4708</v>
      </c>
      <c r="B2956" t="str">
        <f>"002246"</f>
        <v>002246</v>
      </c>
      <c r="C2956" t="s">
        <v>6249</v>
      </c>
      <c r="D2956" t="s">
        <v>2725</v>
      </c>
      <c r="P2956">
        <v>117</v>
      </c>
      <c r="Q2956" t="s">
        <v>6250</v>
      </c>
    </row>
    <row r="2957" spans="1:17" x14ac:dyDescent="0.3">
      <c r="A2957" t="s">
        <v>4708</v>
      </c>
      <c r="B2957" t="str">
        <f>"002247"</f>
        <v>002247</v>
      </c>
      <c r="C2957" t="s">
        <v>6251</v>
      </c>
      <c r="D2957" t="s">
        <v>207</v>
      </c>
      <c r="P2957">
        <v>90</v>
      </c>
      <c r="Q2957" t="s">
        <v>6252</v>
      </c>
    </row>
    <row r="2958" spans="1:17" x14ac:dyDescent="0.3">
      <c r="A2958" t="s">
        <v>4708</v>
      </c>
      <c r="B2958" t="str">
        <f>"002248"</f>
        <v>002248</v>
      </c>
      <c r="C2958" t="s">
        <v>6253</v>
      </c>
      <c r="D2958" t="s">
        <v>2314</v>
      </c>
      <c r="P2958">
        <v>109</v>
      </c>
      <c r="Q2958" t="s">
        <v>6254</v>
      </c>
    </row>
    <row r="2959" spans="1:17" x14ac:dyDescent="0.3">
      <c r="A2959" t="s">
        <v>4708</v>
      </c>
      <c r="B2959" t="str">
        <f>"002249"</f>
        <v>002249</v>
      </c>
      <c r="C2959" t="s">
        <v>6255</v>
      </c>
      <c r="D2959" t="s">
        <v>1171</v>
      </c>
      <c r="P2959">
        <v>338</v>
      </c>
      <c r="Q2959" t="s">
        <v>6256</v>
      </c>
    </row>
    <row r="2960" spans="1:17" x14ac:dyDescent="0.3">
      <c r="A2960" t="s">
        <v>4708</v>
      </c>
      <c r="B2960" t="str">
        <f>"002250"</f>
        <v>002250</v>
      </c>
      <c r="C2960" t="s">
        <v>6257</v>
      </c>
      <c r="D2960" t="s">
        <v>853</v>
      </c>
      <c r="P2960">
        <v>348</v>
      </c>
      <c r="Q2960" t="s">
        <v>6258</v>
      </c>
    </row>
    <row r="2961" spans="1:17" x14ac:dyDescent="0.3">
      <c r="A2961" t="s">
        <v>4708</v>
      </c>
      <c r="B2961" t="str">
        <f>"002251"</f>
        <v>002251</v>
      </c>
      <c r="C2961" t="s">
        <v>6259</v>
      </c>
      <c r="D2961" t="s">
        <v>798</v>
      </c>
      <c r="P2961">
        <v>196</v>
      </c>
      <c r="Q2961" t="s">
        <v>6260</v>
      </c>
    </row>
    <row r="2962" spans="1:17" x14ac:dyDescent="0.3">
      <c r="A2962" t="s">
        <v>4708</v>
      </c>
      <c r="B2962" t="str">
        <f>"002252"</f>
        <v>002252</v>
      </c>
      <c r="C2962" t="s">
        <v>6261</v>
      </c>
      <c r="D2962" t="s">
        <v>378</v>
      </c>
      <c r="P2962">
        <v>602</v>
      </c>
      <c r="Q2962" t="s">
        <v>6262</v>
      </c>
    </row>
    <row r="2963" spans="1:17" x14ac:dyDescent="0.3">
      <c r="A2963" t="s">
        <v>4708</v>
      </c>
      <c r="B2963" t="str">
        <f>"002253"</f>
        <v>002253</v>
      </c>
      <c r="C2963" t="s">
        <v>6263</v>
      </c>
      <c r="D2963" t="s">
        <v>945</v>
      </c>
      <c r="P2963">
        <v>151</v>
      </c>
      <c r="Q2963" t="s">
        <v>6264</v>
      </c>
    </row>
    <row r="2964" spans="1:17" x14ac:dyDescent="0.3">
      <c r="A2964" t="s">
        <v>4708</v>
      </c>
      <c r="B2964" t="str">
        <f>"002254"</f>
        <v>002254</v>
      </c>
      <c r="C2964" t="s">
        <v>6265</v>
      </c>
      <c r="D2964" t="s">
        <v>5602</v>
      </c>
      <c r="P2964">
        <v>215</v>
      </c>
      <c r="Q2964" t="s">
        <v>6266</v>
      </c>
    </row>
    <row r="2965" spans="1:17" x14ac:dyDescent="0.3">
      <c r="A2965" t="s">
        <v>4708</v>
      </c>
      <c r="B2965" t="str">
        <f>"002255"</f>
        <v>002255</v>
      </c>
      <c r="C2965" t="s">
        <v>6267</v>
      </c>
      <c r="D2965" t="s">
        <v>470</v>
      </c>
      <c r="P2965">
        <v>107</v>
      </c>
      <c r="Q2965" t="s">
        <v>6268</v>
      </c>
    </row>
    <row r="2966" spans="1:17" x14ac:dyDescent="0.3">
      <c r="A2966" t="s">
        <v>4708</v>
      </c>
      <c r="B2966" t="str">
        <f>"002256"</f>
        <v>002256</v>
      </c>
      <c r="C2966" t="s">
        <v>6269</v>
      </c>
      <c r="D2966" t="s">
        <v>86</v>
      </c>
      <c r="P2966">
        <v>151</v>
      </c>
      <c r="Q2966" t="s">
        <v>6270</v>
      </c>
    </row>
    <row r="2967" spans="1:17" x14ac:dyDescent="0.3">
      <c r="A2967" t="s">
        <v>4708</v>
      </c>
      <c r="B2967" t="str">
        <f>"002258"</f>
        <v>002258</v>
      </c>
      <c r="C2967" t="s">
        <v>6271</v>
      </c>
      <c r="D2967" t="s">
        <v>853</v>
      </c>
      <c r="P2967">
        <v>646</v>
      </c>
      <c r="Q2967" t="s">
        <v>6272</v>
      </c>
    </row>
    <row r="2968" spans="1:17" x14ac:dyDescent="0.3">
      <c r="A2968" t="s">
        <v>4708</v>
      </c>
      <c r="B2968" t="str">
        <f>"002259"</f>
        <v>002259</v>
      </c>
      <c r="C2968" t="s">
        <v>6273</v>
      </c>
      <c r="D2968" t="s">
        <v>749</v>
      </c>
      <c r="P2968">
        <v>59</v>
      </c>
      <c r="Q2968" t="s">
        <v>6274</v>
      </c>
    </row>
    <row r="2969" spans="1:17" x14ac:dyDescent="0.3">
      <c r="A2969" t="s">
        <v>4708</v>
      </c>
      <c r="B2969" t="str">
        <f>"002260"</f>
        <v>002260</v>
      </c>
      <c r="C2969" t="s">
        <v>6275</v>
      </c>
      <c r="D2969" t="s">
        <v>5764</v>
      </c>
      <c r="P2969">
        <v>57</v>
      </c>
      <c r="Q2969" t="s">
        <v>6276</v>
      </c>
    </row>
    <row r="2970" spans="1:17" x14ac:dyDescent="0.3">
      <c r="A2970" t="s">
        <v>4708</v>
      </c>
      <c r="B2970" t="str">
        <f>"002261"</f>
        <v>002261</v>
      </c>
      <c r="C2970" t="s">
        <v>6277</v>
      </c>
      <c r="D2970" t="s">
        <v>1285</v>
      </c>
      <c r="P2970">
        <v>299</v>
      </c>
      <c r="Q2970" t="s">
        <v>6278</v>
      </c>
    </row>
    <row r="2971" spans="1:17" x14ac:dyDescent="0.3">
      <c r="A2971" t="s">
        <v>4708</v>
      </c>
      <c r="B2971" t="str">
        <f>"002262"</f>
        <v>002262</v>
      </c>
      <c r="C2971" t="s">
        <v>6279</v>
      </c>
      <c r="D2971" t="s">
        <v>143</v>
      </c>
      <c r="P2971">
        <v>51365</v>
      </c>
      <c r="Q2971" t="s">
        <v>6280</v>
      </c>
    </row>
    <row r="2972" spans="1:17" x14ac:dyDescent="0.3">
      <c r="A2972" t="s">
        <v>4708</v>
      </c>
      <c r="B2972" t="str">
        <f>"002263"</f>
        <v>002263</v>
      </c>
      <c r="C2972" t="s">
        <v>6281</v>
      </c>
      <c r="D2972" t="s">
        <v>324</v>
      </c>
      <c r="P2972">
        <v>126</v>
      </c>
      <c r="Q2972" t="s">
        <v>6282</v>
      </c>
    </row>
    <row r="2973" spans="1:17" x14ac:dyDescent="0.3">
      <c r="A2973" t="s">
        <v>4708</v>
      </c>
      <c r="B2973" t="str">
        <f>"002264"</f>
        <v>002264</v>
      </c>
      <c r="C2973" t="s">
        <v>6283</v>
      </c>
      <c r="D2973" t="s">
        <v>798</v>
      </c>
      <c r="P2973">
        <v>96</v>
      </c>
      <c r="Q2973" t="s">
        <v>6284</v>
      </c>
    </row>
    <row r="2974" spans="1:17" x14ac:dyDescent="0.3">
      <c r="A2974" t="s">
        <v>4708</v>
      </c>
      <c r="B2974" t="str">
        <f>"002265"</f>
        <v>002265</v>
      </c>
      <c r="C2974" t="s">
        <v>6285</v>
      </c>
      <c r="D2974" t="s">
        <v>348</v>
      </c>
      <c r="P2974">
        <v>86</v>
      </c>
      <c r="Q2974" t="s">
        <v>6286</v>
      </c>
    </row>
    <row r="2975" spans="1:17" x14ac:dyDescent="0.3">
      <c r="A2975" t="s">
        <v>4708</v>
      </c>
      <c r="B2975" t="str">
        <f>"002266"</f>
        <v>002266</v>
      </c>
      <c r="C2975" t="s">
        <v>6287</v>
      </c>
      <c r="D2975" t="s">
        <v>499</v>
      </c>
      <c r="P2975">
        <v>297</v>
      </c>
      <c r="Q2975" t="s">
        <v>6288</v>
      </c>
    </row>
    <row r="2976" spans="1:17" x14ac:dyDescent="0.3">
      <c r="A2976" t="s">
        <v>4708</v>
      </c>
      <c r="B2976" t="str">
        <f>"002267"</f>
        <v>002267</v>
      </c>
      <c r="C2976" t="s">
        <v>6289</v>
      </c>
      <c r="D2976" t="s">
        <v>749</v>
      </c>
      <c r="P2976">
        <v>202</v>
      </c>
      <c r="Q2976" t="s">
        <v>6290</v>
      </c>
    </row>
    <row r="2977" spans="1:17" x14ac:dyDescent="0.3">
      <c r="A2977" t="s">
        <v>4708</v>
      </c>
      <c r="B2977" t="str">
        <f>"002268"</f>
        <v>002268</v>
      </c>
      <c r="C2977" t="s">
        <v>6291</v>
      </c>
      <c r="D2977" t="s">
        <v>236</v>
      </c>
      <c r="P2977">
        <v>525</v>
      </c>
      <c r="Q2977" t="s">
        <v>6292</v>
      </c>
    </row>
    <row r="2978" spans="1:17" x14ac:dyDescent="0.3">
      <c r="A2978" t="s">
        <v>4708</v>
      </c>
      <c r="B2978" t="str">
        <f>"002269"</f>
        <v>002269</v>
      </c>
      <c r="C2978" t="s">
        <v>6293</v>
      </c>
      <c r="D2978" t="s">
        <v>255</v>
      </c>
      <c r="P2978">
        <v>143</v>
      </c>
      <c r="Q2978" t="s">
        <v>6294</v>
      </c>
    </row>
    <row r="2979" spans="1:17" x14ac:dyDescent="0.3">
      <c r="A2979" t="s">
        <v>4708</v>
      </c>
      <c r="B2979" t="str">
        <f>"002270"</f>
        <v>002270</v>
      </c>
      <c r="C2979" t="s">
        <v>6295</v>
      </c>
      <c r="D2979" t="s">
        <v>210</v>
      </c>
      <c r="P2979">
        <v>160</v>
      </c>
      <c r="Q2979" t="s">
        <v>6296</v>
      </c>
    </row>
    <row r="2980" spans="1:17" x14ac:dyDescent="0.3">
      <c r="A2980" t="s">
        <v>4708</v>
      </c>
      <c r="B2980" t="str">
        <f>"002271"</f>
        <v>002271</v>
      </c>
      <c r="C2980" t="s">
        <v>6297</v>
      </c>
      <c r="D2980" t="s">
        <v>6298</v>
      </c>
      <c r="P2980">
        <v>22866</v>
      </c>
      <c r="Q2980" t="s">
        <v>6299</v>
      </c>
    </row>
    <row r="2981" spans="1:17" x14ac:dyDescent="0.3">
      <c r="A2981" t="s">
        <v>4708</v>
      </c>
      <c r="B2981" t="str">
        <f>"002272"</f>
        <v>002272</v>
      </c>
      <c r="C2981" t="s">
        <v>6300</v>
      </c>
      <c r="D2981" t="s">
        <v>2003</v>
      </c>
      <c r="P2981">
        <v>107</v>
      </c>
      <c r="Q2981" t="s">
        <v>6301</v>
      </c>
    </row>
    <row r="2982" spans="1:17" x14ac:dyDescent="0.3">
      <c r="A2982" t="s">
        <v>4708</v>
      </c>
      <c r="B2982" t="str">
        <f>"002273"</f>
        <v>002273</v>
      </c>
      <c r="C2982" t="s">
        <v>6302</v>
      </c>
      <c r="D2982" t="s">
        <v>164</v>
      </c>
      <c r="P2982">
        <v>949</v>
      </c>
      <c r="Q2982" t="s">
        <v>6303</v>
      </c>
    </row>
    <row r="2983" spans="1:17" x14ac:dyDescent="0.3">
      <c r="A2983" t="s">
        <v>4708</v>
      </c>
      <c r="B2983" t="str">
        <f>"002274"</f>
        <v>002274</v>
      </c>
      <c r="C2983" t="s">
        <v>6304</v>
      </c>
      <c r="D2983" t="s">
        <v>5533</v>
      </c>
      <c r="P2983">
        <v>217</v>
      </c>
      <c r="Q2983" t="s">
        <v>6305</v>
      </c>
    </row>
    <row r="2984" spans="1:17" x14ac:dyDescent="0.3">
      <c r="A2984" t="s">
        <v>4708</v>
      </c>
      <c r="B2984" t="str">
        <f>"002275"</f>
        <v>002275</v>
      </c>
      <c r="C2984" t="s">
        <v>6306</v>
      </c>
      <c r="D2984" t="s">
        <v>188</v>
      </c>
      <c r="P2984">
        <v>11978</v>
      </c>
      <c r="Q2984" t="s">
        <v>6307</v>
      </c>
    </row>
    <row r="2985" spans="1:17" x14ac:dyDescent="0.3">
      <c r="A2985" t="s">
        <v>4708</v>
      </c>
      <c r="B2985" t="str">
        <f>"002276"</f>
        <v>002276</v>
      </c>
      <c r="C2985" t="s">
        <v>6308</v>
      </c>
      <c r="D2985" t="s">
        <v>1164</v>
      </c>
      <c r="P2985">
        <v>255</v>
      </c>
      <c r="Q2985" t="s">
        <v>6309</v>
      </c>
    </row>
    <row r="2986" spans="1:17" x14ac:dyDescent="0.3">
      <c r="A2986" t="s">
        <v>4708</v>
      </c>
      <c r="B2986" t="str">
        <f>"002277"</f>
        <v>002277</v>
      </c>
      <c r="C2986" t="s">
        <v>6310</v>
      </c>
      <c r="D2986" t="s">
        <v>633</v>
      </c>
      <c r="P2986">
        <v>145</v>
      </c>
      <c r="Q2986" t="s">
        <v>6311</v>
      </c>
    </row>
    <row r="2987" spans="1:17" x14ac:dyDescent="0.3">
      <c r="A2987" t="s">
        <v>4708</v>
      </c>
      <c r="B2987" t="str">
        <f>"002278"</f>
        <v>002278</v>
      </c>
      <c r="C2987" t="s">
        <v>6312</v>
      </c>
      <c r="D2987" t="s">
        <v>395</v>
      </c>
      <c r="P2987">
        <v>57</v>
      </c>
      <c r="Q2987" t="s">
        <v>6313</v>
      </c>
    </row>
    <row r="2988" spans="1:17" x14ac:dyDescent="0.3">
      <c r="A2988" t="s">
        <v>4708</v>
      </c>
      <c r="B2988" t="str">
        <f>"002279"</f>
        <v>002279</v>
      </c>
      <c r="C2988" t="s">
        <v>6314</v>
      </c>
      <c r="D2988" t="s">
        <v>1189</v>
      </c>
      <c r="P2988">
        <v>323</v>
      </c>
      <c r="Q2988" t="s">
        <v>6315</v>
      </c>
    </row>
    <row r="2989" spans="1:17" x14ac:dyDescent="0.3">
      <c r="A2989" t="s">
        <v>4708</v>
      </c>
      <c r="B2989" t="str">
        <f>"002280"</f>
        <v>002280</v>
      </c>
      <c r="C2989" t="s">
        <v>6316</v>
      </c>
      <c r="D2989" t="s">
        <v>2016</v>
      </c>
      <c r="P2989">
        <v>179</v>
      </c>
      <c r="Q2989" t="s">
        <v>6317</v>
      </c>
    </row>
    <row r="2990" spans="1:17" x14ac:dyDescent="0.3">
      <c r="A2990" t="s">
        <v>4708</v>
      </c>
      <c r="B2990" t="str">
        <f>"002281"</f>
        <v>002281</v>
      </c>
      <c r="C2990" t="s">
        <v>6318</v>
      </c>
      <c r="D2990" t="s">
        <v>1019</v>
      </c>
      <c r="P2990">
        <v>894</v>
      </c>
      <c r="Q2990" t="s">
        <v>6319</v>
      </c>
    </row>
    <row r="2991" spans="1:17" x14ac:dyDescent="0.3">
      <c r="A2991" t="s">
        <v>4708</v>
      </c>
      <c r="B2991" t="str">
        <f>"002282"</f>
        <v>002282</v>
      </c>
      <c r="C2991" t="s">
        <v>6320</v>
      </c>
      <c r="D2991" t="s">
        <v>404</v>
      </c>
      <c r="P2991">
        <v>97</v>
      </c>
      <c r="Q2991" t="s">
        <v>6321</v>
      </c>
    </row>
    <row r="2992" spans="1:17" x14ac:dyDescent="0.3">
      <c r="A2992" t="s">
        <v>4708</v>
      </c>
      <c r="B2992" t="str">
        <f>"002283"</f>
        <v>002283</v>
      </c>
      <c r="C2992" t="s">
        <v>6322</v>
      </c>
      <c r="D2992" t="s">
        <v>348</v>
      </c>
      <c r="P2992">
        <v>202</v>
      </c>
      <c r="Q2992" t="s">
        <v>6323</v>
      </c>
    </row>
    <row r="2993" spans="1:17" x14ac:dyDescent="0.3">
      <c r="A2993" t="s">
        <v>4708</v>
      </c>
      <c r="B2993" t="str">
        <f>"002284"</f>
        <v>002284</v>
      </c>
      <c r="C2993" t="s">
        <v>6324</v>
      </c>
      <c r="D2993" t="s">
        <v>348</v>
      </c>
      <c r="P2993">
        <v>197</v>
      </c>
      <c r="Q2993" t="s">
        <v>6325</v>
      </c>
    </row>
    <row r="2994" spans="1:17" x14ac:dyDescent="0.3">
      <c r="A2994" t="s">
        <v>4708</v>
      </c>
      <c r="B2994" t="str">
        <f>"002285"</f>
        <v>002285</v>
      </c>
      <c r="C2994" t="s">
        <v>6326</v>
      </c>
      <c r="D2994" t="s">
        <v>5026</v>
      </c>
      <c r="P2994">
        <v>477</v>
      </c>
      <c r="Q2994" t="s">
        <v>6327</v>
      </c>
    </row>
    <row r="2995" spans="1:17" x14ac:dyDescent="0.3">
      <c r="A2995" t="s">
        <v>4708</v>
      </c>
      <c r="B2995" t="str">
        <f>"002286"</f>
        <v>002286</v>
      </c>
      <c r="C2995" t="s">
        <v>6328</v>
      </c>
      <c r="D2995" t="s">
        <v>445</v>
      </c>
      <c r="P2995">
        <v>179</v>
      </c>
      <c r="Q2995" t="s">
        <v>6329</v>
      </c>
    </row>
    <row r="2996" spans="1:17" x14ac:dyDescent="0.3">
      <c r="A2996" t="s">
        <v>4708</v>
      </c>
      <c r="B2996" t="str">
        <f>"002287"</f>
        <v>002287</v>
      </c>
      <c r="C2996" t="s">
        <v>6330</v>
      </c>
      <c r="D2996" t="s">
        <v>188</v>
      </c>
      <c r="P2996">
        <v>13304</v>
      </c>
      <c r="Q2996" t="s">
        <v>6331</v>
      </c>
    </row>
    <row r="2997" spans="1:17" x14ac:dyDescent="0.3">
      <c r="A2997" t="s">
        <v>4708</v>
      </c>
      <c r="B2997" t="str">
        <f>"002288"</f>
        <v>002288</v>
      </c>
      <c r="C2997" t="s">
        <v>6332</v>
      </c>
      <c r="D2997" t="s">
        <v>425</v>
      </c>
      <c r="P2997">
        <v>176</v>
      </c>
      <c r="Q2997" t="s">
        <v>6333</v>
      </c>
    </row>
    <row r="2998" spans="1:17" x14ac:dyDescent="0.3">
      <c r="A2998" t="s">
        <v>4708</v>
      </c>
      <c r="B2998" t="str">
        <f>"002289"</f>
        <v>002289</v>
      </c>
      <c r="C2998" t="s">
        <v>6334</v>
      </c>
      <c r="D2998" t="s">
        <v>1117</v>
      </c>
      <c r="P2998">
        <v>70</v>
      </c>
      <c r="Q2998" t="s">
        <v>6335</v>
      </c>
    </row>
    <row r="2999" spans="1:17" x14ac:dyDescent="0.3">
      <c r="A2999" t="s">
        <v>4708</v>
      </c>
      <c r="B2999" t="str">
        <f>"002290"</f>
        <v>002290</v>
      </c>
      <c r="C2999" t="s">
        <v>6336</v>
      </c>
      <c r="D2999" t="s">
        <v>1253</v>
      </c>
      <c r="P2999">
        <v>80</v>
      </c>
      <c r="Q2999" t="s">
        <v>6337</v>
      </c>
    </row>
    <row r="3000" spans="1:17" x14ac:dyDescent="0.3">
      <c r="A3000" t="s">
        <v>4708</v>
      </c>
      <c r="B3000" t="str">
        <f>"002291"</f>
        <v>002291</v>
      </c>
      <c r="C3000" t="s">
        <v>6338</v>
      </c>
      <c r="D3000" t="s">
        <v>207</v>
      </c>
      <c r="P3000">
        <v>172</v>
      </c>
      <c r="Q3000" t="s">
        <v>6339</v>
      </c>
    </row>
    <row r="3001" spans="1:17" x14ac:dyDescent="0.3">
      <c r="A3001" t="s">
        <v>4708</v>
      </c>
      <c r="B3001" t="str">
        <f>"002292"</f>
        <v>002292</v>
      </c>
      <c r="C3001" t="s">
        <v>6340</v>
      </c>
      <c r="D3001" t="s">
        <v>113</v>
      </c>
      <c r="P3001">
        <v>291</v>
      </c>
      <c r="Q3001" t="s">
        <v>6341</v>
      </c>
    </row>
    <row r="3002" spans="1:17" x14ac:dyDescent="0.3">
      <c r="A3002" t="s">
        <v>4708</v>
      </c>
      <c r="B3002" t="str">
        <f>"002293"</f>
        <v>002293</v>
      </c>
      <c r="C3002" t="s">
        <v>6342</v>
      </c>
      <c r="D3002" t="s">
        <v>2874</v>
      </c>
      <c r="P3002">
        <v>4959</v>
      </c>
      <c r="Q3002" t="s">
        <v>6343</v>
      </c>
    </row>
    <row r="3003" spans="1:17" x14ac:dyDescent="0.3">
      <c r="A3003" t="s">
        <v>4708</v>
      </c>
      <c r="B3003" t="str">
        <f>"002294"</f>
        <v>002294</v>
      </c>
      <c r="C3003" t="s">
        <v>6344</v>
      </c>
      <c r="D3003" t="s">
        <v>143</v>
      </c>
      <c r="P3003">
        <v>25590</v>
      </c>
      <c r="Q3003" t="s">
        <v>6345</v>
      </c>
    </row>
    <row r="3004" spans="1:17" x14ac:dyDescent="0.3">
      <c r="A3004" t="s">
        <v>4708</v>
      </c>
      <c r="B3004" t="str">
        <f>"002295"</f>
        <v>002295</v>
      </c>
      <c r="C3004" t="s">
        <v>6346</v>
      </c>
      <c r="D3004" t="s">
        <v>263</v>
      </c>
      <c r="P3004">
        <v>56</v>
      </c>
      <c r="Q3004" t="s">
        <v>6347</v>
      </c>
    </row>
    <row r="3005" spans="1:17" x14ac:dyDescent="0.3">
      <c r="A3005" t="s">
        <v>4708</v>
      </c>
      <c r="B3005" t="str">
        <f>"002296"</f>
        <v>002296</v>
      </c>
      <c r="C3005" t="s">
        <v>6348</v>
      </c>
      <c r="D3005" t="s">
        <v>1019</v>
      </c>
      <c r="P3005">
        <v>160</v>
      </c>
      <c r="Q3005" t="s">
        <v>6349</v>
      </c>
    </row>
    <row r="3006" spans="1:17" x14ac:dyDescent="0.3">
      <c r="A3006" t="s">
        <v>4708</v>
      </c>
      <c r="B3006" t="str">
        <f>"002297"</f>
        <v>002297</v>
      </c>
      <c r="C3006" t="s">
        <v>6350</v>
      </c>
      <c r="D3006" t="s">
        <v>98</v>
      </c>
      <c r="P3006">
        <v>100</v>
      </c>
      <c r="Q3006" t="s">
        <v>6351</v>
      </c>
    </row>
    <row r="3007" spans="1:17" x14ac:dyDescent="0.3">
      <c r="A3007" t="s">
        <v>4708</v>
      </c>
      <c r="B3007" t="str">
        <f>"002298"</f>
        <v>002298</v>
      </c>
      <c r="C3007" t="s">
        <v>6352</v>
      </c>
      <c r="D3007" t="s">
        <v>945</v>
      </c>
      <c r="P3007">
        <v>182</v>
      </c>
      <c r="Q3007" t="s">
        <v>6353</v>
      </c>
    </row>
    <row r="3008" spans="1:17" x14ac:dyDescent="0.3">
      <c r="A3008" t="s">
        <v>4708</v>
      </c>
      <c r="B3008" t="str">
        <f>"002299"</f>
        <v>002299</v>
      </c>
      <c r="C3008" t="s">
        <v>6354</v>
      </c>
      <c r="D3008" t="s">
        <v>6225</v>
      </c>
      <c r="P3008">
        <v>1371</v>
      </c>
      <c r="Q3008" t="s">
        <v>6355</v>
      </c>
    </row>
    <row r="3009" spans="1:17" x14ac:dyDescent="0.3">
      <c r="A3009" t="s">
        <v>4708</v>
      </c>
      <c r="B3009" t="str">
        <f>"002300"</f>
        <v>002300</v>
      </c>
      <c r="C3009" t="s">
        <v>6356</v>
      </c>
      <c r="D3009" t="s">
        <v>1164</v>
      </c>
      <c r="P3009">
        <v>125</v>
      </c>
      <c r="Q3009" t="s">
        <v>6357</v>
      </c>
    </row>
    <row r="3010" spans="1:17" x14ac:dyDescent="0.3">
      <c r="A3010" t="s">
        <v>4708</v>
      </c>
      <c r="B3010" t="str">
        <f>"002301"</f>
        <v>002301</v>
      </c>
      <c r="C3010" t="s">
        <v>6358</v>
      </c>
      <c r="D3010" t="s">
        <v>3395</v>
      </c>
      <c r="P3010">
        <v>202</v>
      </c>
      <c r="Q3010" t="s">
        <v>6359</v>
      </c>
    </row>
    <row r="3011" spans="1:17" x14ac:dyDescent="0.3">
      <c r="A3011" t="s">
        <v>4708</v>
      </c>
      <c r="B3011" t="str">
        <f>"002302"</f>
        <v>002302</v>
      </c>
      <c r="C3011" t="s">
        <v>6360</v>
      </c>
      <c r="D3011" t="s">
        <v>3083</v>
      </c>
      <c r="P3011">
        <v>201</v>
      </c>
      <c r="Q3011" t="s">
        <v>6361</v>
      </c>
    </row>
    <row r="3012" spans="1:17" x14ac:dyDescent="0.3">
      <c r="A3012" t="s">
        <v>4708</v>
      </c>
      <c r="B3012" t="str">
        <f>"002303"</f>
        <v>002303</v>
      </c>
      <c r="C3012" t="s">
        <v>6362</v>
      </c>
      <c r="D3012" t="s">
        <v>2158</v>
      </c>
      <c r="P3012">
        <v>224</v>
      </c>
      <c r="Q3012" t="s">
        <v>6363</v>
      </c>
    </row>
    <row r="3013" spans="1:17" x14ac:dyDescent="0.3">
      <c r="A3013" t="s">
        <v>4708</v>
      </c>
      <c r="B3013" t="str">
        <f>"002304"</f>
        <v>002304</v>
      </c>
      <c r="C3013" t="s">
        <v>6364</v>
      </c>
      <c r="D3013" t="s">
        <v>458</v>
      </c>
      <c r="P3013">
        <v>52722</v>
      </c>
      <c r="Q3013" t="s">
        <v>6365</v>
      </c>
    </row>
    <row r="3014" spans="1:17" x14ac:dyDescent="0.3">
      <c r="A3014" t="s">
        <v>4708</v>
      </c>
      <c r="B3014" t="str">
        <f>"002305"</f>
        <v>002305</v>
      </c>
      <c r="C3014" t="s">
        <v>6366</v>
      </c>
      <c r="D3014" t="s">
        <v>30</v>
      </c>
      <c r="P3014">
        <v>107</v>
      </c>
      <c r="Q3014" t="s">
        <v>6367</v>
      </c>
    </row>
    <row r="3015" spans="1:17" x14ac:dyDescent="0.3">
      <c r="A3015" t="s">
        <v>4708</v>
      </c>
      <c r="B3015" t="str">
        <f>"002306"</f>
        <v>002306</v>
      </c>
      <c r="C3015" t="s">
        <v>6368</v>
      </c>
      <c r="D3015" t="s">
        <v>3583</v>
      </c>
      <c r="P3015">
        <v>68</v>
      </c>
      <c r="Q3015" t="s">
        <v>6369</v>
      </c>
    </row>
    <row r="3016" spans="1:17" x14ac:dyDescent="0.3">
      <c r="A3016" t="s">
        <v>4708</v>
      </c>
      <c r="B3016" t="str">
        <f>"002307"</f>
        <v>002307</v>
      </c>
      <c r="C3016" t="s">
        <v>6370</v>
      </c>
      <c r="D3016" t="s">
        <v>101</v>
      </c>
      <c r="P3016">
        <v>90</v>
      </c>
      <c r="Q3016" t="s">
        <v>6371</v>
      </c>
    </row>
    <row r="3017" spans="1:17" x14ac:dyDescent="0.3">
      <c r="A3017" t="s">
        <v>4708</v>
      </c>
      <c r="B3017" t="str">
        <f>"002308"</f>
        <v>002308</v>
      </c>
      <c r="C3017" t="s">
        <v>6372</v>
      </c>
      <c r="D3017" t="s">
        <v>236</v>
      </c>
      <c r="P3017">
        <v>218</v>
      </c>
      <c r="Q3017" t="s">
        <v>6373</v>
      </c>
    </row>
    <row r="3018" spans="1:17" x14ac:dyDescent="0.3">
      <c r="A3018" t="s">
        <v>4708</v>
      </c>
      <c r="B3018" t="str">
        <f>"002309"</f>
        <v>002309</v>
      </c>
      <c r="C3018" t="s">
        <v>6374</v>
      </c>
      <c r="D3018" t="s">
        <v>356</v>
      </c>
      <c r="P3018">
        <v>284</v>
      </c>
      <c r="Q3018" t="s">
        <v>6375</v>
      </c>
    </row>
    <row r="3019" spans="1:17" x14ac:dyDescent="0.3">
      <c r="A3019" t="s">
        <v>4708</v>
      </c>
      <c r="B3019" t="str">
        <f>"002310"</f>
        <v>002310</v>
      </c>
      <c r="C3019" t="s">
        <v>6376</v>
      </c>
      <c r="D3019" t="s">
        <v>2410</v>
      </c>
      <c r="P3019">
        <v>1194</v>
      </c>
      <c r="Q3019" t="s">
        <v>6377</v>
      </c>
    </row>
    <row r="3020" spans="1:17" x14ac:dyDescent="0.3">
      <c r="A3020" t="s">
        <v>4708</v>
      </c>
      <c r="B3020" t="str">
        <f>"002311"</f>
        <v>002311</v>
      </c>
      <c r="C3020" t="s">
        <v>6378</v>
      </c>
      <c r="D3020" t="s">
        <v>3140</v>
      </c>
      <c r="P3020">
        <v>1933</v>
      </c>
      <c r="Q3020" t="s">
        <v>6379</v>
      </c>
    </row>
    <row r="3021" spans="1:17" x14ac:dyDescent="0.3">
      <c r="A3021" t="s">
        <v>4708</v>
      </c>
      <c r="B3021" t="str">
        <f>"002312"</f>
        <v>002312</v>
      </c>
      <c r="C3021" t="s">
        <v>6380</v>
      </c>
      <c r="D3021" t="s">
        <v>183</v>
      </c>
      <c r="P3021">
        <v>249</v>
      </c>
      <c r="Q3021" t="s">
        <v>6381</v>
      </c>
    </row>
    <row r="3022" spans="1:17" x14ac:dyDescent="0.3">
      <c r="A3022" t="s">
        <v>4708</v>
      </c>
      <c r="B3022" t="str">
        <f>"002313"</f>
        <v>002313</v>
      </c>
      <c r="C3022" t="s">
        <v>6382</v>
      </c>
      <c r="D3022" t="s">
        <v>786</v>
      </c>
      <c r="P3022">
        <v>243</v>
      </c>
      <c r="Q3022" t="s">
        <v>6383</v>
      </c>
    </row>
    <row r="3023" spans="1:17" x14ac:dyDescent="0.3">
      <c r="A3023" t="s">
        <v>4708</v>
      </c>
      <c r="B3023" t="str">
        <f>"002314"</f>
        <v>002314</v>
      </c>
      <c r="C3023" t="s">
        <v>6384</v>
      </c>
      <c r="D3023" t="s">
        <v>104</v>
      </c>
      <c r="P3023">
        <v>206</v>
      </c>
      <c r="Q3023" t="s">
        <v>6385</v>
      </c>
    </row>
    <row r="3024" spans="1:17" x14ac:dyDescent="0.3">
      <c r="A3024" t="s">
        <v>4708</v>
      </c>
      <c r="B3024" t="str">
        <f>"002315"</f>
        <v>002315</v>
      </c>
      <c r="C3024" t="s">
        <v>6386</v>
      </c>
      <c r="D3024" t="s">
        <v>2016</v>
      </c>
      <c r="P3024">
        <v>221</v>
      </c>
      <c r="Q3024" t="s">
        <v>6387</v>
      </c>
    </row>
    <row r="3025" spans="1:17" x14ac:dyDescent="0.3">
      <c r="A3025" t="s">
        <v>4708</v>
      </c>
      <c r="B3025" t="str">
        <f>"002316"</f>
        <v>002316</v>
      </c>
      <c r="C3025" t="s">
        <v>6388</v>
      </c>
      <c r="D3025" t="s">
        <v>6389</v>
      </c>
      <c r="P3025">
        <v>229</v>
      </c>
      <c r="Q3025" t="s">
        <v>6390</v>
      </c>
    </row>
    <row r="3026" spans="1:17" x14ac:dyDescent="0.3">
      <c r="A3026" t="s">
        <v>4708</v>
      </c>
      <c r="B3026" t="str">
        <f>"002317"</f>
        <v>002317</v>
      </c>
      <c r="C3026" t="s">
        <v>6391</v>
      </c>
      <c r="D3026" t="s">
        <v>188</v>
      </c>
      <c r="P3026">
        <v>344</v>
      </c>
      <c r="Q3026" t="s">
        <v>6392</v>
      </c>
    </row>
    <row r="3027" spans="1:17" x14ac:dyDescent="0.3">
      <c r="A3027" t="s">
        <v>4708</v>
      </c>
      <c r="B3027" t="str">
        <f>"002318"</f>
        <v>002318</v>
      </c>
      <c r="C3027" t="s">
        <v>6393</v>
      </c>
      <c r="D3027" t="s">
        <v>281</v>
      </c>
      <c r="P3027">
        <v>451</v>
      </c>
      <c r="Q3027" t="s">
        <v>6394</v>
      </c>
    </row>
    <row r="3028" spans="1:17" x14ac:dyDescent="0.3">
      <c r="A3028" t="s">
        <v>4708</v>
      </c>
      <c r="B3028" t="str">
        <f>"002319"</f>
        <v>002319</v>
      </c>
      <c r="C3028" t="s">
        <v>6395</v>
      </c>
      <c r="D3028" t="s">
        <v>2576</v>
      </c>
      <c r="P3028">
        <v>55</v>
      </c>
      <c r="Q3028" t="s">
        <v>6396</v>
      </c>
    </row>
    <row r="3029" spans="1:17" x14ac:dyDescent="0.3">
      <c r="A3029" t="s">
        <v>4708</v>
      </c>
      <c r="B3029" t="str">
        <f>"002320"</f>
        <v>002320</v>
      </c>
      <c r="C3029" t="s">
        <v>6397</v>
      </c>
      <c r="D3029" t="s">
        <v>69</v>
      </c>
      <c r="P3029">
        <v>174</v>
      </c>
      <c r="Q3029" t="s">
        <v>6398</v>
      </c>
    </row>
    <row r="3030" spans="1:17" x14ac:dyDescent="0.3">
      <c r="A3030" t="s">
        <v>4708</v>
      </c>
      <c r="B3030" t="str">
        <f>"002321"</f>
        <v>002321</v>
      </c>
      <c r="C3030" t="s">
        <v>6399</v>
      </c>
      <c r="D3030" t="s">
        <v>1878</v>
      </c>
      <c r="P3030">
        <v>111</v>
      </c>
      <c r="Q3030" t="s">
        <v>6400</v>
      </c>
    </row>
    <row r="3031" spans="1:17" x14ac:dyDescent="0.3">
      <c r="A3031" t="s">
        <v>4708</v>
      </c>
      <c r="B3031" t="str">
        <f>"002322"</f>
        <v>002322</v>
      </c>
      <c r="C3031" t="s">
        <v>6401</v>
      </c>
      <c r="D3031" t="s">
        <v>945</v>
      </c>
      <c r="P3031">
        <v>180</v>
      </c>
      <c r="Q3031" t="s">
        <v>6402</v>
      </c>
    </row>
    <row r="3032" spans="1:17" x14ac:dyDescent="0.3">
      <c r="A3032" t="s">
        <v>4708</v>
      </c>
      <c r="B3032" t="str">
        <f>"002323"</f>
        <v>002323</v>
      </c>
      <c r="C3032" t="s">
        <v>6403</v>
      </c>
      <c r="D3032" t="s">
        <v>722</v>
      </c>
      <c r="P3032">
        <v>78</v>
      </c>
      <c r="Q3032" t="s">
        <v>6404</v>
      </c>
    </row>
    <row r="3033" spans="1:17" x14ac:dyDescent="0.3">
      <c r="A3033" t="s">
        <v>4708</v>
      </c>
      <c r="B3033" t="str">
        <f>"002324"</f>
        <v>002324</v>
      </c>
      <c r="C3033" t="s">
        <v>6405</v>
      </c>
      <c r="D3033" t="s">
        <v>341</v>
      </c>
      <c r="P3033">
        <v>212</v>
      </c>
      <c r="Q3033" t="s">
        <v>6406</v>
      </c>
    </row>
    <row r="3034" spans="1:17" x14ac:dyDescent="0.3">
      <c r="A3034" t="s">
        <v>4708</v>
      </c>
      <c r="B3034" t="str">
        <f>"002325"</f>
        <v>002325</v>
      </c>
      <c r="C3034" t="s">
        <v>6407</v>
      </c>
      <c r="D3034" t="s">
        <v>450</v>
      </c>
      <c r="P3034">
        <v>171</v>
      </c>
      <c r="Q3034" t="s">
        <v>6408</v>
      </c>
    </row>
    <row r="3035" spans="1:17" x14ac:dyDescent="0.3">
      <c r="A3035" t="s">
        <v>4708</v>
      </c>
      <c r="B3035" t="str">
        <f>"002326"</f>
        <v>002326</v>
      </c>
      <c r="C3035" t="s">
        <v>6409</v>
      </c>
      <c r="D3035" t="s">
        <v>375</v>
      </c>
      <c r="P3035">
        <v>298</v>
      </c>
      <c r="Q3035" t="s">
        <v>6410</v>
      </c>
    </row>
    <row r="3036" spans="1:17" x14ac:dyDescent="0.3">
      <c r="A3036" t="s">
        <v>4708</v>
      </c>
      <c r="B3036" t="str">
        <f>"002327"</f>
        <v>002327</v>
      </c>
      <c r="C3036" t="s">
        <v>6411</v>
      </c>
      <c r="D3036" t="s">
        <v>2874</v>
      </c>
      <c r="P3036">
        <v>1306</v>
      </c>
      <c r="Q3036" t="s">
        <v>6412</v>
      </c>
    </row>
    <row r="3037" spans="1:17" x14ac:dyDescent="0.3">
      <c r="A3037" t="s">
        <v>4708</v>
      </c>
      <c r="B3037" t="str">
        <f>"002328"</f>
        <v>002328</v>
      </c>
      <c r="C3037" t="s">
        <v>6413</v>
      </c>
      <c r="D3037" t="s">
        <v>985</v>
      </c>
      <c r="P3037">
        <v>110</v>
      </c>
      <c r="Q3037" t="s">
        <v>6414</v>
      </c>
    </row>
    <row r="3038" spans="1:17" x14ac:dyDescent="0.3">
      <c r="A3038" t="s">
        <v>4708</v>
      </c>
      <c r="B3038" t="str">
        <f>"002329"</f>
        <v>002329</v>
      </c>
      <c r="C3038" t="s">
        <v>6415</v>
      </c>
      <c r="D3038" t="s">
        <v>900</v>
      </c>
      <c r="P3038">
        <v>186</v>
      </c>
      <c r="Q3038" t="s">
        <v>6416</v>
      </c>
    </row>
    <row r="3039" spans="1:17" x14ac:dyDescent="0.3">
      <c r="A3039" t="s">
        <v>4708</v>
      </c>
      <c r="B3039" t="str">
        <f>"002330"</f>
        <v>002330</v>
      </c>
      <c r="C3039" t="s">
        <v>6417</v>
      </c>
      <c r="D3039" t="s">
        <v>170</v>
      </c>
      <c r="P3039">
        <v>540</v>
      </c>
      <c r="Q3039" t="s">
        <v>6418</v>
      </c>
    </row>
    <row r="3040" spans="1:17" x14ac:dyDescent="0.3">
      <c r="A3040" t="s">
        <v>4708</v>
      </c>
      <c r="B3040" t="str">
        <f>"002331"</f>
        <v>002331</v>
      </c>
      <c r="C3040" t="s">
        <v>6419</v>
      </c>
      <c r="D3040" t="s">
        <v>316</v>
      </c>
      <c r="P3040">
        <v>121</v>
      </c>
      <c r="Q3040" t="s">
        <v>6420</v>
      </c>
    </row>
    <row r="3041" spans="1:17" x14ac:dyDescent="0.3">
      <c r="A3041" t="s">
        <v>4708</v>
      </c>
      <c r="B3041" t="str">
        <f>"002332"</f>
        <v>002332</v>
      </c>
      <c r="C3041" t="s">
        <v>6421</v>
      </c>
      <c r="D3041" t="s">
        <v>143</v>
      </c>
      <c r="P3041">
        <v>385</v>
      </c>
      <c r="Q3041" t="s">
        <v>6422</v>
      </c>
    </row>
    <row r="3042" spans="1:17" x14ac:dyDescent="0.3">
      <c r="A3042" t="s">
        <v>4708</v>
      </c>
      <c r="B3042" t="str">
        <f>"002333"</f>
        <v>002333</v>
      </c>
      <c r="C3042" t="s">
        <v>6423</v>
      </c>
      <c r="D3042" t="s">
        <v>722</v>
      </c>
      <c r="P3042">
        <v>59</v>
      </c>
      <c r="Q3042" t="s">
        <v>6424</v>
      </c>
    </row>
    <row r="3043" spans="1:17" x14ac:dyDescent="0.3">
      <c r="A3043" t="s">
        <v>4708</v>
      </c>
      <c r="B3043" t="str">
        <f>"002334"</f>
        <v>002334</v>
      </c>
      <c r="C3043" t="s">
        <v>6425</v>
      </c>
      <c r="D3043" t="s">
        <v>2425</v>
      </c>
      <c r="P3043">
        <v>222</v>
      </c>
      <c r="Q3043" t="s">
        <v>6426</v>
      </c>
    </row>
    <row r="3044" spans="1:17" x14ac:dyDescent="0.3">
      <c r="A3044" t="s">
        <v>4708</v>
      </c>
      <c r="B3044" t="str">
        <f>"002335"</f>
        <v>002335</v>
      </c>
      <c r="C3044" t="s">
        <v>6427</v>
      </c>
      <c r="D3044" t="s">
        <v>880</v>
      </c>
      <c r="P3044">
        <v>431</v>
      </c>
      <c r="Q3044" t="s">
        <v>6428</v>
      </c>
    </row>
    <row r="3045" spans="1:17" x14ac:dyDescent="0.3">
      <c r="A3045" t="s">
        <v>4708</v>
      </c>
      <c r="B3045" t="str">
        <f>"002336"</f>
        <v>002336</v>
      </c>
      <c r="C3045" t="s">
        <v>6429</v>
      </c>
      <c r="D3045" t="s">
        <v>798</v>
      </c>
      <c r="P3045">
        <v>69</v>
      </c>
      <c r="Q3045" t="s">
        <v>6430</v>
      </c>
    </row>
    <row r="3046" spans="1:17" x14ac:dyDescent="0.3">
      <c r="A3046" t="s">
        <v>4708</v>
      </c>
      <c r="B3046" t="str">
        <f>"002337"</f>
        <v>002337</v>
      </c>
      <c r="C3046" t="s">
        <v>6431</v>
      </c>
      <c r="D3046" t="s">
        <v>741</v>
      </c>
      <c r="P3046">
        <v>92</v>
      </c>
      <c r="Q3046" t="s">
        <v>6432</v>
      </c>
    </row>
    <row r="3047" spans="1:17" x14ac:dyDescent="0.3">
      <c r="A3047" t="s">
        <v>4708</v>
      </c>
      <c r="B3047" t="str">
        <f>"002338"</f>
        <v>002338</v>
      </c>
      <c r="C3047" t="s">
        <v>6433</v>
      </c>
      <c r="D3047" t="s">
        <v>1136</v>
      </c>
      <c r="P3047">
        <v>147</v>
      </c>
      <c r="Q3047" t="s">
        <v>6434</v>
      </c>
    </row>
    <row r="3048" spans="1:17" x14ac:dyDescent="0.3">
      <c r="A3048" t="s">
        <v>4708</v>
      </c>
      <c r="B3048" t="str">
        <f>"002339"</f>
        <v>002339</v>
      </c>
      <c r="C3048" t="s">
        <v>6435</v>
      </c>
      <c r="D3048" t="s">
        <v>610</v>
      </c>
      <c r="P3048">
        <v>120</v>
      </c>
      <c r="Q3048" t="s">
        <v>6436</v>
      </c>
    </row>
    <row r="3049" spans="1:17" x14ac:dyDescent="0.3">
      <c r="A3049" t="s">
        <v>4708</v>
      </c>
      <c r="B3049" t="str">
        <f>"002340"</f>
        <v>002340</v>
      </c>
      <c r="C3049" t="s">
        <v>6437</v>
      </c>
      <c r="D3049" t="s">
        <v>1786</v>
      </c>
      <c r="P3049">
        <v>1302</v>
      </c>
      <c r="Q3049" t="s">
        <v>6438</v>
      </c>
    </row>
    <row r="3050" spans="1:17" x14ac:dyDescent="0.3">
      <c r="A3050" t="s">
        <v>4708</v>
      </c>
      <c r="B3050" t="str">
        <f>"002341"</f>
        <v>002341</v>
      </c>
      <c r="C3050" t="s">
        <v>6439</v>
      </c>
      <c r="D3050" t="s">
        <v>324</v>
      </c>
      <c r="P3050">
        <v>276</v>
      </c>
      <c r="Q3050" t="s">
        <v>6440</v>
      </c>
    </row>
    <row r="3051" spans="1:17" x14ac:dyDescent="0.3">
      <c r="A3051" t="s">
        <v>4708</v>
      </c>
      <c r="B3051" t="str">
        <f>"002342"</f>
        <v>002342</v>
      </c>
      <c r="C3051" t="s">
        <v>6441</v>
      </c>
      <c r="D3051" t="s">
        <v>274</v>
      </c>
      <c r="P3051">
        <v>112</v>
      </c>
      <c r="Q3051" t="s">
        <v>6442</v>
      </c>
    </row>
    <row r="3052" spans="1:17" x14ac:dyDescent="0.3">
      <c r="A3052" t="s">
        <v>4708</v>
      </c>
      <c r="B3052" t="str">
        <f>"002343"</f>
        <v>002343</v>
      </c>
      <c r="C3052" t="s">
        <v>6443</v>
      </c>
      <c r="D3052" t="s">
        <v>113</v>
      </c>
      <c r="P3052">
        <v>183</v>
      </c>
      <c r="Q3052" t="s">
        <v>6444</v>
      </c>
    </row>
    <row r="3053" spans="1:17" x14ac:dyDescent="0.3">
      <c r="A3053" t="s">
        <v>4708</v>
      </c>
      <c r="B3053" t="str">
        <f>"002344"</f>
        <v>002344</v>
      </c>
      <c r="C3053" t="s">
        <v>6445</v>
      </c>
      <c r="D3053" t="s">
        <v>271</v>
      </c>
      <c r="P3053">
        <v>145</v>
      </c>
      <c r="Q3053" t="s">
        <v>6446</v>
      </c>
    </row>
    <row r="3054" spans="1:17" x14ac:dyDescent="0.3">
      <c r="A3054" t="s">
        <v>4708</v>
      </c>
      <c r="B3054" t="str">
        <f>"002345"</f>
        <v>002345</v>
      </c>
      <c r="C3054" t="s">
        <v>6447</v>
      </c>
      <c r="D3054" t="s">
        <v>1238</v>
      </c>
      <c r="P3054">
        <v>137</v>
      </c>
      <c r="Q3054" t="s">
        <v>6448</v>
      </c>
    </row>
    <row r="3055" spans="1:17" x14ac:dyDescent="0.3">
      <c r="A3055" t="s">
        <v>4708</v>
      </c>
      <c r="B3055" t="str">
        <f>"002346"</f>
        <v>002346</v>
      </c>
      <c r="C3055" t="s">
        <v>6449</v>
      </c>
      <c r="D3055" t="s">
        <v>210</v>
      </c>
      <c r="P3055">
        <v>105</v>
      </c>
      <c r="Q3055" t="s">
        <v>6450</v>
      </c>
    </row>
    <row r="3056" spans="1:17" x14ac:dyDescent="0.3">
      <c r="A3056" t="s">
        <v>4708</v>
      </c>
      <c r="B3056" t="str">
        <f>"002347"</f>
        <v>002347</v>
      </c>
      <c r="C3056" t="s">
        <v>6451</v>
      </c>
      <c r="D3056" t="s">
        <v>274</v>
      </c>
      <c r="P3056">
        <v>75</v>
      </c>
      <c r="Q3056" t="s">
        <v>6452</v>
      </c>
    </row>
    <row r="3057" spans="1:17" x14ac:dyDescent="0.3">
      <c r="A3057" t="s">
        <v>4708</v>
      </c>
      <c r="B3057" t="str">
        <f>"002348"</f>
        <v>002348</v>
      </c>
      <c r="C3057" t="s">
        <v>6453</v>
      </c>
      <c r="D3057" t="s">
        <v>2916</v>
      </c>
      <c r="P3057">
        <v>112</v>
      </c>
      <c r="Q3057" t="s">
        <v>6454</v>
      </c>
    </row>
    <row r="3058" spans="1:17" x14ac:dyDescent="0.3">
      <c r="A3058" t="s">
        <v>4708</v>
      </c>
      <c r="B3058" t="str">
        <f>"002349"</f>
        <v>002349</v>
      </c>
      <c r="C3058" t="s">
        <v>6455</v>
      </c>
      <c r="D3058" t="s">
        <v>188</v>
      </c>
      <c r="P3058">
        <v>194</v>
      </c>
      <c r="Q3058" t="s">
        <v>6456</v>
      </c>
    </row>
    <row r="3059" spans="1:17" x14ac:dyDescent="0.3">
      <c r="A3059" t="s">
        <v>4708</v>
      </c>
      <c r="B3059" t="str">
        <f>"002350"</f>
        <v>002350</v>
      </c>
      <c r="C3059" t="s">
        <v>6457</v>
      </c>
      <c r="D3059" t="s">
        <v>657</v>
      </c>
      <c r="P3059">
        <v>104</v>
      </c>
      <c r="Q3059" t="s">
        <v>6458</v>
      </c>
    </row>
    <row r="3060" spans="1:17" x14ac:dyDescent="0.3">
      <c r="A3060" t="s">
        <v>4708</v>
      </c>
      <c r="B3060" t="str">
        <f>"002351"</f>
        <v>002351</v>
      </c>
      <c r="C3060" t="s">
        <v>6459</v>
      </c>
      <c r="D3060" t="s">
        <v>3511</v>
      </c>
      <c r="P3060">
        <v>339</v>
      </c>
      <c r="Q3060" t="s">
        <v>6460</v>
      </c>
    </row>
    <row r="3061" spans="1:17" x14ac:dyDescent="0.3">
      <c r="A3061" t="s">
        <v>4708</v>
      </c>
      <c r="B3061" t="str">
        <f>"002352"</f>
        <v>002352</v>
      </c>
      <c r="C3061" t="s">
        <v>6461</v>
      </c>
      <c r="D3061" t="s">
        <v>537</v>
      </c>
      <c r="P3061">
        <v>3728</v>
      </c>
      <c r="Q3061" t="s">
        <v>6462</v>
      </c>
    </row>
    <row r="3062" spans="1:17" x14ac:dyDescent="0.3">
      <c r="A3062" t="s">
        <v>4708</v>
      </c>
      <c r="B3062" t="str">
        <f>"002353"</f>
        <v>002353</v>
      </c>
      <c r="C3062" t="s">
        <v>6463</v>
      </c>
      <c r="D3062" t="s">
        <v>395</v>
      </c>
      <c r="P3062">
        <v>861</v>
      </c>
      <c r="Q3062" t="s">
        <v>6464</v>
      </c>
    </row>
    <row r="3063" spans="1:17" x14ac:dyDescent="0.3">
      <c r="A3063" t="s">
        <v>4708</v>
      </c>
      <c r="B3063" t="str">
        <f>"002354"</f>
        <v>002354</v>
      </c>
      <c r="C3063" t="s">
        <v>6465</v>
      </c>
      <c r="D3063" t="s">
        <v>517</v>
      </c>
      <c r="P3063">
        <v>265</v>
      </c>
      <c r="Q3063" t="s">
        <v>6466</v>
      </c>
    </row>
    <row r="3064" spans="1:17" x14ac:dyDescent="0.3">
      <c r="A3064" t="s">
        <v>4708</v>
      </c>
      <c r="B3064" t="str">
        <f>"002355"</f>
        <v>002355</v>
      </c>
      <c r="C3064" t="s">
        <v>6467</v>
      </c>
      <c r="D3064" t="s">
        <v>422</v>
      </c>
      <c r="P3064">
        <v>120</v>
      </c>
      <c r="Q3064" t="s">
        <v>6468</v>
      </c>
    </row>
    <row r="3065" spans="1:17" x14ac:dyDescent="0.3">
      <c r="A3065" t="s">
        <v>4708</v>
      </c>
      <c r="B3065" t="str">
        <f>"002356"</f>
        <v>002356</v>
      </c>
      <c r="C3065" t="s">
        <v>6469</v>
      </c>
      <c r="D3065" t="s">
        <v>1404</v>
      </c>
      <c r="P3065">
        <v>75</v>
      </c>
      <c r="Q3065" t="s">
        <v>6470</v>
      </c>
    </row>
    <row r="3066" spans="1:17" x14ac:dyDescent="0.3">
      <c r="A3066" t="s">
        <v>4708</v>
      </c>
      <c r="B3066" t="str">
        <f>"002357"</f>
        <v>002357</v>
      </c>
      <c r="C3066" t="s">
        <v>6471</v>
      </c>
      <c r="D3066" t="s">
        <v>1133</v>
      </c>
      <c r="P3066">
        <v>102</v>
      </c>
      <c r="Q3066" t="s">
        <v>6472</v>
      </c>
    </row>
    <row r="3067" spans="1:17" x14ac:dyDescent="0.3">
      <c r="A3067" t="s">
        <v>4708</v>
      </c>
      <c r="B3067" t="str">
        <f>"002358"</f>
        <v>002358</v>
      </c>
      <c r="C3067" t="s">
        <v>6473</v>
      </c>
      <c r="D3067" t="s">
        <v>210</v>
      </c>
      <c r="P3067">
        <v>142</v>
      </c>
      <c r="Q3067" t="s">
        <v>6474</v>
      </c>
    </row>
    <row r="3068" spans="1:17" x14ac:dyDescent="0.3">
      <c r="A3068" t="s">
        <v>4708</v>
      </c>
      <c r="B3068" t="str">
        <f>"002359"</f>
        <v>002359</v>
      </c>
      <c r="C3068" t="s">
        <v>6475</v>
      </c>
      <c r="P3068">
        <v>68</v>
      </c>
      <c r="Q3068" t="s">
        <v>6476</v>
      </c>
    </row>
    <row r="3069" spans="1:17" x14ac:dyDescent="0.3">
      <c r="A3069" t="s">
        <v>4708</v>
      </c>
      <c r="B3069" t="str">
        <f>"002360"</f>
        <v>002360</v>
      </c>
      <c r="C3069" t="s">
        <v>6477</v>
      </c>
      <c r="D3069" t="s">
        <v>2725</v>
      </c>
      <c r="P3069">
        <v>111</v>
      </c>
      <c r="Q3069" t="s">
        <v>6478</v>
      </c>
    </row>
    <row r="3070" spans="1:17" x14ac:dyDescent="0.3">
      <c r="A3070" t="s">
        <v>4708</v>
      </c>
      <c r="B3070" t="str">
        <f>"002361"</f>
        <v>002361</v>
      </c>
      <c r="C3070" t="s">
        <v>6479</v>
      </c>
      <c r="D3070" t="s">
        <v>3362</v>
      </c>
      <c r="P3070">
        <v>89</v>
      </c>
      <c r="Q3070" t="s">
        <v>6480</v>
      </c>
    </row>
    <row r="3071" spans="1:17" x14ac:dyDescent="0.3">
      <c r="A3071" t="s">
        <v>4708</v>
      </c>
      <c r="B3071" t="str">
        <f>"002362"</f>
        <v>002362</v>
      </c>
      <c r="C3071" t="s">
        <v>6481</v>
      </c>
      <c r="D3071" t="s">
        <v>945</v>
      </c>
      <c r="P3071">
        <v>197</v>
      </c>
      <c r="Q3071" t="s">
        <v>6482</v>
      </c>
    </row>
    <row r="3072" spans="1:17" x14ac:dyDescent="0.3">
      <c r="A3072" t="s">
        <v>4708</v>
      </c>
      <c r="B3072" t="str">
        <f>"002363"</f>
        <v>002363</v>
      </c>
      <c r="C3072" t="s">
        <v>6483</v>
      </c>
      <c r="D3072" t="s">
        <v>348</v>
      </c>
      <c r="P3072">
        <v>126</v>
      </c>
      <c r="Q3072" t="s">
        <v>6484</v>
      </c>
    </row>
    <row r="3073" spans="1:17" x14ac:dyDescent="0.3">
      <c r="A3073" t="s">
        <v>4708</v>
      </c>
      <c r="B3073" t="str">
        <f>"002364"</f>
        <v>002364</v>
      </c>
      <c r="C3073" t="s">
        <v>6485</v>
      </c>
      <c r="D3073" t="s">
        <v>880</v>
      </c>
      <c r="P3073">
        <v>219</v>
      </c>
      <c r="Q3073" t="s">
        <v>6486</v>
      </c>
    </row>
    <row r="3074" spans="1:17" x14ac:dyDescent="0.3">
      <c r="A3074" t="s">
        <v>4708</v>
      </c>
      <c r="B3074" t="str">
        <f>"002365"</f>
        <v>002365</v>
      </c>
      <c r="C3074" t="s">
        <v>6487</v>
      </c>
      <c r="D3074" t="s">
        <v>496</v>
      </c>
      <c r="P3074">
        <v>195</v>
      </c>
      <c r="Q3074" t="s">
        <v>6488</v>
      </c>
    </row>
    <row r="3075" spans="1:17" x14ac:dyDescent="0.3">
      <c r="A3075" t="s">
        <v>4708</v>
      </c>
      <c r="B3075" t="str">
        <f>"002366"</f>
        <v>002366</v>
      </c>
      <c r="C3075" t="s">
        <v>6489</v>
      </c>
      <c r="D3075" t="s">
        <v>880</v>
      </c>
      <c r="P3075">
        <v>175</v>
      </c>
      <c r="Q3075" t="s">
        <v>6490</v>
      </c>
    </row>
    <row r="3076" spans="1:17" x14ac:dyDescent="0.3">
      <c r="A3076" t="s">
        <v>4708</v>
      </c>
      <c r="B3076" t="str">
        <f>"002367"</f>
        <v>002367</v>
      </c>
      <c r="C3076" t="s">
        <v>6491</v>
      </c>
      <c r="D3076" t="s">
        <v>1689</v>
      </c>
      <c r="P3076">
        <v>388</v>
      </c>
      <c r="Q3076" t="s">
        <v>6492</v>
      </c>
    </row>
    <row r="3077" spans="1:17" x14ac:dyDescent="0.3">
      <c r="A3077" t="s">
        <v>4708</v>
      </c>
      <c r="B3077" t="str">
        <f>"002368"</f>
        <v>002368</v>
      </c>
      <c r="C3077" t="s">
        <v>6493</v>
      </c>
      <c r="D3077" t="s">
        <v>316</v>
      </c>
      <c r="P3077">
        <v>373</v>
      </c>
      <c r="Q3077" t="s">
        <v>6494</v>
      </c>
    </row>
    <row r="3078" spans="1:17" x14ac:dyDescent="0.3">
      <c r="A3078" t="s">
        <v>4708</v>
      </c>
      <c r="B3078" t="str">
        <f>"002369"</f>
        <v>002369</v>
      </c>
      <c r="C3078" t="s">
        <v>6495</v>
      </c>
      <c r="D3078" t="s">
        <v>313</v>
      </c>
      <c r="P3078">
        <v>179</v>
      </c>
      <c r="Q3078" t="s">
        <v>6496</v>
      </c>
    </row>
    <row r="3079" spans="1:17" x14ac:dyDescent="0.3">
      <c r="A3079" t="s">
        <v>4708</v>
      </c>
      <c r="B3079" t="str">
        <f>"002370"</f>
        <v>002370</v>
      </c>
      <c r="C3079" t="s">
        <v>6497</v>
      </c>
      <c r="D3079" t="s">
        <v>143</v>
      </c>
      <c r="P3079">
        <v>201</v>
      </c>
      <c r="Q3079" t="s">
        <v>6498</v>
      </c>
    </row>
    <row r="3080" spans="1:17" x14ac:dyDescent="0.3">
      <c r="A3080" t="s">
        <v>4708</v>
      </c>
      <c r="B3080" t="str">
        <f>"002371"</f>
        <v>002371</v>
      </c>
      <c r="C3080" t="s">
        <v>6499</v>
      </c>
      <c r="D3080" t="s">
        <v>3172</v>
      </c>
      <c r="P3080">
        <v>1587</v>
      </c>
      <c r="Q3080" t="s">
        <v>6500</v>
      </c>
    </row>
    <row r="3081" spans="1:17" x14ac:dyDescent="0.3">
      <c r="A3081" t="s">
        <v>4708</v>
      </c>
      <c r="B3081" t="str">
        <f>"002372"</f>
        <v>002372</v>
      </c>
      <c r="C3081" t="s">
        <v>6501</v>
      </c>
      <c r="D3081" t="s">
        <v>3332</v>
      </c>
      <c r="P3081">
        <v>10689</v>
      </c>
      <c r="Q3081" t="s">
        <v>6502</v>
      </c>
    </row>
    <row r="3082" spans="1:17" x14ac:dyDescent="0.3">
      <c r="A3082" t="s">
        <v>4708</v>
      </c>
      <c r="B3082" t="str">
        <f>"002373"</f>
        <v>002373</v>
      </c>
      <c r="C3082" t="s">
        <v>6503</v>
      </c>
      <c r="D3082" t="s">
        <v>316</v>
      </c>
      <c r="P3082">
        <v>713</v>
      </c>
      <c r="Q3082" t="s">
        <v>6504</v>
      </c>
    </row>
    <row r="3083" spans="1:17" x14ac:dyDescent="0.3">
      <c r="A3083" t="s">
        <v>4708</v>
      </c>
      <c r="B3083" t="str">
        <f>"002374"</f>
        <v>002374</v>
      </c>
      <c r="C3083" t="s">
        <v>6505</v>
      </c>
      <c r="D3083" t="s">
        <v>2366</v>
      </c>
      <c r="P3083">
        <v>92</v>
      </c>
      <c r="Q3083" t="s">
        <v>6506</v>
      </c>
    </row>
    <row r="3084" spans="1:17" x14ac:dyDescent="0.3">
      <c r="A3084" t="s">
        <v>4708</v>
      </c>
      <c r="B3084" t="str">
        <f>"002375"</f>
        <v>002375</v>
      </c>
      <c r="C3084" t="s">
        <v>6507</v>
      </c>
      <c r="D3084" t="s">
        <v>450</v>
      </c>
      <c r="P3084">
        <v>176</v>
      </c>
      <c r="Q3084" t="s">
        <v>6508</v>
      </c>
    </row>
    <row r="3085" spans="1:17" x14ac:dyDescent="0.3">
      <c r="A3085" t="s">
        <v>4708</v>
      </c>
      <c r="B3085" t="str">
        <f>"002376"</f>
        <v>002376</v>
      </c>
      <c r="C3085" t="s">
        <v>6509</v>
      </c>
      <c r="D3085" t="s">
        <v>236</v>
      </c>
      <c r="P3085">
        <v>298</v>
      </c>
      <c r="Q3085" t="s">
        <v>6510</v>
      </c>
    </row>
    <row r="3086" spans="1:17" x14ac:dyDescent="0.3">
      <c r="A3086" t="s">
        <v>4708</v>
      </c>
      <c r="B3086" t="str">
        <f>"002377"</f>
        <v>002377</v>
      </c>
      <c r="C3086" t="s">
        <v>6511</v>
      </c>
      <c r="D3086" t="s">
        <v>5026</v>
      </c>
      <c r="P3086">
        <v>95</v>
      </c>
      <c r="Q3086" t="s">
        <v>6512</v>
      </c>
    </row>
    <row r="3087" spans="1:17" x14ac:dyDescent="0.3">
      <c r="A3087" t="s">
        <v>4708</v>
      </c>
      <c r="B3087" t="str">
        <f>"002378"</f>
        <v>002378</v>
      </c>
      <c r="C3087" t="s">
        <v>6513</v>
      </c>
      <c r="D3087" t="s">
        <v>1110</v>
      </c>
      <c r="P3087">
        <v>128</v>
      </c>
      <c r="Q3087" t="s">
        <v>6514</v>
      </c>
    </row>
    <row r="3088" spans="1:17" x14ac:dyDescent="0.3">
      <c r="A3088" t="s">
        <v>4708</v>
      </c>
      <c r="B3088" t="str">
        <f>"002379"</f>
        <v>002379</v>
      </c>
      <c r="C3088" t="s">
        <v>6515</v>
      </c>
      <c r="D3088" t="s">
        <v>504</v>
      </c>
      <c r="P3088">
        <v>88</v>
      </c>
      <c r="Q3088" t="s">
        <v>6516</v>
      </c>
    </row>
    <row r="3089" spans="1:17" x14ac:dyDescent="0.3">
      <c r="A3089" t="s">
        <v>4708</v>
      </c>
      <c r="B3089" t="str">
        <f>"002380"</f>
        <v>002380</v>
      </c>
      <c r="C3089" t="s">
        <v>6517</v>
      </c>
      <c r="D3089" t="s">
        <v>316</v>
      </c>
      <c r="P3089">
        <v>131</v>
      </c>
      <c r="Q3089" t="s">
        <v>6518</v>
      </c>
    </row>
    <row r="3090" spans="1:17" x14ac:dyDescent="0.3">
      <c r="A3090" t="s">
        <v>4708</v>
      </c>
      <c r="B3090" t="str">
        <f>"002381"</f>
        <v>002381</v>
      </c>
      <c r="C3090" t="s">
        <v>6519</v>
      </c>
      <c r="D3090" t="s">
        <v>2462</v>
      </c>
      <c r="P3090">
        <v>276</v>
      </c>
      <c r="Q3090" t="s">
        <v>6520</v>
      </c>
    </row>
    <row r="3091" spans="1:17" x14ac:dyDescent="0.3">
      <c r="A3091" t="s">
        <v>4708</v>
      </c>
      <c r="B3091" t="str">
        <f>"002382"</f>
        <v>002382</v>
      </c>
      <c r="C3091" t="s">
        <v>6521</v>
      </c>
      <c r="D3091" t="s">
        <v>1077</v>
      </c>
      <c r="P3091">
        <v>849</v>
      </c>
      <c r="Q3091" t="s">
        <v>6522</v>
      </c>
    </row>
    <row r="3092" spans="1:17" x14ac:dyDescent="0.3">
      <c r="A3092" t="s">
        <v>4708</v>
      </c>
      <c r="B3092" t="str">
        <f>"002383"</f>
        <v>002383</v>
      </c>
      <c r="C3092" t="s">
        <v>6523</v>
      </c>
      <c r="D3092" t="s">
        <v>1136</v>
      </c>
      <c r="P3092">
        <v>211</v>
      </c>
      <c r="Q3092" t="s">
        <v>6524</v>
      </c>
    </row>
    <row r="3093" spans="1:17" x14ac:dyDescent="0.3">
      <c r="A3093" t="s">
        <v>4708</v>
      </c>
      <c r="B3093" t="str">
        <f>"002384"</f>
        <v>002384</v>
      </c>
      <c r="C3093" t="s">
        <v>6525</v>
      </c>
      <c r="D3093" t="s">
        <v>425</v>
      </c>
      <c r="P3093">
        <v>1070</v>
      </c>
      <c r="Q3093" t="s">
        <v>6526</v>
      </c>
    </row>
    <row r="3094" spans="1:17" x14ac:dyDescent="0.3">
      <c r="A3094" t="s">
        <v>4708</v>
      </c>
      <c r="B3094" t="str">
        <f>"002385"</f>
        <v>002385</v>
      </c>
      <c r="C3094" t="s">
        <v>6527</v>
      </c>
      <c r="D3094" t="s">
        <v>2871</v>
      </c>
      <c r="P3094">
        <v>890</v>
      </c>
      <c r="Q3094" t="s">
        <v>6528</v>
      </c>
    </row>
    <row r="3095" spans="1:17" x14ac:dyDescent="0.3">
      <c r="A3095" t="s">
        <v>4708</v>
      </c>
      <c r="B3095" t="str">
        <f>"002386"</f>
        <v>002386</v>
      </c>
      <c r="C3095" t="s">
        <v>6529</v>
      </c>
      <c r="D3095" t="s">
        <v>175</v>
      </c>
      <c r="P3095">
        <v>143</v>
      </c>
      <c r="Q3095" t="s">
        <v>6530</v>
      </c>
    </row>
    <row r="3096" spans="1:17" x14ac:dyDescent="0.3">
      <c r="A3096" t="s">
        <v>4708</v>
      </c>
      <c r="B3096" t="str">
        <f>"002387"</f>
        <v>002387</v>
      </c>
      <c r="C3096" t="s">
        <v>6531</v>
      </c>
      <c r="D3096" t="s">
        <v>1117</v>
      </c>
      <c r="P3096">
        <v>274</v>
      </c>
      <c r="Q3096" t="s">
        <v>6532</v>
      </c>
    </row>
    <row r="3097" spans="1:17" x14ac:dyDescent="0.3">
      <c r="A3097" t="s">
        <v>4708</v>
      </c>
      <c r="B3097" t="str">
        <f>"002388"</f>
        <v>002388</v>
      </c>
      <c r="C3097" t="s">
        <v>6533</v>
      </c>
      <c r="D3097" t="s">
        <v>651</v>
      </c>
      <c r="P3097">
        <v>148</v>
      </c>
      <c r="Q3097" t="s">
        <v>6534</v>
      </c>
    </row>
    <row r="3098" spans="1:17" x14ac:dyDescent="0.3">
      <c r="A3098" t="s">
        <v>4708</v>
      </c>
      <c r="B3098" t="str">
        <f>"002389"</f>
        <v>002389</v>
      </c>
      <c r="C3098" t="s">
        <v>6535</v>
      </c>
      <c r="D3098" t="s">
        <v>98</v>
      </c>
      <c r="P3098">
        <v>435</v>
      </c>
      <c r="Q3098" t="s">
        <v>6536</v>
      </c>
    </row>
    <row r="3099" spans="1:17" x14ac:dyDescent="0.3">
      <c r="A3099" t="s">
        <v>4708</v>
      </c>
      <c r="B3099" t="str">
        <f>"002390"</f>
        <v>002390</v>
      </c>
      <c r="C3099" t="s">
        <v>6537</v>
      </c>
      <c r="D3099" t="s">
        <v>188</v>
      </c>
      <c r="P3099">
        <v>272</v>
      </c>
      <c r="Q3099" t="s">
        <v>6538</v>
      </c>
    </row>
    <row r="3100" spans="1:17" x14ac:dyDescent="0.3">
      <c r="A3100" t="s">
        <v>4708</v>
      </c>
      <c r="B3100" t="str">
        <f>"002391"</f>
        <v>002391</v>
      </c>
      <c r="C3100" t="s">
        <v>6539</v>
      </c>
      <c r="D3100" t="s">
        <v>853</v>
      </c>
      <c r="P3100">
        <v>192</v>
      </c>
      <c r="Q3100" t="s">
        <v>6540</v>
      </c>
    </row>
    <row r="3101" spans="1:17" x14ac:dyDescent="0.3">
      <c r="A3101" t="s">
        <v>4708</v>
      </c>
      <c r="B3101" t="str">
        <f>"002392"</f>
        <v>002392</v>
      </c>
      <c r="C3101" t="s">
        <v>6541</v>
      </c>
      <c r="D3101" t="s">
        <v>5887</v>
      </c>
      <c r="P3101">
        <v>142</v>
      </c>
      <c r="Q3101" t="s">
        <v>6542</v>
      </c>
    </row>
    <row r="3102" spans="1:17" x14ac:dyDescent="0.3">
      <c r="A3102" t="s">
        <v>4708</v>
      </c>
      <c r="B3102" t="str">
        <f>"002393"</f>
        <v>002393</v>
      </c>
      <c r="C3102" t="s">
        <v>6543</v>
      </c>
      <c r="D3102" t="s">
        <v>143</v>
      </c>
      <c r="P3102">
        <v>153</v>
      </c>
      <c r="Q3102" t="s">
        <v>6544</v>
      </c>
    </row>
    <row r="3103" spans="1:17" x14ac:dyDescent="0.3">
      <c r="A3103" t="s">
        <v>4708</v>
      </c>
      <c r="B3103" t="str">
        <f>"002394"</f>
        <v>002394</v>
      </c>
      <c r="C3103" t="s">
        <v>6545</v>
      </c>
      <c r="D3103" t="s">
        <v>1009</v>
      </c>
      <c r="P3103">
        <v>673</v>
      </c>
      <c r="Q3103" t="s">
        <v>6546</v>
      </c>
    </row>
    <row r="3104" spans="1:17" x14ac:dyDescent="0.3">
      <c r="A3104" t="s">
        <v>4708</v>
      </c>
      <c r="B3104" t="str">
        <f>"002395"</f>
        <v>002395</v>
      </c>
      <c r="C3104" t="s">
        <v>6547</v>
      </c>
      <c r="D3104" t="s">
        <v>3362</v>
      </c>
      <c r="P3104">
        <v>59</v>
      </c>
      <c r="Q3104" t="s">
        <v>6548</v>
      </c>
    </row>
    <row r="3105" spans="1:17" x14ac:dyDescent="0.3">
      <c r="A3105" t="s">
        <v>4708</v>
      </c>
      <c r="B3105" t="str">
        <f>"002396"</f>
        <v>002396</v>
      </c>
      <c r="C3105" t="s">
        <v>6549</v>
      </c>
      <c r="D3105" t="s">
        <v>1019</v>
      </c>
      <c r="P3105">
        <v>3694</v>
      </c>
      <c r="Q3105" t="s">
        <v>6550</v>
      </c>
    </row>
    <row r="3106" spans="1:17" x14ac:dyDescent="0.3">
      <c r="A3106" t="s">
        <v>4708</v>
      </c>
      <c r="B3106" t="str">
        <f>"002397"</f>
        <v>002397</v>
      </c>
      <c r="C3106" t="s">
        <v>6551</v>
      </c>
      <c r="D3106" t="s">
        <v>2874</v>
      </c>
      <c r="P3106">
        <v>109</v>
      </c>
      <c r="Q3106" t="s">
        <v>6552</v>
      </c>
    </row>
    <row r="3107" spans="1:17" x14ac:dyDescent="0.3">
      <c r="A3107" t="s">
        <v>4708</v>
      </c>
      <c r="B3107" t="str">
        <f>"002398"</f>
        <v>002398</v>
      </c>
      <c r="C3107" t="s">
        <v>6553</v>
      </c>
      <c r="D3107" t="s">
        <v>722</v>
      </c>
      <c r="P3107">
        <v>217</v>
      </c>
      <c r="Q3107" t="s">
        <v>6554</v>
      </c>
    </row>
    <row r="3108" spans="1:17" x14ac:dyDescent="0.3">
      <c r="A3108" t="s">
        <v>4708</v>
      </c>
      <c r="B3108" t="str">
        <f>"002399"</f>
        <v>002399</v>
      </c>
      <c r="C3108" t="s">
        <v>6555</v>
      </c>
      <c r="D3108" t="s">
        <v>496</v>
      </c>
      <c r="P3108">
        <v>285</v>
      </c>
      <c r="Q3108" t="s">
        <v>6556</v>
      </c>
    </row>
    <row r="3109" spans="1:17" x14ac:dyDescent="0.3">
      <c r="A3109" t="s">
        <v>4708</v>
      </c>
      <c r="B3109" t="str">
        <f>"002400"</f>
        <v>002400</v>
      </c>
      <c r="C3109" t="s">
        <v>6557</v>
      </c>
      <c r="D3109" t="s">
        <v>207</v>
      </c>
      <c r="P3109">
        <v>328</v>
      </c>
      <c r="Q3109" t="s">
        <v>6558</v>
      </c>
    </row>
    <row r="3110" spans="1:17" x14ac:dyDescent="0.3">
      <c r="A3110" t="s">
        <v>4708</v>
      </c>
      <c r="B3110" t="str">
        <f>"002401"</f>
        <v>002401</v>
      </c>
      <c r="C3110" t="s">
        <v>6559</v>
      </c>
      <c r="D3110" t="s">
        <v>316</v>
      </c>
      <c r="P3110">
        <v>152</v>
      </c>
      <c r="Q3110" t="s">
        <v>6560</v>
      </c>
    </row>
    <row r="3111" spans="1:17" x14ac:dyDescent="0.3">
      <c r="A3111" t="s">
        <v>4708</v>
      </c>
      <c r="B3111" t="str">
        <f>"002402"</f>
        <v>002402</v>
      </c>
      <c r="C3111" t="s">
        <v>6561</v>
      </c>
      <c r="D3111" t="s">
        <v>313</v>
      </c>
      <c r="P3111">
        <v>1281</v>
      </c>
      <c r="Q3111" t="s">
        <v>6562</v>
      </c>
    </row>
    <row r="3112" spans="1:17" x14ac:dyDescent="0.3">
      <c r="A3112" t="s">
        <v>4708</v>
      </c>
      <c r="B3112" t="str">
        <f>"002403"</f>
        <v>002403</v>
      </c>
      <c r="C3112" t="s">
        <v>6563</v>
      </c>
      <c r="D3112" t="s">
        <v>5764</v>
      </c>
      <c r="P3112">
        <v>151</v>
      </c>
      <c r="Q3112" t="s">
        <v>6564</v>
      </c>
    </row>
    <row r="3113" spans="1:17" x14ac:dyDescent="0.3">
      <c r="A3113" t="s">
        <v>4708</v>
      </c>
      <c r="B3113" t="str">
        <f>"002404"</f>
        <v>002404</v>
      </c>
      <c r="C3113" t="s">
        <v>6565</v>
      </c>
      <c r="D3113" t="s">
        <v>366</v>
      </c>
      <c r="P3113">
        <v>108</v>
      </c>
      <c r="Q3113" t="s">
        <v>6566</v>
      </c>
    </row>
    <row r="3114" spans="1:17" x14ac:dyDescent="0.3">
      <c r="A3114" t="s">
        <v>4708</v>
      </c>
      <c r="B3114" t="str">
        <f>"002405"</f>
        <v>002405</v>
      </c>
      <c r="C3114" t="s">
        <v>6567</v>
      </c>
      <c r="D3114" t="s">
        <v>945</v>
      </c>
      <c r="P3114">
        <v>3861</v>
      </c>
      <c r="Q3114" t="s">
        <v>6568</v>
      </c>
    </row>
    <row r="3115" spans="1:17" x14ac:dyDescent="0.3">
      <c r="A3115" t="s">
        <v>4708</v>
      </c>
      <c r="B3115" t="str">
        <f>"002406"</f>
        <v>002406</v>
      </c>
      <c r="C3115" t="s">
        <v>6569</v>
      </c>
      <c r="D3115" t="s">
        <v>348</v>
      </c>
      <c r="P3115">
        <v>272</v>
      </c>
      <c r="Q3115" t="s">
        <v>6570</v>
      </c>
    </row>
    <row r="3116" spans="1:17" x14ac:dyDescent="0.3">
      <c r="A3116" t="s">
        <v>4708</v>
      </c>
      <c r="B3116" t="str">
        <f>"002407"</f>
        <v>002407</v>
      </c>
      <c r="C3116" t="s">
        <v>6571</v>
      </c>
      <c r="D3116" t="s">
        <v>375</v>
      </c>
      <c r="P3116">
        <v>566</v>
      </c>
      <c r="Q3116" t="s">
        <v>6572</v>
      </c>
    </row>
    <row r="3117" spans="1:17" x14ac:dyDescent="0.3">
      <c r="A3117" t="s">
        <v>4708</v>
      </c>
      <c r="B3117" t="str">
        <f>"002408"</f>
        <v>002408</v>
      </c>
      <c r="C3117" t="s">
        <v>6573</v>
      </c>
      <c r="D3117" t="s">
        <v>1615</v>
      </c>
      <c r="P3117">
        <v>317</v>
      </c>
      <c r="Q3117" t="s">
        <v>6574</v>
      </c>
    </row>
    <row r="3118" spans="1:17" x14ac:dyDescent="0.3">
      <c r="A3118" t="s">
        <v>4708</v>
      </c>
      <c r="B3118" t="str">
        <f>"002409"</f>
        <v>002409</v>
      </c>
      <c r="C3118" t="s">
        <v>6575</v>
      </c>
      <c r="D3118" t="s">
        <v>475</v>
      </c>
      <c r="P3118">
        <v>496</v>
      </c>
      <c r="Q3118" t="s">
        <v>6576</v>
      </c>
    </row>
    <row r="3119" spans="1:17" x14ac:dyDescent="0.3">
      <c r="A3119" t="s">
        <v>4708</v>
      </c>
      <c r="B3119" t="str">
        <f>"002410"</f>
        <v>002410</v>
      </c>
      <c r="C3119" t="s">
        <v>6577</v>
      </c>
      <c r="D3119" t="s">
        <v>945</v>
      </c>
      <c r="P3119">
        <v>2190</v>
      </c>
      <c r="Q3119" t="s">
        <v>6578</v>
      </c>
    </row>
    <row r="3120" spans="1:17" x14ac:dyDescent="0.3">
      <c r="A3120" t="s">
        <v>4708</v>
      </c>
      <c r="B3120" t="str">
        <f>"002411"</f>
        <v>002411</v>
      </c>
      <c r="C3120" t="s">
        <v>6579</v>
      </c>
      <c r="D3120" t="s">
        <v>125</v>
      </c>
      <c r="P3120">
        <v>244</v>
      </c>
      <c r="Q3120" t="s">
        <v>6580</v>
      </c>
    </row>
    <row r="3121" spans="1:17" x14ac:dyDescent="0.3">
      <c r="A3121" t="s">
        <v>4708</v>
      </c>
      <c r="B3121" t="str">
        <f>"002412"</f>
        <v>002412</v>
      </c>
      <c r="C3121" t="s">
        <v>6581</v>
      </c>
      <c r="D3121" t="s">
        <v>188</v>
      </c>
      <c r="P3121">
        <v>155</v>
      </c>
      <c r="Q3121" t="s">
        <v>6582</v>
      </c>
    </row>
    <row r="3122" spans="1:17" x14ac:dyDescent="0.3">
      <c r="A3122" t="s">
        <v>4708</v>
      </c>
      <c r="B3122" t="str">
        <f>"002413"</f>
        <v>002413</v>
      </c>
      <c r="C3122" t="s">
        <v>6583</v>
      </c>
      <c r="D3122" t="s">
        <v>1136</v>
      </c>
      <c r="P3122">
        <v>218</v>
      </c>
      <c r="Q3122" t="s">
        <v>6584</v>
      </c>
    </row>
    <row r="3123" spans="1:17" x14ac:dyDescent="0.3">
      <c r="A3123" t="s">
        <v>4708</v>
      </c>
      <c r="B3123" t="str">
        <f>"002414"</f>
        <v>002414</v>
      </c>
      <c r="C3123" t="s">
        <v>6585</v>
      </c>
      <c r="D3123" t="s">
        <v>1136</v>
      </c>
      <c r="P3123">
        <v>789</v>
      </c>
      <c r="Q3123" t="s">
        <v>6586</v>
      </c>
    </row>
    <row r="3124" spans="1:17" x14ac:dyDescent="0.3">
      <c r="A3124" t="s">
        <v>4708</v>
      </c>
      <c r="B3124" t="str">
        <f>"002415"</f>
        <v>002415</v>
      </c>
      <c r="C3124" t="s">
        <v>6587</v>
      </c>
      <c r="D3124" t="s">
        <v>2965</v>
      </c>
      <c r="P3124">
        <v>63223</v>
      </c>
      <c r="Q3124" t="s">
        <v>6588</v>
      </c>
    </row>
    <row r="3125" spans="1:17" x14ac:dyDescent="0.3">
      <c r="A3125" t="s">
        <v>4708</v>
      </c>
      <c r="B3125" t="str">
        <f>"002416"</f>
        <v>002416</v>
      </c>
      <c r="C3125" t="s">
        <v>6589</v>
      </c>
      <c r="D3125" t="s">
        <v>295</v>
      </c>
      <c r="P3125">
        <v>251</v>
      </c>
      <c r="Q3125" t="s">
        <v>6590</v>
      </c>
    </row>
    <row r="3126" spans="1:17" x14ac:dyDescent="0.3">
      <c r="A3126" t="s">
        <v>4708</v>
      </c>
      <c r="B3126" t="str">
        <f>"002417"</f>
        <v>002417</v>
      </c>
      <c r="C3126" t="s">
        <v>6591</v>
      </c>
      <c r="D3126" t="s">
        <v>316</v>
      </c>
      <c r="P3126">
        <v>140</v>
      </c>
      <c r="Q3126" t="s">
        <v>6592</v>
      </c>
    </row>
    <row r="3127" spans="1:17" x14ac:dyDescent="0.3">
      <c r="A3127" t="s">
        <v>4708</v>
      </c>
      <c r="B3127" t="str">
        <f>"002418"</f>
        <v>002418</v>
      </c>
      <c r="C3127" t="s">
        <v>6593</v>
      </c>
      <c r="D3127" t="s">
        <v>1253</v>
      </c>
      <c r="P3127">
        <v>94</v>
      </c>
      <c r="Q3127" t="s">
        <v>6594</v>
      </c>
    </row>
    <row r="3128" spans="1:17" x14ac:dyDescent="0.3">
      <c r="A3128" t="s">
        <v>4708</v>
      </c>
      <c r="B3128" t="str">
        <f>"002419"</f>
        <v>002419</v>
      </c>
      <c r="C3128" t="s">
        <v>6595</v>
      </c>
      <c r="D3128" t="s">
        <v>633</v>
      </c>
      <c r="P3128">
        <v>421</v>
      </c>
      <c r="Q3128" t="s">
        <v>6596</v>
      </c>
    </row>
    <row r="3129" spans="1:17" x14ac:dyDescent="0.3">
      <c r="A3129" t="s">
        <v>4708</v>
      </c>
      <c r="B3129" t="str">
        <f>"002420"</f>
        <v>002420</v>
      </c>
      <c r="C3129" t="s">
        <v>6597</v>
      </c>
      <c r="D3129" t="s">
        <v>1253</v>
      </c>
      <c r="P3129">
        <v>82</v>
      </c>
      <c r="Q3129" t="s">
        <v>6598</v>
      </c>
    </row>
    <row r="3130" spans="1:17" x14ac:dyDescent="0.3">
      <c r="A3130" t="s">
        <v>4708</v>
      </c>
      <c r="B3130" t="str">
        <f>"002421"</f>
        <v>002421</v>
      </c>
      <c r="C3130" t="s">
        <v>6599</v>
      </c>
      <c r="D3130" t="s">
        <v>316</v>
      </c>
      <c r="P3130">
        <v>199</v>
      </c>
      <c r="Q3130" t="s">
        <v>6600</v>
      </c>
    </row>
    <row r="3131" spans="1:17" x14ac:dyDescent="0.3">
      <c r="A3131" t="s">
        <v>4708</v>
      </c>
      <c r="B3131" t="str">
        <f>"002422"</f>
        <v>002422</v>
      </c>
      <c r="C3131" t="s">
        <v>6601</v>
      </c>
      <c r="D3131" t="s">
        <v>143</v>
      </c>
      <c r="P3131">
        <v>927</v>
      </c>
      <c r="Q3131" t="s">
        <v>6602</v>
      </c>
    </row>
    <row r="3132" spans="1:17" x14ac:dyDescent="0.3">
      <c r="A3132" t="s">
        <v>4708</v>
      </c>
      <c r="B3132" t="str">
        <f>"002423"</f>
        <v>002423</v>
      </c>
      <c r="C3132" t="s">
        <v>6603</v>
      </c>
      <c r="D3132" t="s">
        <v>140</v>
      </c>
      <c r="P3132">
        <v>145</v>
      </c>
      <c r="Q3132" t="s">
        <v>6604</v>
      </c>
    </row>
    <row r="3133" spans="1:17" x14ac:dyDescent="0.3">
      <c r="A3133" t="s">
        <v>4708</v>
      </c>
      <c r="B3133" t="str">
        <f>"002424"</f>
        <v>002424</v>
      </c>
      <c r="C3133" t="s">
        <v>6605</v>
      </c>
      <c r="D3133" t="s">
        <v>188</v>
      </c>
      <c r="P3133">
        <v>472</v>
      </c>
      <c r="Q3133" t="s">
        <v>6606</v>
      </c>
    </row>
    <row r="3134" spans="1:17" x14ac:dyDescent="0.3">
      <c r="A3134" t="s">
        <v>4708</v>
      </c>
      <c r="B3134" t="str">
        <f>"002425"</f>
        <v>002425</v>
      </c>
      <c r="C3134" t="s">
        <v>6607</v>
      </c>
      <c r="D3134" t="s">
        <v>517</v>
      </c>
      <c r="P3134">
        <v>257</v>
      </c>
      <c r="Q3134" t="s">
        <v>6608</v>
      </c>
    </row>
    <row r="3135" spans="1:17" x14ac:dyDescent="0.3">
      <c r="A3135" t="s">
        <v>4708</v>
      </c>
      <c r="B3135" t="str">
        <f>"002426"</f>
        <v>002426</v>
      </c>
      <c r="C3135" t="s">
        <v>6609</v>
      </c>
      <c r="D3135" t="s">
        <v>274</v>
      </c>
      <c r="P3135">
        <v>207</v>
      </c>
      <c r="Q3135" t="s">
        <v>6610</v>
      </c>
    </row>
    <row r="3136" spans="1:17" x14ac:dyDescent="0.3">
      <c r="A3136" t="s">
        <v>4708</v>
      </c>
      <c r="B3136" t="str">
        <f>"002427"</f>
        <v>002427</v>
      </c>
      <c r="C3136" t="s">
        <v>6611</v>
      </c>
      <c r="D3136" t="s">
        <v>2720</v>
      </c>
      <c r="P3136">
        <v>82</v>
      </c>
      <c r="Q3136" t="s">
        <v>6612</v>
      </c>
    </row>
    <row r="3137" spans="1:17" x14ac:dyDescent="0.3">
      <c r="A3137" t="s">
        <v>4708</v>
      </c>
      <c r="B3137" t="str">
        <f>"002428"</f>
        <v>002428</v>
      </c>
      <c r="C3137" t="s">
        <v>6613</v>
      </c>
      <c r="D3137" t="s">
        <v>636</v>
      </c>
      <c r="P3137">
        <v>186</v>
      </c>
      <c r="Q3137" t="s">
        <v>6614</v>
      </c>
    </row>
    <row r="3138" spans="1:17" x14ac:dyDescent="0.3">
      <c r="A3138" t="s">
        <v>4708</v>
      </c>
      <c r="B3138" t="str">
        <f>"002429"</f>
        <v>002429</v>
      </c>
      <c r="C3138" t="s">
        <v>6615</v>
      </c>
      <c r="D3138" t="s">
        <v>137</v>
      </c>
      <c r="P3138">
        <v>454</v>
      </c>
      <c r="Q3138" t="s">
        <v>6616</v>
      </c>
    </row>
    <row r="3139" spans="1:17" x14ac:dyDescent="0.3">
      <c r="A3139" t="s">
        <v>4708</v>
      </c>
      <c r="B3139" t="str">
        <f>"002430"</f>
        <v>002430</v>
      </c>
      <c r="C3139" t="s">
        <v>6617</v>
      </c>
      <c r="D3139" t="s">
        <v>741</v>
      </c>
      <c r="P3139">
        <v>395</v>
      </c>
      <c r="Q3139" t="s">
        <v>6618</v>
      </c>
    </row>
    <row r="3140" spans="1:17" x14ac:dyDescent="0.3">
      <c r="A3140" t="s">
        <v>4708</v>
      </c>
      <c r="B3140" t="str">
        <f>"002431"</f>
        <v>002431</v>
      </c>
      <c r="C3140" t="s">
        <v>6619</v>
      </c>
      <c r="D3140" t="s">
        <v>2410</v>
      </c>
      <c r="P3140">
        <v>124</v>
      </c>
      <c r="Q3140" t="s">
        <v>6620</v>
      </c>
    </row>
    <row r="3141" spans="1:17" x14ac:dyDescent="0.3">
      <c r="A3141" t="s">
        <v>4708</v>
      </c>
      <c r="B3141" t="str">
        <f>"002432"</f>
        <v>002432</v>
      </c>
      <c r="C3141" t="s">
        <v>6621</v>
      </c>
      <c r="D3141" t="s">
        <v>122</v>
      </c>
      <c r="P3141">
        <v>281</v>
      </c>
      <c r="Q3141" t="s">
        <v>6622</v>
      </c>
    </row>
    <row r="3142" spans="1:17" x14ac:dyDescent="0.3">
      <c r="A3142" t="s">
        <v>4708</v>
      </c>
      <c r="B3142" t="str">
        <f>"002433"</f>
        <v>002433</v>
      </c>
      <c r="C3142" t="s">
        <v>6623</v>
      </c>
      <c r="D3142" t="s">
        <v>188</v>
      </c>
      <c r="P3142">
        <v>235</v>
      </c>
      <c r="Q3142" t="s">
        <v>6624</v>
      </c>
    </row>
    <row r="3143" spans="1:17" x14ac:dyDescent="0.3">
      <c r="A3143" t="s">
        <v>4708</v>
      </c>
      <c r="B3143" t="str">
        <f>"002434"</f>
        <v>002434</v>
      </c>
      <c r="C3143" t="s">
        <v>6625</v>
      </c>
      <c r="D3143" t="s">
        <v>348</v>
      </c>
      <c r="P3143">
        <v>238</v>
      </c>
      <c r="Q3143" t="s">
        <v>6626</v>
      </c>
    </row>
    <row r="3144" spans="1:17" x14ac:dyDescent="0.3">
      <c r="A3144" t="s">
        <v>4708</v>
      </c>
      <c r="B3144" t="str">
        <f>"002435"</f>
        <v>002435</v>
      </c>
      <c r="C3144" t="s">
        <v>6627</v>
      </c>
      <c r="D3144" t="s">
        <v>143</v>
      </c>
      <c r="P3144">
        <v>139</v>
      </c>
      <c r="Q3144" t="s">
        <v>6628</v>
      </c>
    </row>
    <row r="3145" spans="1:17" x14ac:dyDescent="0.3">
      <c r="A3145" t="s">
        <v>4708</v>
      </c>
      <c r="B3145" t="str">
        <f>"002436"</f>
        <v>002436</v>
      </c>
      <c r="C3145" t="s">
        <v>6629</v>
      </c>
      <c r="D3145" t="s">
        <v>425</v>
      </c>
      <c r="P3145">
        <v>563</v>
      </c>
      <c r="Q3145" t="s">
        <v>6630</v>
      </c>
    </row>
    <row r="3146" spans="1:17" x14ac:dyDescent="0.3">
      <c r="A3146" t="s">
        <v>4708</v>
      </c>
      <c r="B3146" t="str">
        <f>"002437"</f>
        <v>002437</v>
      </c>
      <c r="C3146" t="s">
        <v>6631</v>
      </c>
      <c r="D3146" t="s">
        <v>143</v>
      </c>
      <c r="P3146">
        <v>189</v>
      </c>
      <c r="Q3146" t="s">
        <v>6632</v>
      </c>
    </row>
    <row r="3147" spans="1:17" x14ac:dyDescent="0.3">
      <c r="A3147" t="s">
        <v>4708</v>
      </c>
      <c r="B3147" t="str">
        <f>"002438"</f>
        <v>002438</v>
      </c>
      <c r="C3147" t="s">
        <v>6633</v>
      </c>
      <c r="D3147" t="s">
        <v>274</v>
      </c>
      <c r="P3147">
        <v>185</v>
      </c>
      <c r="Q3147" t="s">
        <v>6634</v>
      </c>
    </row>
    <row r="3148" spans="1:17" x14ac:dyDescent="0.3">
      <c r="A3148" t="s">
        <v>4708</v>
      </c>
      <c r="B3148" t="str">
        <f>"002439"</f>
        <v>002439</v>
      </c>
      <c r="C3148" t="s">
        <v>6635</v>
      </c>
      <c r="D3148" t="s">
        <v>1189</v>
      </c>
      <c r="P3148">
        <v>1190</v>
      </c>
      <c r="Q3148" t="s">
        <v>6636</v>
      </c>
    </row>
    <row r="3149" spans="1:17" x14ac:dyDescent="0.3">
      <c r="A3149" t="s">
        <v>4708</v>
      </c>
      <c r="B3149" t="str">
        <f>"002440"</f>
        <v>002440</v>
      </c>
      <c r="C3149" t="s">
        <v>6637</v>
      </c>
      <c r="D3149" t="s">
        <v>779</v>
      </c>
      <c r="P3149">
        <v>537</v>
      </c>
      <c r="Q3149" t="s">
        <v>6638</v>
      </c>
    </row>
    <row r="3150" spans="1:17" x14ac:dyDescent="0.3">
      <c r="A3150" t="s">
        <v>4708</v>
      </c>
      <c r="B3150" t="str">
        <f>"002441"</f>
        <v>002441</v>
      </c>
      <c r="C3150" t="s">
        <v>6639</v>
      </c>
      <c r="D3150" t="s">
        <v>657</v>
      </c>
      <c r="P3150">
        <v>134</v>
      </c>
      <c r="Q3150" t="s">
        <v>6640</v>
      </c>
    </row>
    <row r="3151" spans="1:17" x14ac:dyDescent="0.3">
      <c r="A3151" t="s">
        <v>4708</v>
      </c>
      <c r="B3151" t="str">
        <f>"002442"</f>
        <v>002442</v>
      </c>
      <c r="C3151" t="s">
        <v>6641</v>
      </c>
      <c r="D3151" t="s">
        <v>3631</v>
      </c>
      <c r="P3151">
        <v>105</v>
      </c>
      <c r="Q3151" t="s">
        <v>6642</v>
      </c>
    </row>
    <row r="3152" spans="1:17" x14ac:dyDescent="0.3">
      <c r="A3152" t="s">
        <v>4708</v>
      </c>
      <c r="B3152" t="str">
        <f>"002443"</f>
        <v>002443</v>
      </c>
      <c r="C3152" t="s">
        <v>6643</v>
      </c>
      <c r="D3152" t="s">
        <v>281</v>
      </c>
      <c r="P3152">
        <v>257</v>
      </c>
      <c r="Q3152" t="s">
        <v>6644</v>
      </c>
    </row>
    <row r="3153" spans="1:17" x14ac:dyDescent="0.3">
      <c r="A3153" t="s">
        <v>4708</v>
      </c>
      <c r="B3153" t="str">
        <f>"002444"</f>
        <v>002444</v>
      </c>
      <c r="C3153" t="s">
        <v>6645</v>
      </c>
      <c r="D3153" t="s">
        <v>560</v>
      </c>
      <c r="P3153">
        <v>656</v>
      </c>
      <c r="Q3153" t="s">
        <v>6646</v>
      </c>
    </row>
    <row r="3154" spans="1:17" x14ac:dyDescent="0.3">
      <c r="A3154" t="s">
        <v>4708</v>
      </c>
      <c r="B3154" t="str">
        <f>"002445"</f>
        <v>002445</v>
      </c>
      <c r="C3154" t="s">
        <v>6647</v>
      </c>
      <c r="D3154" t="s">
        <v>517</v>
      </c>
      <c r="P3154">
        <v>110</v>
      </c>
      <c r="Q3154" t="s">
        <v>6648</v>
      </c>
    </row>
    <row r="3155" spans="1:17" x14ac:dyDescent="0.3">
      <c r="A3155" t="s">
        <v>4708</v>
      </c>
      <c r="B3155" t="str">
        <f>"002446"</f>
        <v>002446</v>
      </c>
      <c r="C3155" t="s">
        <v>6649</v>
      </c>
      <c r="D3155" t="s">
        <v>1136</v>
      </c>
      <c r="P3155">
        <v>371</v>
      </c>
      <c r="Q3155" t="s">
        <v>6650</v>
      </c>
    </row>
    <row r="3156" spans="1:17" x14ac:dyDescent="0.3">
      <c r="A3156" t="s">
        <v>4708</v>
      </c>
      <c r="B3156" t="str">
        <f>"002447"</f>
        <v>002447</v>
      </c>
      <c r="C3156" t="s">
        <v>6651</v>
      </c>
      <c r="D3156" t="s">
        <v>517</v>
      </c>
      <c r="P3156">
        <v>92</v>
      </c>
      <c r="Q3156" t="s">
        <v>6652</v>
      </c>
    </row>
    <row r="3157" spans="1:17" x14ac:dyDescent="0.3">
      <c r="A3157" t="s">
        <v>4708</v>
      </c>
      <c r="B3157" t="str">
        <f>"002448"</f>
        <v>002448</v>
      </c>
      <c r="C3157" t="s">
        <v>6653</v>
      </c>
      <c r="D3157" t="s">
        <v>348</v>
      </c>
      <c r="P3157">
        <v>194</v>
      </c>
      <c r="Q3157" t="s">
        <v>6654</v>
      </c>
    </row>
    <row r="3158" spans="1:17" x14ac:dyDescent="0.3">
      <c r="A3158" t="s">
        <v>4708</v>
      </c>
      <c r="B3158" t="str">
        <f>"002449"</f>
        <v>002449</v>
      </c>
      <c r="C3158" t="s">
        <v>6655</v>
      </c>
      <c r="D3158" t="s">
        <v>803</v>
      </c>
      <c r="P3158">
        <v>392</v>
      </c>
      <c r="Q3158" t="s">
        <v>6656</v>
      </c>
    </row>
    <row r="3159" spans="1:17" x14ac:dyDescent="0.3">
      <c r="A3159" t="s">
        <v>4708</v>
      </c>
      <c r="B3159" t="str">
        <f>"002450"</f>
        <v>002450</v>
      </c>
      <c r="C3159" t="s">
        <v>6657</v>
      </c>
      <c r="P3159">
        <v>1520</v>
      </c>
      <c r="Q3159" t="s">
        <v>6658</v>
      </c>
    </row>
    <row r="3160" spans="1:17" x14ac:dyDescent="0.3">
      <c r="A3160" t="s">
        <v>4708</v>
      </c>
      <c r="B3160" t="str">
        <f>"002451"</f>
        <v>002451</v>
      </c>
      <c r="C3160" t="s">
        <v>6659</v>
      </c>
      <c r="D3160" t="s">
        <v>1164</v>
      </c>
      <c r="P3160">
        <v>105</v>
      </c>
      <c r="Q3160" t="s">
        <v>6660</v>
      </c>
    </row>
    <row r="3161" spans="1:17" x14ac:dyDescent="0.3">
      <c r="A3161" t="s">
        <v>4708</v>
      </c>
      <c r="B3161" t="str">
        <f>"002452"</f>
        <v>002452</v>
      </c>
      <c r="C3161" t="s">
        <v>6661</v>
      </c>
      <c r="D3161" t="s">
        <v>210</v>
      </c>
      <c r="P3161">
        <v>173</v>
      </c>
      <c r="Q3161" t="s">
        <v>6662</v>
      </c>
    </row>
    <row r="3162" spans="1:17" x14ac:dyDescent="0.3">
      <c r="A3162" t="s">
        <v>4708</v>
      </c>
      <c r="B3162" t="str">
        <f>"002453"</f>
        <v>002453</v>
      </c>
      <c r="C3162" t="s">
        <v>6663</v>
      </c>
      <c r="D3162" t="s">
        <v>386</v>
      </c>
      <c r="P3162">
        <v>125</v>
      </c>
      <c r="Q3162" t="s">
        <v>6664</v>
      </c>
    </row>
    <row r="3163" spans="1:17" x14ac:dyDescent="0.3">
      <c r="A3163" t="s">
        <v>4708</v>
      </c>
      <c r="B3163" t="str">
        <f>"002454"</f>
        <v>002454</v>
      </c>
      <c r="C3163" t="s">
        <v>6665</v>
      </c>
      <c r="D3163" t="s">
        <v>1415</v>
      </c>
      <c r="P3163">
        <v>191</v>
      </c>
      <c r="Q3163" t="s">
        <v>6666</v>
      </c>
    </row>
    <row r="3164" spans="1:17" x14ac:dyDescent="0.3">
      <c r="A3164" t="s">
        <v>4708</v>
      </c>
      <c r="B3164" t="str">
        <f>"002455"</f>
        <v>002455</v>
      </c>
      <c r="C3164" t="s">
        <v>6667</v>
      </c>
      <c r="D3164" t="s">
        <v>386</v>
      </c>
      <c r="P3164">
        <v>209</v>
      </c>
      <c r="Q3164" t="s">
        <v>6668</v>
      </c>
    </row>
    <row r="3165" spans="1:17" x14ac:dyDescent="0.3">
      <c r="A3165" t="s">
        <v>4708</v>
      </c>
      <c r="B3165" t="str">
        <f>"002456"</f>
        <v>002456</v>
      </c>
      <c r="C3165" t="s">
        <v>6669</v>
      </c>
      <c r="D3165" t="s">
        <v>164</v>
      </c>
      <c r="P3165">
        <v>1607</v>
      </c>
      <c r="Q3165" t="s">
        <v>6670</v>
      </c>
    </row>
    <row r="3166" spans="1:17" x14ac:dyDescent="0.3">
      <c r="A3166" t="s">
        <v>4708</v>
      </c>
      <c r="B3166" t="str">
        <f>"002457"</f>
        <v>002457</v>
      </c>
      <c r="C3166" t="s">
        <v>6671</v>
      </c>
      <c r="D3166" t="s">
        <v>3332</v>
      </c>
      <c r="P3166">
        <v>132</v>
      </c>
      <c r="Q3166" t="s">
        <v>6672</v>
      </c>
    </row>
    <row r="3167" spans="1:17" x14ac:dyDescent="0.3">
      <c r="A3167" t="s">
        <v>4708</v>
      </c>
      <c r="B3167" t="str">
        <f>"002458"</f>
        <v>002458</v>
      </c>
      <c r="C3167" t="s">
        <v>6673</v>
      </c>
      <c r="D3167" t="s">
        <v>6225</v>
      </c>
      <c r="P3167">
        <v>815</v>
      </c>
      <c r="Q3167" t="s">
        <v>6674</v>
      </c>
    </row>
    <row r="3168" spans="1:17" x14ac:dyDescent="0.3">
      <c r="A3168" t="s">
        <v>4708</v>
      </c>
      <c r="B3168" t="str">
        <f>"002459"</f>
        <v>002459</v>
      </c>
      <c r="C3168" t="s">
        <v>6675</v>
      </c>
      <c r="D3168" t="s">
        <v>356</v>
      </c>
      <c r="P3168">
        <v>1227</v>
      </c>
      <c r="Q3168" t="s">
        <v>6676</v>
      </c>
    </row>
    <row r="3169" spans="1:17" x14ac:dyDescent="0.3">
      <c r="A3169" t="s">
        <v>4708</v>
      </c>
      <c r="B3169" t="str">
        <f>"002460"</f>
        <v>002460</v>
      </c>
      <c r="C3169" t="s">
        <v>6677</v>
      </c>
      <c r="D3169" t="s">
        <v>5344</v>
      </c>
      <c r="P3169">
        <v>2486</v>
      </c>
      <c r="Q3169" t="s">
        <v>6678</v>
      </c>
    </row>
    <row r="3170" spans="1:17" x14ac:dyDescent="0.3">
      <c r="A3170" t="s">
        <v>4708</v>
      </c>
      <c r="B3170" t="str">
        <f>"002461"</f>
        <v>002461</v>
      </c>
      <c r="C3170" t="s">
        <v>6679</v>
      </c>
      <c r="D3170" t="s">
        <v>319</v>
      </c>
      <c r="P3170">
        <v>461</v>
      </c>
      <c r="Q3170" t="s">
        <v>6680</v>
      </c>
    </row>
    <row r="3171" spans="1:17" x14ac:dyDescent="0.3">
      <c r="A3171" t="s">
        <v>4708</v>
      </c>
      <c r="B3171" t="str">
        <f>"002462"</f>
        <v>002462</v>
      </c>
      <c r="C3171" t="s">
        <v>6681</v>
      </c>
      <c r="D3171" t="s">
        <v>125</v>
      </c>
      <c r="P3171">
        <v>258</v>
      </c>
      <c r="Q3171" t="s">
        <v>6682</v>
      </c>
    </row>
    <row r="3172" spans="1:17" x14ac:dyDescent="0.3">
      <c r="A3172" t="s">
        <v>4708</v>
      </c>
      <c r="B3172" t="str">
        <f>"002463"</f>
        <v>002463</v>
      </c>
      <c r="C3172" t="s">
        <v>6683</v>
      </c>
      <c r="D3172" t="s">
        <v>425</v>
      </c>
      <c r="P3172">
        <v>3004</v>
      </c>
      <c r="Q3172" t="s">
        <v>6684</v>
      </c>
    </row>
    <row r="3173" spans="1:17" x14ac:dyDescent="0.3">
      <c r="A3173" t="s">
        <v>4708</v>
      </c>
      <c r="B3173" t="str">
        <f>"002464"</f>
        <v>002464</v>
      </c>
      <c r="C3173" t="s">
        <v>6685</v>
      </c>
      <c r="D3173" t="s">
        <v>517</v>
      </c>
      <c r="P3173">
        <v>110</v>
      </c>
      <c r="Q3173" t="s">
        <v>6686</v>
      </c>
    </row>
    <row r="3174" spans="1:17" x14ac:dyDescent="0.3">
      <c r="A3174" t="s">
        <v>4708</v>
      </c>
      <c r="B3174" t="str">
        <f>"002465"</f>
        <v>002465</v>
      </c>
      <c r="C3174" t="s">
        <v>6687</v>
      </c>
      <c r="D3174" t="s">
        <v>1136</v>
      </c>
      <c r="P3174">
        <v>544</v>
      </c>
      <c r="Q3174" t="s">
        <v>6688</v>
      </c>
    </row>
    <row r="3175" spans="1:17" x14ac:dyDescent="0.3">
      <c r="A3175" t="s">
        <v>4708</v>
      </c>
      <c r="B3175" t="str">
        <f>"002466"</f>
        <v>002466</v>
      </c>
      <c r="C3175" t="s">
        <v>6689</v>
      </c>
      <c r="D3175" t="s">
        <v>5344</v>
      </c>
      <c r="P3175">
        <v>2365</v>
      </c>
      <c r="Q3175" t="s">
        <v>6690</v>
      </c>
    </row>
    <row r="3176" spans="1:17" x14ac:dyDescent="0.3">
      <c r="A3176" t="s">
        <v>4708</v>
      </c>
      <c r="B3176" t="str">
        <f>"002467"</f>
        <v>002467</v>
      </c>
      <c r="C3176" t="s">
        <v>6691</v>
      </c>
      <c r="D3176" t="s">
        <v>5641</v>
      </c>
      <c r="P3176">
        <v>200</v>
      </c>
      <c r="Q3176" t="s">
        <v>6692</v>
      </c>
    </row>
    <row r="3177" spans="1:17" x14ac:dyDescent="0.3">
      <c r="A3177" t="s">
        <v>4708</v>
      </c>
      <c r="B3177" t="str">
        <f>"002468"</f>
        <v>002468</v>
      </c>
      <c r="C3177" t="s">
        <v>6693</v>
      </c>
      <c r="D3177" t="s">
        <v>537</v>
      </c>
      <c r="P3177">
        <v>638</v>
      </c>
      <c r="Q3177" t="s">
        <v>6694</v>
      </c>
    </row>
    <row r="3178" spans="1:17" x14ac:dyDescent="0.3">
      <c r="A3178" t="s">
        <v>4708</v>
      </c>
      <c r="B3178" t="str">
        <f>"002469"</f>
        <v>002469</v>
      </c>
      <c r="C3178" t="s">
        <v>6695</v>
      </c>
      <c r="D3178" t="s">
        <v>2021</v>
      </c>
      <c r="P3178">
        <v>126</v>
      </c>
      <c r="Q3178" t="s">
        <v>6696</v>
      </c>
    </row>
    <row r="3179" spans="1:17" x14ac:dyDescent="0.3">
      <c r="A3179" t="s">
        <v>4708</v>
      </c>
      <c r="B3179" t="str">
        <f>"002470"</f>
        <v>002470</v>
      </c>
      <c r="C3179" t="s">
        <v>6697</v>
      </c>
      <c r="D3179" t="s">
        <v>5533</v>
      </c>
      <c r="P3179">
        <v>4918</v>
      </c>
      <c r="Q3179" t="s">
        <v>6698</v>
      </c>
    </row>
    <row r="3180" spans="1:17" x14ac:dyDescent="0.3">
      <c r="A3180" t="s">
        <v>4708</v>
      </c>
      <c r="B3180" t="str">
        <f>"002471"</f>
        <v>002471</v>
      </c>
      <c r="C3180" t="s">
        <v>6699</v>
      </c>
      <c r="D3180" t="s">
        <v>1164</v>
      </c>
      <c r="P3180">
        <v>92</v>
      </c>
      <c r="Q3180" t="s">
        <v>6700</v>
      </c>
    </row>
    <row r="3181" spans="1:17" x14ac:dyDescent="0.3">
      <c r="A3181" t="s">
        <v>4708</v>
      </c>
      <c r="B3181" t="str">
        <f>"002472"</f>
        <v>002472</v>
      </c>
      <c r="C3181" t="s">
        <v>6701</v>
      </c>
      <c r="D3181" t="s">
        <v>348</v>
      </c>
      <c r="P3181">
        <v>258</v>
      </c>
      <c r="Q3181" t="s">
        <v>6702</v>
      </c>
    </row>
    <row r="3182" spans="1:17" x14ac:dyDescent="0.3">
      <c r="A3182" t="s">
        <v>4708</v>
      </c>
      <c r="B3182" t="str">
        <f>"002473"</f>
        <v>002473</v>
      </c>
      <c r="C3182" t="s">
        <v>6703</v>
      </c>
      <c r="D3182" t="s">
        <v>5764</v>
      </c>
      <c r="P3182">
        <v>61</v>
      </c>
      <c r="Q3182" t="s">
        <v>6704</v>
      </c>
    </row>
    <row r="3183" spans="1:17" x14ac:dyDescent="0.3">
      <c r="A3183" t="s">
        <v>4708</v>
      </c>
      <c r="B3183" t="str">
        <f>"002474"</f>
        <v>002474</v>
      </c>
      <c r="C3183" t="s">
        <v>6705</v>
      </c>
      <c r="D3183" t="s">
        <v>316</v>
      </c>
      <c r="P3183">
        <v>180</v>
      </c>
      <c r="Q3183" t="s">
        <v>6706</v>
      </c>
    </row>
    <row r="3184" spans="1:17" x14ac:dyDescent="0.3">
      <c r="A3184" t="s">
        <v>4708</v>
      </c>
      <c r="B3184" t="str">
        <f>"002475"</f>
        <v>002475</v>
      </c>
      <c r="C3184" t="s">
        <v>6707</v>
      </c>
      <c r="D3184" t="s">
        <v>313</v>
      </c>
      <c r="P3184">
        <v>5894</v>
      </c>
      <c r="Q3184" t="s">
        <v>6708</v>
      </c>
    </row>
    <row r="3185" spans="1:17" x14ac:dyDescent="0.3">
      <c r="A3185" t="s">
        <v>4708</v>
      </c>
      <c r="B3185" t="str">
        <f>"002476"</f>
        <v>002476</v>
      </c>
      <c r="C3185" t="s">
        <v>6709</v>
      </c>
      <c r="D3185" t="s">
        <v>1615</v>
      </c>
      <c r="P3185">
        <v>85</v>
      </c>
      <c r="Q3185" t="s">
        <v>6710</v>
      </c>
    </row>
    <row r="3186" spans="1:17" x14ac:dyDescent="0.3">
      <c r="A3186" t="s">
        <v>4708</v>
      </c>
      <c r="B3186" t="str">
        <f>"002477"</f>
        <v>002477</v>
      </c>
      <c r="C3186" t="s">
        <v>6711</v>
      </c>
      <c r="P3186">
        <v>126</v>
      </c>
      <c r="Q3186" t="s">
        <v>6712</v>
      </c>
    </row>
    <row r="3187" spans="1:17" x14ac:dyDescent="0.3">
      <c r="A3187" t="s">
        <v>4708</v>
      </c>
      <c r="B3187" t="str">
        <f>"002478"</f>
        <v>002478</v>
      </c>
      <c r="C3187" t="s">
        <v>6713</v>
      </c>
      <c r="D3187" t="s">
        <v>281</v>
      </c>
      <c r="P3187">
        <v>208</v>
      </c>
      <c r="Q3187" t="s">
        <v>6714</v>
      </c>
    </row>
    <row r="3188" spans="1:17" x14ac:dyDescent="0.3">
      <c r="A3188" t="s">
        <v>4708</v>
      </c>
      <c r="B3188" t="str">
        <f>"002479"</f>
        <v>002479</v>
      </c>
      <c r="C3188" t="s">
        <v>6715</v>
      </c>
      <c r="D3188" t="s">
        <v>351</v>
      </c>
      <c r="P3188">
        <v>158</v>
      </c>
      <c r="Q3188" t="s">
        <v>6716</v>
      </c>
    </row>
    <row r="3189" spans="1:17" x14ac:dyDescent="0.3">
      <c r="A3189" t="s">
        <v>4708</v>
      </c>
      <c r="B3189" t="str">
        <f>"002480"</f>
        <v>002480</v>
      </c>
      <c r="C3189" t="s">
        <v>6717</v>
      </c>
      <c r="D3189" t="s">
        <v>274</v>
      </c>
      <c r="P3189">
        <v>107</v>
      </c>
      <c r="Q3189" t="s">
        <v>6718</v>
      </c>
    </row>
    <row r="3190" spans="1:17" x14ac:dyDescent="0.3">
      <c r="A3190" t="s">
        <v>4708</v>
      </c>
      <c r="B3190" t="str">
        <f>"002481"</f>
        <v>002481</v>
      </c>
      <c r="C3190" t="s">
        <v>6719</v>
      </c>
      <c r="D3190" t="s">
        <v>445</v>
      </c>
      <c r="P3190">
        <v>331</v>
      </c>
      <c r="Q3190" t="s">
        <v>6720</v>
      </c>
    </row>
    <row r="3191" spans="1:17" x14ac:dyDescent="0.3">
      <c r="A3191" t="s">
        <v>4708</v>
      </c>
      <c r="B3191" t="str">
        <f>"002482"</f>
        <v>002482</v>
      </c>
      <c r="C3191" t="s">
        <v>6721</v>
      </c>
      <c r="D3191" t="s">
        <v>450</v>
      </c>
      <c r="P3191">
        <v>112</v>
      </c>
      <c r="Q3191" t="s">
        <v>6722</v>
      </c>
    </row>
    <row r="3192" spans="1:17" x14ac:dyDescent="0.3">
      <c r="A3192" t="s">
        <v>4708</v>
      </c>
      <c r="B3192" t="str">
        <f>"002483"</f>
        <v>002483</v>
      </c>
      <c r="C3192" t="s">
        <v>6723</v>
      </c>
      <c r="D3192" t="s">
        <v>395</v>
      </c>
      <c r="P3192">
        <v>93</v>
      </c>
      <c r="Q3192" t="s">
        <v>6724</v>
      </c>
    </row>
    <row r="3193" spans="1:17" x14ac:dyDescent="0.3">
      <c r="A3193" t="s">
        <v>4708</v>
      </c>
      <c r="B3193" t="str">
        <f>"002484"</f>
        <v>002484</v>
      </c>
      <c r="C3193" t="s">
        <v>6725</v>
      </c>
      <c r="D3193" t="s">
        <v>546</v>
      </c>
      <c r="P3193">
        <v>311</v>
      </c>
      <c r="Q3193" t="s">
        <v>6726</v>
      </c>
    </row>
    <row r="3194" spans="1:17" x14ac:dyDescent="0.3">
      <c r="A3194" t="s">
        <v>4708</v>
      </c>
      <c r="B3194" t="str">
        <f>"002485"</f>
        <v>002485</v>
      </c>
      <c r="C3194" t="s">
        <v>6727</v>
      </c>
      <c r="D3194" t="s">
        <v>255</v>
      </c>
      <c r="P3194">
        <v>80</v>
      </c>
      <c r="Q3194" t="s">
        <v>6728</v>
      </c>
    </row>
    <row r="3195" spans="1:17" x14ac:dyDescent="0.3">
      <c r="A3195" t="s">
        <v>4708</v>
      </c>
      <c r="B3195" t="str">
        <f>"002486"</f>
        <v>002486</v>
      </c>
      <c r="C3195" t="s">
        <v>6729</v>
      </c>
      <c r="D3195" t="s">
        <v>366</v>
      </c>
      <c r="P3195">
        <v>88</v>
      </c>
      <c r="Q3195" t="s">
        <v>6730</v>
      </c>
    </row>
    <row r="3196" spans="1:17" x14ac:dyDescent="0.3">
      <c r="A3196" t="s">
        <v>4708</v>
      </c>
      <c r="B3196" t="str">
        <f>"002487"</f>
        <v>002487</v>
      </c>
      <c r="C3196" t="s">
        <v>6731</v>
      </c>
      <c r="D3196" t="s">
        <v>950</v>
      </c>
      <c r="P3196">
        <v>248</v>
      </c>
      <c r="Q3196" t="s">
        <v>6732</v>
      </c>
    </row>
    <row r="3197" spans="1:17" x14ac:dyDescent="0.3">
      <c r="A3197" t="s">
        <v>4708</v>
      </c>
      <c r="B3197" t="str">
        <f>"002488"</f>
        <v>002488</v>
      </c>
      <c r="C3197" t="s">
        <v>6733</v>
      </c>
      <c r="D3197" t="s">
        <v>422</v>
      </c>
      <c r="P3197">
        <v>152</v>
      </c>
      <c r="Q3197" t="s">
        <v>6734</v>
      </c>
    </row>
    <row r="3198" spans="1:17" x14ac:dyDescent="0.3">
      <c r="A3198" t="s">
        <v>4708</v>
      </c>
      <c r="B3198" t="str">
        <f>"002489"</f>
        <v>002489</v>
      </c>
      <c r="C3198" t="s">
        <v>6735</v>
      </c>
      <c r="D3198" t="s">
        <v>757</v>
      </c>
      <c r="P3198">
        <v>206</v>
      </c>
      <c r="Q3198" t="s">
        <v>6736</v>
      </c>
    </row>
    <row r="3199" spans="1:17" x14ac:dyDescent="0.3">
      <c r="A3199" t="s">
        <v>4708</v>
      </c>
      <c r="B3199" t="str">
        <f>"002490"</f>
        <v>002490</v>
      </c>
      <c r="C3199" t="s">
        <v>6737</v>
      </c>
      <c r="D3199" t="s">
        <v>395</v>
      </c>
      <c r="P3199">
        <v>82</v>
      </c>
      <c r="Q3199" t="s">
        <v>6738</v>
      </c>
    </row>
    <row r="3200" spans="1:17" x14ac:dyDescent="0.3">
      <c r="A3200" t="s">
        <v>4708</v>
      </c>
      <c r="B3200" t="str">
        <f>"002491"</f>
        <v>002491</v>
      </c>
      <c r="C3200" t="s">
        <v>6739</v>
      </c>
      <c r="D3200" t="s">
        <v>250</v>
      </c>
      <c r="P3200">
        <v>214</v>
      </c>
      <c r="Q3200" t="s">
        <v>6740</v>
      </c>
    </row>
    <row r="3201" spans="1:17" x14ac:dyDescent="0.3">
      <c r="A3201" t="s">
        <v>4708</v>
      </c>
      <c r="B3201" t="str">
        <f>"002492"</f>
        <v>002492</v>
      </c>
      <c r="C3201" t="s">
        <v>6741</v>
      </c>
      <c r="D3201" t="s">
        <v>1592</v>
      </c>
      <c r="P3201">
        <v>94</v>
      </c>
      <c r="Q3201" t="s">
        <v>6742</v>
      </c>
    </row>
    <row r="3202" spans="1:17" x14ac:dyDescent="0.3">
      <c r="A3202" t="s">
        <v>4708</v>
      </c>
      <c r="B3202" t="str">
        <f>"002493"</f>
        <v>002493</v>
      </c>
      <c r="C3202" t="s">
        <v>6743</v>
      </c>
      <c r="D3202" t="s">
        <v>74</v>
      </c>
      <c r="P3202">
        <v>852</v>
      </c>
      <c r="Q3202" t="s">
        <v>6744</v>
      </c>
    </row>
    <row r="3203" spans="1:17" x14ac:dyDescent="0.3">
      <c r="A3203" t="s">
        <v>4708</v>
      </c>
      <c r="B3203" t="str">
        <f>"002494"</f>
        <v>002494</v>
      </c>
      <c r="C3203" t="s">
        <v>6745</v>
      </c>
      <c r="D3203" t="s">
        <v>255</v>
      </c>
      <c r="P3203">
        <v>81</v>
      </c>
      <c r="Q3203" t="s">
        <v>6746</v>
      </c>
    </row>
    <row r="3204" spans="1:17" x14ac:dyDescent="0.3">
      <c r="A3204" t="s">
        <v>4708</v>
      </c>
      <c r="B3204" t="str">
        <f>"002495"</f>
        <v>002495</v>
      </c>
      <c r="C3204" t="s">
        <v>6747</v>
      </c>
      <c r="D3204" t="s">
        <v>433</v>
      </c>
      <c r="P3204">
        <v>113</v>
      </c>
      <c r="Q3204" t="s">
        <v>6748</v>
      </c>
    </row>
    <row r="3205" spans="1:17" x14ac:dyDescent="0.3">
      <c r="A3205" t="s">
        <v>4708</v>
      </c>
      <c r="B3205" t="str">
        <f>"002496"</f>
        <v>002496</v>
      </c>
      <c r="C3205" t="s">
        <v>6749</v>
      </c>
      <c r="D3205" t="s">
        <v>853</v>
      </c>
      <c r="P3205">
        <v>158</v>
      </c>
      <c r="Q3205" t="s">
        <v>6750</v>
      </c>
    </row>
    <row r="3206" spans="1:17" x14ac:dyDescent="0.3">
      <c r="A3206" t="s">
        <v>4708</v>
      </c>
      <c r="B3206" t="str">
        <f>"002497"</f>
        <v>002497</v>
      </c>
      <c r="C3206" t="s">
        <v>6751</v>
      </c>
      <c r="D3206" t="s">
        <v>2725</v>
      </c>
      <c r="P3206">
        <v>481</v>
      </c>
      <c r="Q3206" t="s">
        <v>6752</v>
      </c>
    </row>
    <row r="3207" spans="1:17" x14ac:dyDescent="0.3">
      <c r="A3207" t="s">
        <v>4708</v>
      </c>
      <c r="B3207" t="str">
        <f>"002498"</f>
        <v>002498</v>
      </c>
      <c r="C3207" t="s">
        <v>6753</v>
      </c>
      <c r="D3207" t="s">
        <v>1164</v>
      </c>
      <c r="P3207">
        <v>282</v>
      </c>
      <c r="Q3207" t="s">
        <v>6754</v>
      </c>
    </row>
    <row r="3208" spans="1:17" x14ac:dyDescent="0.3">
      <c r="A3208" t="s">
        <v>4708</v>
      </c>
      <c r="B3208" t="str">
        <f>"002499"</f>
        <v>002499</v>
      </c>
      <c r="C3208" t="s">
        <v>6755</v>
      </c>
      <c r="D3208" t="s">
        <v>86</v>
      </c>
      <c r="P3208">
        <v>51</v>
      </c>
      <c r="Q3208" t="s">
        <v>6756</v>
      </c>
    </row>
    <row r="3209" spans="1:17" x14ac:dyDescent="0.3">
      <c r="A3209" t="s">
        <v>4708</v>
      </c>
      <c r="B3209" t="str">
        <f>"002500"</f>
        <v>002500</v>
      </c>
      <c r="C3209" t="s">
        <v>6757</v>
      </c>
      <c r="D3209" t="s">
        <v>80</v>
      </c>
      <c r="P3209">
        <v>1129</v>
      </c>
      <c r="Q3209" t="s">
        <v>6758</v>
      </c>
    </row>
    <row r="3210" spans="1:17" x14ac:dyDescent="0.3">
      <c r="A3210" t="s">
        <v>4708</v>
      </c>
      <c r="B3210" t="str">
        <f>"002501"</f>
        <v>002501</v>
      </c>
      <c r="C3210" t="s">
        <v>6759</v>
      </c>
      <c r="D3210" t="s">
        <v>504</v>
      </c>
      <c r="P3210">
        <v>107</v>
      </c>
      <c r="Q3210" t="s">
        <v>6760</v>
      </c>
    </row>
    <row r="3211" spans="1:17" x14ac:dyDescent="0.3">
      <c r="A3211" t="s">
        <v>4708</v>
      </c>
      <c r="B3211" t="str">
        <f>"002502"</f>
        <v>002502</v>
      </c>
      <c r="C3211" t="s">
        <v>6761</v>
      </c>
      <c r="D3211" t="s">
        <v>113</v>
      </c>
      <c r="P3211">
        <v>117</v>
      </c>
      <c r="Q3211" t="s">
        <v>6762</v>
      </c>
    </row>
    <row r="3212" spans="1:17" x14ac:dyDescent="0.3">
      <c r="A3212" t="s">
        <v>4708</v>
      </c>
      <c r="B3212" t="str">
        <f>"002503"</f>
        <v>002503</v>
      </c>
      <c r="C3212" t="s">
        <v>6763</v>
      </c>
      <c r="D3212" t="s">
        <v>255</v>
      </c>
      <c r="P3212">
        <v>244</v>
      </c>
      <c r="Q3212" t="s">
        <v>6764</v>
      </c>
    </row>
    <row r="3213" spans="1:17" x14ac:dyDescent="0.3">
      <c r="A3213" t="s">
        <v>4708</v>
      </c>
      <c r="B3213" t="str">
        <f>"002504"</f>
        <v>002504</v>
      </c>
      <c r="C3213" t="s">
        <v>6765</v>
      </c>
      <c r="D3213" t="s">
        <v>450</v>
      </c>
      <c r="P3213">
        <v>66</v>
      </c>
      <c r="Q3213" t="s">
        <v>6766</v>
      </c>
    </row>
    <row r="3214" spans="1:17" x14ac:dyDescent="0.3">
      <c r="A3214" t="s">
        <v>4708</v>
      </c>
      <c r="B3214" t="str">
        <f>"002505"</f>
        <v>002505</v>
      </c>
      <c r="C3214" t="s">
        <v>6767</v>
      </c>
      <c r="D3214" t="s">
        <v>1878</v>
      </c>
      <c r="P3214">
        <v>209</v>
      </c>
      <c r="Q3214" t="s">
        <v>6768</v>
      </c>
    </row>
    <row r="3215" spans="1:17" x14ac:dyDescent="0.3">
      <c r="A3215" t="s">
        <v>4708</v>
      </c>
      <c r="B3215" t="str">
        <f>"002506"</f>
        <v>002506</v>
      </c>
      <c r="C3215" t="s">
        <v>6769</v>
      </c>
      <c r="D3215" t="s">
        <v>356</v>
      </c>
      <c r="P3215">
        <v>315</v>
      </c>
      <c r="Q3215" t="s">
        <v>6770</v>
      </c>
    </row>
    <row r="3216" spans="1:17" x14ac:dyDescent="0.3">
      <c r="A3216" t="s">
        <v>4708</v>
      </c>
      <c r="B3216" t="str">
        <f>"002507"</f>
        <v>002507</v>
      </c>
      <c r="C3216" t="s">
        <v>6771</v>
      </c>
      <c r="D3216" t="s">
        <v>433</v>
      </c>
      <c r="P3216">
        <v>4502</v>
      </c>
      <c r="Q3216" t="s">
        <v>6772</v>
      </c>
    </row>
    <row r="3217" spans="1:17" x14ac:dyDescent="0.3">
      <c r="A3217" t="s">
        <v>4708</v>
      </c>
      <c r="B3217" t="str">
        <f>"002508"</f>
        <v>002508</v>
      </c>
      <c r="C3217" t="s">
        <v>6773</v>
      </c>
      <c r="D3217" t="s">
        <v>3692</v>
      </c>
      <c r="P3217">
        <v>40627</v>
      </c>
      <c r="Q3217" t="s">
        <v>6774</v>
      </c>
    </row>
    <row r="3218" spans="1:17" x14ac:dyDescent="0.3">
      <c r="A3218" t="s">
        <v>4708</v>
      </c>
      <c r="B3218" t="str">
        <f>"002509"</f>
        <v>002509</v>
      </c>
      <c r="C3218" t="s">
        <v>6775</v>
      </c>
      <c r="P3218">
        <v>60</v>
      </c>
      <c r="Q3218" t="s">
        <v>6776</v>
      </c>
    </row>
    <row r="3219" spans="1:17" x14ac:dyDescent="0.3">
      <c r="A3219" t="s">
        <v>4708</v>
      </c>
      <c r="B3219" t="str">
        <f>"002510"</f>
        <v>002510</v>
      </c>
      <c r="C3219" t="s">
        <v>6777</v>
      </c>
      <c r="D3219" t="s">
        <v>985</v>
      </c>
      <c r="P3219">
        <v>208</v>
      </c>
      <c r="Q3219" t="s">
        <v>6778</v>
      </c>
    </row>
    <row r="3220" spans="1:17" x14ac:dyDescent="0.3">
      <c r="A3220" t="s">
        <v>4708</v>
      </c>
      <c r="B3220" t="str">
        <f>"002511"</f>
        <v>002511</v>
      </c>
      <c r="C3220" t="s">
        <v>6779</v>
      </c>
      <c r="D3220" t="s">
        <v>2740</v>
      </c>
      <c r="P3220">
        <v>2513</v>
      </c>
      <c r="Q3220" t="s">
        <v>6780</v>
      </c>
    </row>
    <row r="3221" spans="1:17" x14ac:dyDescent="0.3">
      <c r="A3221" t="s">
        <v>4708</v>
      </c>
      <c r="B3221" t="str">
        <f>"002512"</f>
        <v>002512</v>
      </c>
      <c r="C3221" t="s">
        <v>6781</v>
      </c>
      <c r="D3221" t="s">
        <v>236</v>
      </c>
      <c r="P3221">
        <v>162</v>
      </c>
      <c r="Q3221" t="s">
        <v>6782</v>
      </c>
    </row>
    <row r="3222" spans="1:17" x14ac:dyDescent="0.3">
      <c r="A3222" t="s">
        <v>4708</v>
      </c>
      <c r="B3222" t="str">
        <f>"002513"</f>
        <v>002513</v>
      </c>
      <c r="C3222" t="s">
        <v>6783</v>
      </c>
      <c r="D3222" t="s">
        <v>853</v>
      </c>
      <c r="P3222">
        <v>46</v>
      </c>
      <c r="Q3222" t="s">
        <v>6784</v>
      </c>
    </row>
    <row r="3223" spans="1:17" x14ac:dyDescent="0.3">
      <c r="A3223" t="s">
        <v>4708</v>
      </c>
      <c r="B3223" t="str">
        <f>"002514"</f>
        <v>002514</v>
      </c>
      <c r="C3223" t="s">
        <v>6785</v>
      </c>
      <c r="D3223" t="s">
        <v>274</v>
      </c>
      <c r="P3223">
        <v>61</v>
      </c>
      <c r="Q3223" t="s">
        <v>6786</v>
      </c>
    </row>
    <row r="3224" spans="1:17" x14ac:dyDescent="0.3">
      <c r="A3224" t="s">
        <v>4708</v>
      </c>
      <c r="B3224" t="str">
        <f>"002515"</f>
        <v>002515</v>
      </c>
      <c r="C3224" t="s">
        <v>6787</v>
      </c>
      <c r="D3224" t="s">
        <v>170</v>
      </c>
      <c r="P3224">
        <v>296</v>
      </c>
      <c r="Q3224" t="s">
        <v>6788</v>
      </c>
    </row>
    <row r="3225" spans="1:17" x14ac:dyDescent="0.3">
      <c r="A3225" t="s">
        <v>4708</v>
      </c>
      <c r="B3225" t="str">
        <f>"002516"</f>
        <v>002516</v>
      </c>
      <c r="C3225" t="s">
        <v>6789</v>
      </c>
      <c r="D3225" t="s">
        <v>191</v>
      </c>
      <c r="P3225">
        <v>160</v>
      </c>
      <c r="Q3225" t="s">
        <v>6790</v>
      </c>
    </row>
    <row r="3226" spans="1:17" x14ac:dyDescent="0.3">
      <c r="A3226" t="s">
        <v>4708</v>
      </c>
      <c r="B3226" t="str">
        <f>"002517"</f>
        <v>002517</v>
      </c>
      <c r="C3226" t="s">
        <v>6791</v>
      </c>
      <c r="D3226" t="s">
        <v>517</v>
      </c>
      <c r="P3226">
        <v>289</v>
      </c>
      <c r="Q3226" t="s">
        <v>6792</v>
      </c>
    </row>
    <row r="3227" spans="1:17" x14ac:dyDescent="0.3">
      <c r="A3227" t="s">
        <v>4708</v>
      </c>
      <c r="B3227" t="str">
        <f>"002518"</f>
        <v>002518</v>
      </c>
      <c r="C3227" t="s">
        <v>6793</v>
      </c>
      <c r="D3227" t="s">
        <v>880</v>
      </c>
      <c r="P3227">
        <v>401</v>
      </c>
      <c r="Q3227" t="s">
        <v>6794</v>
      </c>
    </row>
    <row r="3228" spans="1:17" x14ac:dyDescent="0.3">
      <c r="A3228" t="s">
        <v>4708</v>
      </c>
      <c r="B3228" t="str">
        <f>"002519"</f>
        <v>002519</v>
      </c>
      <c r="C3228" t="s">
        <v>6795</v>
      </c>
      <c r="D3228" t="s">
        <v>4448</v>
      </c>
      <c r="P3228">
        <v>160</v>
      </c>
      <c r="Q3228" t="s">
        <v>6796</v>
      </c>
    </row>
    <row r="3229" spans="1:17" x14ac:dyDescent="0.3">
      <c r="A3229" t="s">
        <v>4708</v>
      </c>
      <c r="B3229" t="str">
        <f>"002520"</f>
        <v>002520</v>
      </c>
      <c r="C3229" t="s">
        <v>6797</v>
      </c>
      <c r="D3229" t="s">
        <v>2314</v>
      </c>
      <c r="P3229">
        <v>99</v>
      </c>
      <c r="Q3229" t="s">
        <v>6798</v>
      </c>
    </row>
    <row r="3230" spans="1:17" x14ac:dyDescent="0.3">
      <c r="A3230" t="s">
        <v>4708</v>
      </c>
      <c r="B3230" t="str">
        <f>"002521"</f>
        <v>002521</v>
      </c>
      <c r="C3230" t="s">
        <v>6799</v>
      </c>
      <c r="D3230" t="s">
        <v>244</v>
      </c>
      <c r="P3230">
        <v>132</v>
      </c>
      <c r="Q3230" t="s">
        <v>6800</v>
      </c>
    </row>
    <row r="3231" spans="1:17" x14ac:dyDescent="0.3">
      <c r="A3231" t="s">
        <v>4708</v>
      </c>
      <c r="B3231" t="str">
        <f>"002522"</f>
        <v>002522</v>
      </c>
      <c r="C3231" t="s">
        <v>6801</v>
      </c>
      <c r="D3231" t="s">
        <v>324</v>
      </c>
      <c r="P3231">
        <v>367</v>
      </c>
      <c r="Q3231" t="s">
        <v>6802</v>
      </c>
    </row>
    <row r="3232" spans="1:17" x14ac:dyDescent="0.3">
      <c r="A3232" t="s">
        <v>4708</v>
      </c>
      <c r="B3232" t="str">
        <f>"002523"</f>
        <v>002523</v>
      </c>
      <c r="C3232" t="s">
        <v>6803</v>
      </c>
      <c r="D3232" t="s">
        <v>395</v>
      </c>
      <c r="P3232">
        <v>53</v>
      </c>
      <c r="Q3232" t="s">
        <v>6804</v>
      </c>
    </row>
    <row r="3233" spans="1:17" x14ac:dyDescent="0.3">
      <c r="A3233" t="s">
        <v>4708</v>
      </c>
      <c r="B3233" t="str">
        <f>"002524"</f>
        <v>002524</v>
      </c>
      <c r="C3233" t="s">
        <v>6805</v>
      </c>
      <c r="D3233" t="s">
        <v>1147</v>
      </c>
      <c r="P3233">
        <v>180</v>
      </c>
      <c r="Q3233" t="s">
        <v>6806</v>
      </c>
    </row>
    <row r="3234" spans="1:17" x14ac:dyDescent="0.3">
      <c r="A3234" t="s">
        <v>4708</v>
      </c>
      <c r="B3234" t="str">
        <f>"002526"</f>
        <v>002526</v>
      </c>
      <c r="C3234" t="s">
        <v>6807</v>
      </c>
      <c r="D3234" t="s">
        <v>395</v>
      </c>
      <c r="P3234">
        <v>103</v>
      </c>
      <c r="Q3234" t="s">
        <v>6808</v>
      </c>
    </row>
    <row r="3235" spans="1:17" x14ac:dyDescent="0.3">
      <c r="A3235" t="s">
        <v>4708</v>
      </c>
      <c r="B3235" t="str">
        <f>"002527"</f>
        <v>002527</v>
      </c>
      <c r="C3235" t="s">
        <v>6809</v>
      </c>
      <c r="D3235" t="s">
        <v>2923</v>
      </c>
      <c r="P3235">
        <v>161</v>
      </c>
      <c r="Q3235" t="s">
        <v>6810</v>
      </c>
    </row>
    <row r="3236" spans="1:17" x14ac:dyDescent="0.3">
      <c r="A3236" t="s">
        <v>4708</v>
      </c>
      <c r="B3236" t="str">
        <f>"002528"</f>
        <v>002528</v>
      </c>
      <c r="C3236" t="s">
        <v>6811</v>
      </c>
      <c r="D3236" t="s">
        <v>2965</v>
      </c>
      <c r="P3236">
        <v>169</v>
      </c>
      <c r="Q3236" t="s">
        <v>6812</v>
      </c>
    </row>
    <row r="3237" spans="1:17" x14ac:dyDescent="0.3">
      <c r="A3237" t="s">
        <v>4708</v>
      </c>
      <c r="B3237" t="str">
        <f>"002529"</f>
        <v>002529</v>
      </c>
      <c r="C3237" t="s">
        <v>6813</v>
      </c>
      <c r="D3237" t="s">
        <v>741</v>
      </c>
      <c r="P3237">
        <v>68</v>
      </c>
      <c r="Q3237" t="s">
        <v>6814</v>
      </c>
    </row>
    <row r="3238" spans="1:17" x14ac:dyDescent="0.3">
      <c r="A3238" t="s">
        <v>4708</v>
      </c>
      <c r="B3238" t="str">
        <f>"002530"</f>
        <v>002530</v>
      </c>
      <c r="C3238" t="s">
        <v>6815</v>
      </c>
      <c r="D3238" t="s">
        <v>316</v>
      </c>
      <c r="P3238">
        <v>135</v>
      </c>
      <c r="Q3238" t="s">
        <v>6816</v>
      </c>
    </row>
    <row r="3239" spans="1:17" x14ac:dyDescent="0.3">
      <c r="A3239" t="s">
        <v>4708</v>
      </c>
      <c r="B3239" t="str">
        <f>"002531"</f>
        <v>002531</v>
      </c>
      <c r="C3239" t="s">
        <v>6817</v>
      </c>
      <c r="D3239" t="s">
        <v>950</v>
      </c>
      <c r="P3239">
        <v>599</v>
      </c>
      <c r="Q3239" t="s">
        <v>6818</v>
      </c>
    </row>
    <row r="3240" spans="1:17" x14ac:dyDescent="0.3">
      <c r="A3240" t="s">
        <v>4708</v>
      </c>
      <c r="B3240" t="str">
        <f>"002532"</f>
        <v>002532</v>
      </c>
      <c r="C3240" t="s">
        <v>6819</v>
      </c>
      <c r="D3240" t="s">
        <v>504</v>
      </c>
      <c r="P3240">
        <v>424</v>
      </c>
      <c r="Q3240" t="s">
        <v>6820</v>
      </c>
    </row>
    <row r="3241" spans="1:17" x14ac:dyDescent="0.3">
      <c r="A3241" t="s">
        <v>4708</v>
      </c>
      <c r="B3241" t="str">
        <f>"002533"</f>
        <v>002533</v>
      </c>
      <c r="C3241" t="s">
        <v>6821</v>
      </c>
      <c r="D3241" t="s">
        <v>1164</v>
      </c>
      <c r="P3241">
        <v>192</v>
      </c>
      <c r="Q3241" t="s">
        <v>6822</v>
      </c>
    </row>
    <row r="3242" spans="1:17" x14ac:dyDescent="0.3">
      <c r="A3242" t="s">
        <v>4708</v>
      </c>
      <c r="B3242" t="str">
        <f>"002534"</f>
        <v>002534</v>
      </c>
      <c r="C3242" t="s">
        <v>6823</v>
      </c>
      <c r="D3242" t="s">
        <v>470</v>
      </c>
      <c r="P3242">
        <v>191</v>
      </c>
      <c r="Q3242" t="s">
        <v>6824</v>
      </c>
    </row>
    <row r="3243" spans="1:17" x14ac:dyDescent="0.3">
      <c r="A3243" t="s">
        <v>4708</v>
      </c>
      <c r="B3243" t="str">
        <f>"002535"</f>
        <v>002535</v>
      </c>
      <c r="C3243" t="s">
        <v>6825</v>
      </c>
      <c r="D3243" t="s">
        <v>395</v>
      </c>
      <c r="P3243">
        <v>89</v>
      </c>
      <c r="Q3243" t="s">
        <v>6826</v>
      </c>
    </row>
    <row r="3244" spans="1:17" x14ac:dyDescent="0.3">
      <c r="A3244" t="s">
        <v>4708</v>
      </c>
      <c r="B3244" t="str">
        <f>"002536"</f>
        <v>002536</v>
      </c>
      <c r="C3244" t="s">
        <v>6827</v>
      </c>
      <c r="D3244" t="s">
        <v>348</v>
      </c>
      <c r="P3244">
        <v>254</v>
      </c>
      <c r="Q3244" t="s">
        <v>6828</v>
      </c>
    </row>
    <row r="3245" spans="1:17" x14ac:dyDescent="0.3">
      <c r="A3245" t="s">
        <v>4708</v>
      </c>
      <c r="B3245" t="str">
        <f>"002537"</f>
        <v>002537</v>
      </c>
      <c r="C3245" t="s">
        <v>6829</v>
      </c>
      <c r="D3245" t="s">
        <v>191</v>
      </c>
      <c r="P3245">
        <v>182</v>
      </c>
      <c r="Q3245" t="s">
        <v>6830</v>
      </c>
    </row>
    <row r="3246" spans="1:17" x14ac:dyDescent="0.3">
      <c r="A3246" t="s">
        <v>4708</v>
      </c>
      <c r="B3246" t="str">
        <f>"002538"</f>
        <v>002538</v>
      </c>
      <c r="C3246" t="s">
        <v>6831</v>
      </c>
      <c r="D3246" t="s">
        <v>5533</v>
      </c>
      <c r="P3246">
        <v>174</v>
      </c>
      <c r="Q3246" t="s">
        <v>6832</v>
      </c>
    </row>
    <row r="3247" spans="1:17" x14ac:dyDescent="0.3">
      <c r="A3247" t="s">
        <v>4708</v>
      </c>
      <c r="B3247" t="str">
        <f>"002539"</f>
        <v>002539</v>
      </c>
      <c r="C3247" t="s">
        <v>6833</v>
      </c>
      <c r="D3247" t="s">
        <v>5533</v>
      </c>
      <c r="P3247">
        <v>240</v>
      </c>
      <c r="Q3247" t="s">
        <v>6834</v>
      </c>
    </row>
    <row r="3248" spans="1:17" x14ac:dyDescent="0.3">
      <c r="A3248" t="s">
        <v>4708</v>
      </c>
      <c r="B3248" t="str">
        <f>"002540"</f>
        <v>002540</v>
      </c>
      <c r="C3248" t="s">
        <v>6835</v>
      </c>
      <c r="D3248" t="s">
        <v>504</v>
      </c>
      <c r="P3248">
        <v>161</v>
      </c>
      <c r="Q3248" t="s">
        <v>6836</v>
      </c>
    </row>
    <row r="3249" spans="1:17" x14ac:dyDescent="0.3">
      <c r="A3249" t="s">
        <v>4708</v>
      </c>
      <c r="B3249" t="str">
        <f>"002541"</f>
        <v>002541</v>
      </c>
      <c r="C3249" t="s">
        <v>6837</v>
      </c>
      <c r="D3249" t="s">
        <v>978</v>
      </c>
      <c r="P3249">
        <v>443</v>
      </c>
      <c r="Q3249" t="s">
        <v>6838</v>
      </c>
    </row>
    <row r="3250" spans="1:17" x14ac:dyDescent="0.3">
      <c r="A3250" t="s">
        <v>4708</v>
      </c>
      <c r="B3250" t="str">
        <f>"002542"</f>
        <v>002542</v>
      </c>
      <c r="C3250" t="s">
        <v>6839</v>
      </c>
      <c r="D3250" t="s">
        <v>1988</v>
      </c>
      <c r="P3250">
        <v>161</v>
      </c>
      <c r="Q3250" t="s">
        <v>6840</v>
      </c>
    </row>
    <row r="3251" spans="1:17" x14ac:dyDescent="0.3">
      <c r="A3251" t="s">
        <v>4708</v>
      </c>
      <c r="B3251" t="str">
        <f>"002543"</f>
        <v>002543</v>
      </c>
      <c r="C3251" t="s">
        <v>6841</v>
      </c>
      <c r="D3251" t="s">
        <v>2877</v>
      </c>
      <c r="P3251">
        <v>434</v>
      </c>
      <c r="Q3251" t="s">
        <v>6842</v>
      </c>
    </row>
    <row r="3252" spans="1:17" x14ac:dyDescent="0.3">
      <c r="A3252" t="s">
        <v>4708</v>
      </c>
      <c r="B3252" t="str">
        <f>"002544"</f>
        <v>002544</v>
      </c>
      <c r="C3252" t="s">
        <v>6843</v>
      </c>
      <c r="D3252" t="s">
        <v>654</v>
      </c>
      <c r="P3252">
        <v>324</v>
      </c>
      <c r="Q3252" t="s">
        <v>6844</v>
      </c>
    </row>
    <row r="3253" spans="1:17" x14ac:dyDescent="0.3">
      <c r="A3253" t="s">
        <v>4708</v>
      </c>
      <c r="B3253" t="str">
        <f>"002545"</f>
        <v>002545</v>
      </c>
      <c r="C3253" t="s">
        <v>6845</v>
      </c>
      <c r="D3253" t="s">
        <v>978</v>
      </c>
      <c r="P3253">
        <v>138</v>
      </c>
      <c r="Q3253" t="s">
        <v>6846</v>
      </c>
    </row>
    <row r="3254" spans="1:17" x14ac:dyDescent="0.3">
      <c r="A3254" t="s">
        <v>4708</v>
      </c>
      <c r="B3254" t="str">
        <f>"002546"</f>
        <v>002546</v>
      </c>
      <c r="C3254" t="s">
        <v>6847</v>
      </c>
      <c r="D3254" t="s">
        <v>2173</v>
      </c>
      <c r="P3254">
        <v>76</v>
      </c>
      <c r="Q3254" t="s">
        <v>6848</v>
      </c>
    </row>
    <row r="3255" spans="1:17" x14ac:dyDescent="0.3">
      <c r="A3255" t="s">
        <v>4708</v>
      </c>
      <c r="B3255" t="str">
        <f>"002547"</f>
        <v>002547</v>
      </c>
      <c r="C3255" t="s">
        <v>6849</v>
      </c>
      <c r="D3255" t="s">
        <v>313</v>
      </c>
      <c r="P3255">
        <v>306</v>
      </c>
      <c r="Q3255" t="s">
        <v>6850</v>
      </c>
    </row>
    <row r="3256" spans="1:17" x14ac:dyDescent="0.3">
      <c r="A3256" t="s">
        <v>4708</v>
      </c>
      <c r="B3256" t="str">
        <f>"002548"</f>
        <v>002548</v>
      </c>
      <c r="C3256" t="s">
        <v>6851</v>
      </c>
      <c r="D3256" t="s">
        <v>2871</v>
      </c>
      <c r="P3256">
        <v>260</v>
      </c>
      <c r="Q3256" t="s">
        <v>6852</v>
      </c>
    </row>
    <row r="3257" spans="1:17" x14ac:dyDescent="0.3">
      <c r="A3257" t="s">
        <v>4708</v>
      </c>
      <c r="B3257" t="str">
        <f>"002549"</f>
        <v>002549</v>
      </c>
      <c r="C3257" t="s">
        <v>6853</v>
      </c>
      <c r="D3257" t="s">
        <v>386</v>
      </c>
      <c r="P3257">
        <v>172</v>
      </c>
      <c r="Q3257" t="s">
        <v>6854</v>
      </c>
    </row>
    <row r="3258" spans="1:17" x14ac:dyDescent="0.3">
      <c r="A3258" t="s">
        <v>4708</v>
      </c>
      <c r="B3258" t="str">
        <f>"002550"</f>
        <v>002550</v>
      </c>
      <c r="C3258" t="s">
        <v>6855</v>
      </c>
      <c r="D3258" t="s">
        <v>143</v>
      </c>
      <c r="P3258">
        <v>172</v>
      </c>
      <c r="Q3258" t="s">
        <v>6856</v>
      </c>
    </row>
    <row r="3259" spans="1:17" x14ac:dyDescent="0.3">
      <c r="A3259" t="s">
        <v>4708</v>
      </c>
      <c r="B3259" t="str">
        <f>"002551"</f>
        <v>002551</v>
      </c>
      <c r="C3259" t="s">
        <v>6857</v>
      </c>
      <c r="D3259" t="s">
        <v>1077</v>
      </c>
      <c r="P3259">
        <v>242</v>
      </c>
      <c r="Q3259" t="s">
        <v>6858</v>
      </c>
    </row>
    <row r="3260" spans="1:17" x14ac:dyDescent="0.3">
      <c r="A3260" t="s">
        <v>4708</v>
      </c>
      <c r="B3260" t="str">
        <f>"002552"</f>
        <v>002552</v>
      </c>
      <c r="C3260" t="s">
        <v>6859</v>
      </c>
      <c r="D3260" t="s">
        <v>274</v>
      </c>
      <c r="P3260">
        <v>83</v>
      </c>
      <c r="Q3260" t="s">
        <v>6860</v>
      </c>
    </row>
    <row r="3261" spans="1:17" x14ac:dyDescent="0.3">
      <c r="A3261" t="s">
        <v>4708</v>
      </c>
      <c r="B3261" t="str">
        <f>"002553"</f>
        <v>002553</v>
      </c>
      <c r="C3261" t="s">
        <v>6861</v>
      </c>
      <c r="D3261" t="s">
        <v>348</v>
      </c>
      <c r="P3261">
        <v>140</v>
      </c>
      <c r="Q3261" t="s">
        <v>6862</v>
      </c>
    </row>
    <row r="3262" spans="1:17" x14ac:dyDescent="0.3">
      <c r="A3262" t="s">
        <v>4708</v>
      </c>
      <c r="B3262" t="str">
        <f>"002554"</f>
        <v>002554</v>
      </c>
      <c r="C3262" t="s">
        <v>6863</v>
      </c>
      <c r="D3262" t="s">
        <v>762</v>
      </c>
      <c r="P3262">
        <v>112</v>
      </c>
      <c r="Q3262" t="s">
        <v>6864</v>
      </c>
    </row>
    <row r="3263" spans="1:17" x14ac:dyDescent="0.3">
      <c r="A3263" t="s">
        <v>4708</v>
      </c>
      <c r="B3263" t="str">
        <f>"002555"</f>
        <v>002555</v>
      </c>
      <c r="C3263" t="s">
        <v>6865</v>
      </c>
      <c r="D3263" t="s">
        <v>517</v>
      </c>
      <c r="P3263">
        <v>2918</v>
      </c>
      <c r="Q3263" t="s">
        <v>6866</v>
      </c>
    </row>
    <row r="3264" spans="1:17" x14ac:dyDescent="0.3">
      <c r="A3264" t="s">
        <v>4708</v>
      </c>
      <c r="B3264" t="str">
        <f>"002556"</f>
        <v>002556</v>
      </c>
      <c r="C3264" t="s">
        <v>6867</v>
      </c>
      <c r="D3264" t="s">
        <v>6868</v>
      </c>
      <c r="P3264">
        <v>110</v>
      </c>
      <c r="Q3264" t="s">
        <v>6869</v>
      </c>
    </row>
    <row r="3265" spans="1:17" x14ac:dyDescent="0.3">
      <c r="A3265" t="s">
        <v>4708</v>
      </c>
      <c r="B3265" t="str">
        <f>"002557"</f>
        <v>002557</v>
      </c>
      <c r="C3265" t="s">
        <v>6870</v>
      </c>
      <c r="D3265" t="s">
        <v>3179</v>
      </c>
      <c r="P3265">
        <v>1823</v>
      </c>
      <c r="Q3265" t="s">
        <v>6871</v>
      </c>
    </row>
    <row r="3266" spans="1:17" x14ac:dyDescent="0.3">
      <c r="A3266" t="s">
        <v>4708</v>
      </c>
      <c r="B3266" t="str">
        <f>"002558"</f>
        <v>002558</v>
      </c>
      <c r="C3266" t="s">
        <v>6872</v>
      </c>
      <c r="D3266" t="s">
        <v>517</v>
      </c>
      <c r="P3266">
        <v>458</v>
      </c>
      <c r="Q3266" t="s">
        <v>6873</v>
      </c>
    </row>
    <row r="3267" spans="1:17" x14ac:dyDescent="0.3">
      <c r="A3267" t="s">
        <v>4708</v>
      </c>
      <c r="B3267" t="str">
        <f>"002559"</f>
        <v>002559</v>
      </c>
      <c r="C3267" t="s">
        <v>6874</v>
      </c>
      <c r="D3267" t="s">
        <v>2314</v>
      </c>
      <c r="P3267">
        <v>149</v>
      </c>
      <c r="Q3267" t="s">
        <v>6875</v>
      </c>
    </row>
    <row r="3268" spans="1:17" x14ac:dyDescent="0.3">
      <c r="A3268" t="s">
        <v>4708</v>
      </c>
      <c r="B3268" t="str">
        <f>"002560"</f>
        <v>002560</v>
      </c>
      <c r="C3268" t="s">
        <v>6876</v>
      </c>
      <c r="D3268" t="s">
        <v>1164</v>
      </c>
      <c r="P3268">
        <v>138</v>
      </c>
      <c r="Q3268" t="s">
        <v>6877</v>
      </c>
    </row>
    <row r="3269" spans="1:17" x14ac:dyDescent="0.3">
      <c r="A3269" t="s">
        <v>4708</v>
      </c>
      <c r="B3269" t="str">
        <f>"002561"</f>
        <v>002561</v>
      </c>
      <c r="C3269" t="s">
        <v>6878</v>
      </c>
      <c r="D3269" t="s">
        <v>633</v>
      </c>
      <c r="P3269">
        <v>183</v>
      </c>
      <c r="Q3269" t="s">
        <v>6879</v>
      </c>
    </row>
    <row r="3270" spans="1:17" x14ac:dyDescent="0.3">
      <c r="A3270" t="s">
        <v>4708</v>
      </c>
      <c r="B3270" t="str">
        <f>"002562"</f>
        <v>002562</v>
      </c>
      <c r="C3270" t="s">
        <v>6880</v>
      </c>
      <c r="D3270" t="s">
        <v>677</v>
      </c>
      <c r="P3270">
        <v>260</v>
      </c>
      <c r="Q3270" t="s">
        <v>6881</v>
      </c>
    </row>
    <row r="3271" spans="1:17" x14ac:dyDescent="0.3">
      <c r="A3271" t="s">
        <v>4708</v>
      </c>
      <c r="B3271" t="str">
        <f>"002563"</f>
        <v>002563</v>
      </c>
      <c r="C3271" t="s">
        <v>6882</v>
      </c>
      <c r="D3271" t="s">
        <v>255</v>
      </c>
      <c r="P3271">
        <v>904</v>
      </c>
      <c r="Q3271" t="s">
        <v>6883</v>
      </c>
    </row>
    <row r="3272" spans="1:17" x14ac:dyDescent="0.3">
      <c r="A3272" t="s">
        <v>4708</v>
      </c>
      <c r="B3272" t="str">
        <f>"002564"</f>
        <v>002564</v>
      </c>
      <c r="C3272" t="s">
        <v>6884</v>
      </c>
      <c r="D3272" t="s">
        <v>395</v>
      </c>
      <c r="P3272">
        <v>130</v>
      </c>
      <c r="Q3272" t="s">
        <v>6885</v>
      </c>
    </row>
    <row r="3273" spans="1:17" x14ac:dyDescent="0.3">
      <c r="A3273" t="s">
        <v>4708</v>
      </c>
      <c r="B3273" t="str">
        <f>"002565"</f>
        <v>002565</v>
      </c>
      <c r="C3273" t="s">
        <v>6886</v>
      </c>
      <c r="D3273" t="s">
        <v>2158</v>
      </c>
      <c r="P3273">
        <v>107</v>
      </c>
      <c r="Q3273" t="s">
        <v>6887</v>
      </c>
    </row>
    <row r="3274" spans="1:17" x14ac:dyDescent="0.3">
      <c r="A3274" t="s">
        <v>4708</v>
      </c>
      <c r="B3274" t="str">
        <f>"002566"</f>
        <v>002566</v>
      </c>
      <c r="C3274" t="s">
        <v>6888</v>
      </c>
      <c r="D3274" t="s">
        <v>188</v>
      </c>
      <c r="P3274">
        <v>134</v>
      </c>
      <c r="Q3274" t="s">
        <v>6889</v>
      </c>
    </row>
    <row r="3275" spans="1:17" x14ac:dyDescent="0.3">
      <c r="A3275" t="s">
        <v>4708</v>
      </c>
      <c r="B3275" t="str">
        <f>"002567"</f>
        <v>002567</v>
      </c>
      <c r="C3275" t="s">
        <v>6890</v>
      </c>
      <c r="D3275" t="s">
        <v>2871</v>
      </c>
      <c r="P3275">
        <v>451</v>
      </c>
      <c r="Q3275" t="s">
        <v>6891</v>
      </c>
    </row>
    <row r="3276" spans="1:17" x14ac:dyDescent="0.3">
      <c r="A3276" t="s">
        <v>4708</v>
      </c>
      <c r="B3276" t="str">
        <f>"002568"</f>
        <v>002568</v>
      </c>
      <c r="C3276" t="s">
        <v>6892</v>
      </c>
      <c r="D3276" t="s">
        <v>134</v>
      </c>
      <c r="P3276">
        <v>1074</v>
      </c>
      <c r="Q3276" t="s">
        <v>6893</v>
      </c>
    </row>
    <row r="3277" spans="1:17" x14ac:dyDescent="0.3">
      <c r="A3277" t="s">
        <v>4708</v>
      </c>
      <c r="B3277" t="str">
        <f>"002569"</f>
        <v>002569</v>
      </c>
      <c r="C3277" t="s">
        <v>6894</v>
      </c>
      <c r="D3277" t="s">
        <v>255</v>
      </c>
      <c r="P3277">
        <v>59</v>
      </c>
      <c r="Q3277" t="s">
        <v>6895</v>
      </c>
    </row>
    <row r="3278" spans="1:17" x14ac:dyDescent="0.3">
      <c r="A3278" t="s">
        <v>4708</v>
      </c>
      <c r="B3278" t="str">
        <f>"002570"</f>
        <v>002570</v>
      </c>
      <c r="C3278" t="s">
        <v>6896</v>
      </c>
      <c r="D3278" t="s">
        <v>900</v>
      </c>
      <c r="P3278">
        <v>261</v>
      </c>
      <c r="Q3278" t="s">
        <v>6897</v>
      </c>
    </row>
    <row r="3279" spans="1:17" x14ac:dyDescent="0.3">
      <c r="A3279" t="s">
        <v>4708</v>
      </c>
      <c r="B3279" t="str">
        <f>"002571"</f>
        <v>002571</v>
      </c>
      <c r="C3279" t="s">
        <v>6898</v>
      </c>
      <c r="D3279" t="s">
        <v>2438</v>
      </c>
      <c r="P3279">
        <v>92</v>
      </c>
      <c r="Q3279" t="s">
        <v>6899</v>
      </c>
    </row>
    <row r="3280" spans="1:17" x14ac:dyDescent="0.3">
      <c r="A3280" t="s">
        <v>4708</v>
      </c>
      <c r="B3280" t="str">
        <f>"002572"</f>
        <v>002572</v>
      </c>
      <c r="C3280" t="s">
        <v>6900</v>
      </c>
      <c r="D3280" t="s">
        <v>2655</v>
      </c>
      <c r="P3280">
        <v>9141</v>
      </c>
      <c r="Q3280" t="s">
        <v>6901</v>
      </c>
    </row>
    <row r="3281" spans="1:17" x14ac:dyDescent="0.3">
      <c r="A3281" t="s">
        <v>4708</v>
      </c>
      <c r="B3281" t="str">
        <f>"002573"</f>
        <v>002573</v>
      </c>
      <c r="C3281" t="s">
        <v>6902</v>
      </c>
      <c r="D3281" t="s">
        <v>663</v>
      </c>
      <c r="P3281">
        <v>613</v>
      </c>
      <c r="Q3281" t="s">
        <v>6903</v>
      </c>
    </row>
    <row r="3282" spans="1:17" x14ac:dyDescent="0.3">
      <c r="A3282" t="s">
        <v>4708</v>
      </c>
      <c r="B3282" t="str">
        <f>"002574"</f>
        <v>002574</v>
      </c>
      <c r="C3282" t="s">
        <v>6904</v>
      </c>
      <c r="D3282" t="s">
        <v>1238</v>
      </c>
      <c r="P3282">
        <v>105</v>
      </c>
      <c r="Q3282" t="s">
        <v>6905</v>
      </c>
    </row>
    <row r="3283" spans="1:17" x14ac:dyDescent="0.3">
      <c r="A3283" t="s">
        <v>4708</v>
      </c>
      <c r="B3283" t="str">
        <f>"002575"</f>
        <v>002575</v>
      </c>
      <c r="C3283" t="s">
        <v>6906</v>
      </c>
      <c r="D3283" t="s">
        <v>2916</v>
      </c>
      <c r="P3283">
        <v>57</v>
      </c>
      <c r="Q3283" t="s">
        <v>6907</v>
      </c>
    </row>
    <row r="3284" spans="1:17" x14ac:dyDescent="0.3">
      <c r="A3284" t="s">
        <v>4708</v>
      </c>
      <c r="B3284" t="str">
        <f>"002576"</f>
        <v>002576</v>
      </c>
      <c r="C3284" t="s">
        <v>6908</v>
      </c>
      <c r="D3284" t="s">
        <v>1171</v>
      </c>
      <c r="P3284">
        <v>123</v>
      </c>
      <c r="Q3284" t="s">
        <v>6909</v>
      </c>
    </row>
    <row r="3285" spans="1:17" x14ac:dyDescent="0.3">
      <c r="A3285" t="s">
        <v>4708</v>
      </c>
      <c r="B3285" t="str">
        <f>"002577"</f>
        <v>002577</v>
      </c>
      <c r="C3285" t="s">
        <v>6910</v>
      </c>
      <c r="D3285" t="s">
        <v>236</v>
      </c>
      <c r="P3285">
        <v>83</v>
      </c>
      <c r="Q3285" t="s">
        <v>6911</v>
      </c>
    </row>
    <row r="3286" spans="1:17" x14ac:dyDescent="0.3">
      <c r="A3286" t="s">
        <v>4708</v>
      </c>
      <c r="B3286" t="str">
        <f>"002578"</f>
        <v>002578</v>
      </c>
      <c r="C3286" t="s">
        <v>6912</v>
      </c>
      <c r="D3286" t="s">
        <v>504</v>
      </c>
      <c r="P3286">
        <v>91</v>
      </c>
      <c r="Q3286" t="s">
        <v>6913</v>
      </c>
    </row>
    <row r="3287" spans="1:17" x14ac:dyDescent="0.3">
      <c r="A3287" t="s">
        <v>4708</v>
      </c>
      <c r="B3287" t="str">
        <f>"002579"</f>
        <v>002579</v>
      </c>
      <c r="C3287" t="s">
        <v>6914</v>
      </c>
      <c r="D3287" t="s">
        <v>425</v>
      </c>
      <c r="P3287">
        <v>279</v>
      </c>
      <c r="Q3287" t="s">
        <v>6915</v>
      </c>
    </row>
    <row r="3288" spans="1:17" x14ac:dyDescent="0.3">
      <c r="A3288" t="s">
        <v>4708</v>
      </c>
      <c r="B3288" t="str">
        <f>"002580"</f>
        <v>002580</v>
      </c>
      <c r="C3288" t="s">
        <v>6916</v>
      </c>
      <c r="D3288" t="s">
        <v>555</v>
      </c>
      <c r="P3288">
        <v>114</v>
      </c>
      <c r="Q3288" t="s">
        <v>6917</v>
      </c>
    </row>
    <row r="3289" spans="1:17" x14ac:dyDescent="0.3">
      <c r="A3289" t="s">
        <v>4708</v>
      </c>
      <c r="B3289" t="str">
        <f>"002581"</f>
        <v>002581</v>
      </c>
      <c r="C3289" t="s">
        <v>6918</v>
      </c>
      <c r="D3289" t="s">
        <v>1379</v>
      </c>
      <c r="P3289">
        <v>228</v>
      </c>
      <c r="Q3289" t="s">
        <v>6919</v>
      </c>
    </row>
    <row r="3290" spans="1:17" x14ac:dyDescent="0.3">
      <c r="A3290" t="s">
        <v>4708</v>
      </c>
      <c r="B3290" t="str">
        <f>"002582"</f>
        <v>002582</v>
      </c>
      <c r="C3290" t="s">
        <v>6920</v>
      </c>
      <c r="D3290" t="s">
        <v>3179</v>
      </c>
      <c r="P3290">
        <v>439</v>
      </c>
      <c r="Q3290" t="s">
        <v>6921</v>
      </c>
    </row>
    <row r="3291" spans="1:17" x14ac:dyDescent="0.3">
      <c r="A3291" t="s">
        <v>4708</v>
      </c>
      <c r="B3291" t="str">
        <f>"002583"</f>
        <v>002583</v>
      </c>
      <c r="C3291" t="s">
        <v>6922</v>
      </c>
      <c r="D3291" t="s">
        <v>1019</v>
      </c>
      <c r="P3291">
        <v>397</v>
      </c>
      <c r="Q3291" t="s">
        <v>6923</v>
      </c>
    </row>
    <row r="3292" spans="1:17" x14ac:dyDescent="0.3">
      <c r="A3292" t="s">
        <v>4708</v>
      </c>
      <c r="B3292" t="str">
        <f>"002584"</f>
        <v>002584</v>
      </c>
      <c r="C3292" t="s">
        <v>6924</v>
      </c>
      <c r="D3292" t="s">
        <v>2401</v>
      </c>
      <c r="P3292">
        <v>119</v>
      </c>
      <c r="Q3292" t="s">
        <v>6925</v>
      </c>
    </row>
    <row r="3293" spans="1:17" x14ac:dyDescent="0.3">
      <c r="A3293" t="s">
        <v>4708</v>
      </c>
      <c r="B3293" t="str">
        <f>"002585"</f>
        <v>002585</v>
      </c>
      <c r="C3293" t="s">
        <v>6926</v>
      </c>
      <c r="D3293" t="s">
        <v>324</v>
      </c>
      <c r="P3293">
        <v>382</v>
      </c>
      <c r="Q3293" t="s">
        <v>6927</v>
      </c>
    </row>
    <row r="3294" spans="1:17" x14ac:dyDescent="0.3">
      <c r="A3294" t="s">
        <v>4708</v>
      </c>
      <c r="B3294" t="str">
        <f>"002586"</f>
        <v>002586</v>
      </c>
      <c r="C3294" t="s">
        <v>6928</v>
      </c>
      <c r="D3294" t="s">
        <v>101</v>
      </c>
      <c r="P3294">
        <v>62</v>
      </c>
      <c r="Q3294" t="s">
        <v>6929</v>
      </c>
    </row>
    <row r="3295" spans="1:17" x14ac:dyDescent="0.3">
      <c r="A3295" t="s">
        <v>4708</v>
      </c>
      <c r="B3295" t="str">
        <f>"002587"</f>
        <v>002587</v>
      </c>
      <c r="C3295" t="s">
        <v>6930</v>
      </c>
      <c r="D3295" t="s">
        <v>803</v>
      </c>
      <c r="P3295">
        <v>142</v>
      </c>
      <c r="Q3295" t="s">
        <v>6931</v>
      </c>
    </row>
    <row r="3296" spans="1:17" x14ac:dyDescent="0.3">
      <c r="A3296" t="s">
        <v>4708</v>
      </c>
      <c r="B3296" t="str">
        <f>"002588"</f>
        <v>002588</v>
      </c>
      <c r="C3296" t="s">
        <v>6932</v>
      </c>
      <c r="D3296" t="s">
        <v>5533</v>
      </c>
      <c r="P3296">
        <v>164</v>
      </c>
      <c r="Q3296" t="s">
        <v>6933</v>
      </c>
    </row>
    <row r="3297" spans="1:17" x14ac:dyDescent="0.3">
      <c r="A3297" t="s">
        <v>4708</v>
      </c>
      <c r="B3297" t="str">
        <f>"002589"</f>
        <v>002589</v>
      </c>
      <c r="C3297" t="s">
        <v>6934</v>
      </c>
      <c r="D3297" t="s">
        <v>125</v>
      </c>
      <c r="P3297">
        <v>460</v>
      </c>
      <c r="Q3297" t="s">
        <v>6935</v>
      </c>
    </row>
    <row r="3298" spans="1:17" x14ac:dyDescent="0.3">
      <c r="A3298" t="s">
        <v>4708</v>
      </c>
      <c r="B3298" t="str">
        <f>"002590"</f>
        <v>002590</v>
      </c>
      <c r="C3298" t="s">
        <v>6936</v>
      </c>
      <c r="D3298" t="s">
        <v>348</v>
      </c>
      <c r="P3298">
        <v>119</v>
      </c>
      <c r="Q3298" t="s">
        <v>6937</v>
      </c>
    </row>
    <row r="3299" spans="1:17" x14ac:dyDescent="0.3">
      <c r="A3299" t="s">
        <v>4708</v>
      </c>
      <c r="B3299" t="str">
        <f>"002591"</f>
        <v>002591</v>
      </c>
      <c r="C3299" t="s">
        <v>6938</v>
      </c>
      <c r="D3299" t="s">
        <v>207</v>
      </c>
      <c r="P3299">
        <v>113</v>
      </c>
      <c r="Q3299" t="s">
        <v>6939</v>
      </c>
    </row>
    <row r="3300" spans="1:17" x14ac:dyDescent="0.3">
      <c r="A3300" t="s">
        <v>4708</v>
      </c>
      <c r="B3300" t="str">
        <f>"002592"</f>
        <v>002592</v>
      </c>
      <c r="C3300" t="s">
        <v>6940</v>
      </c>
      <c r="D3300" t="s">
        <v>348</v>
      </c>
      <c r="P3300">
        <v>76</v>
      </c>
      <c r="Q3300" t="s">
        <v>6941</v>
      </c>
    </row>
    <row r="3301" spans="1:17" x14ac:dyDescent="0.3">
      <c r="A3301" t="s">
        <v>4708</v>
      </c>
      <c r="B3301" t="str">
        <f>"002593"</f>
        <v>002593</v>
      </c>
      <c r="C3301" t="s">
        <v>6942</v>
      </c>
      <c r="D3301" t="s">
        <v>978</v>
      </c>
      <c r="P3301">
        <v>88</v>
      </c>
      <c r="Q3301" t="s">
        <v>6943</v>
      </c>
    </row>
    <row r="3302" spans="1:17" x14ac:dyDescent="0.3">
      <c r="A3302" t="s">
        <v>4708</v>
      </c>
      <c r="B3302" t="str">
        <f>"002594"</f>
        <v>002594</v>
      </c>
      <c r="C3302" t="s">
        <v>6944</v>
      </c>
      <c r="D3302" t="s">
        <v>6945</v>
      </c>
      <c r="P3302">
        <v>5218</v>
      </c>
      <c r="Q3302" t="s">
        <v>6946</v>
      </c>
    </row>
    <row r="3303" spans="1:17" x14ac:dyDescent="0.3">
      <c r="A3303" t="s">
        <v>4708</v>
      </c>
      <c r="B3303" t="str">
        <f>"002595"</f>
        <v>002595</v>
      </c>
      <c r="C3303" t="s">
        <v>6947</v>
      </c>
      <c r="D3303" t="s">
        <v>741</v>
      </c>
      <c r="P3303">
        <v>4171</v>
      </c>
      <c r="Q3303" t="s">
        <v>6948</v>
      </c>
    </row>
    <row r="3304" spans="1:17" x14ac:dyDescent="0.3">
      <c r="A3304" t="s">
        <v>4708</v>
      </c>
      <c r="B3304" t="str">
        <f>"002596"</f>
        <v>002596</v>
      </c>
      <c r="C3304" t="s">
        <v>6949</v>
      </c>
      <c r="D3304" t="s">
        <v>3083</v>
      </c>
      <c r="P3304">
        <v>100</v>
      </c>
      <c r="Q3304" t="s">
        <v>6950</v>
      </c>
    </row>
    <row r="3305" spans="1:17" x14ac:dyDescent="0.3">
      <c r="A3305" t="s">
        <v>4708</v>
      </c>
      <c r="B3305" t="str">
        <f>"002597"</f>
        <v>002597</v>
      </c>
      <c r="C3305" t="s">
        <v>6951</v>
      </c>
      <c r="D3305" t="s">
        <v>677</v>
      </c>
      <c r="P3305">
        <v>1878</v>
      </c>
      <c r="Q3305" t="s">
        <v>6952</v>
      </c>
    </row>
    <row r="3306" spans="1:17" x14ac:dyDescent="0.3">
      <c r="A3306" t="s">
        <v>4708</v>
      </c>
      <c r="B3306" t="str">
        <f>"002598"</f>
        <v>002598</v>
      </c>
      <c r="C3306" t="s">
        <v>6953</v>
      </c>
      <c r="D3306" t="s">
        <v>560</v>
      </c>
      <c r="P3306">
        <v>88</v>
      </c>
      <c r="Q3306" t="s">
        <v>6954</v>
      </c>
    </row>
    <row r="3307" spans="1:17" x14ac:dyDescent="0.3">
      <c r="A3307" t="s">
        <v>4708</v>
      </c>
      <c r="B3307" t="str">
        <f>"002599"</f>
        <v>002599</v>
      </c>
      <c r="C3307" t="s">
        <v>6955</v>
      </c>
      <c r="D3307" t="s">
        <v>1692</v>
      </c>
      <c r="P3307">
        <v>87</v>
      </c>
      <c r="Q3307" t="s">
        <v>6956</v>
      </c>
    </row>
    <row r="3308" spans="1:17" x14ac:dyDescent="0.3">
      <c r="A3308" t="s">
        <v>4708</v>
      </c>
      <c r="B3308" t="str">
        <f>"002600"</f>
        <v>002600</v>
      </c>
      <c r="C3308" t="s">
        <v>6957</v>
      </c>
      <c r="D3308" t="s">
        <v>313</v>
      </c>
      <c r="P3308">
        <v>877</v>
      </c>
      <c r="Q3308" t="s">
        <v>6958</v>
      </c>
    </row>
    <row r="3309" spans="1:17" x14ac:dyDescent="0.3">
      <c r="A3309" t="s">
        <v>4708</v>
      </c>
      <c r="B3309" t="str">
        <f>"002601"</f>
        <v>002601</v>
      </c>
      <c r="C3309" t="s">
        <v>6959</v>
      </c>
      <c r="D3309" t="s">
        <v>1474</v>
      </c>
      <c r="P3309">
        <v>1262</v>
      </c>
      <c r="Q3309" t="s">
        <v>6960</v>
      </c>
    </row>
    <row r="3310" spans="1:17" x14ac:dyDescent="0.3">
      <c r="A3310" t="s">
        <v>4708</v>
      </c>
      <c r="B3310" t="str">
        <f>"002602"</f>
        <v>002602</v>
      </c>
      <c r="C3310" t="s">
        <v>6961</v>
      </c>
      <c r="D3310" t="s">
        <v>517</v>
      </c>
      <c r="P3310">
        <v>718</v>
      </c>
      <c r="Q3310" t="s">
        <v>6962</v>
      </c>
    </row>
    <row r="3311" spans="1:17" x14ac:dyDescent="0.3">
      <c r="A3311" t="s">
        <v>4708</v>
      </c>
      <c r="B3311" t="str">
        <f>"002603"</f>
        <v>002603</v>
      </c>
      <c r="C3311" t="s">
        <v>6963</v>
      </c>
      <c r="D3311" t="s">
        <v>188</v>
      </c>
      <c r="P3311">
        <v>833</v>
      </c>
      <c r="Q3311" t="s">
        <v>6964</v>
      </c>
    </row>
    <row r="3312" spans="1:17" x14ac:dyDescent="0.3">
      <c r="A3312" t="s">
        <v>4708</v>
      </c>
      <c r="B3312" t="str">
        <f>"002604"</f>
        <v>002604</v>
      </c>
      <c r="C3312" t="s">
        <v>6965</v>
      </c>
      <c r="P3312">
        <v>49</v>
      </c>
      <c r="Q3312" t="s">
        <v>6966</v>
      </c>
    </row>
    <row r="3313" spans="1:17" x14ac:dyDescent="0.3">
      <c r="A3313" t="s">
        <v>4708</v>
      </c>
      <c r="B3313" t="str">
        <f>"002605"</f>
        <v>002605</v>
      </c>
      <c r="C3313" t="s">
        <v>6967</v>
      </c>
      <c r="D3313" t="s">
        <v>517</v>
      </c>
      <c r="P3313">
        <v>432</v>
      </c>
      <c r="Q3313" t="s">
        <v>6968</v>
      </c>
    </row>
    <row r="3314" spans="1:17" x14ac:dyDescent="0.3">
      <c r="A3314" t="s">
        <v>4708</v>
      </c>
      <c r="B3314" t="str">
        <f>"002606"</f>
        <v>002606</v>
      </c>
      <c r="C3314" t="s">
        <v>6969</v>
      </c>
      <c r="D3314" t="s">
        <v>1164</v>
      </c>
      <c r="P3314">
        <v>160</v>
      </c>
      <c r="Q3314" t="s">
        <v>6970</v>
      </c>
    </row>
    <row r="3315" spans="1:17" x14ac:dyDescent="0.3">
      <c r="A3315" t="s">
        <v>4708</v>
      </c>
      <c r="B3315" t="str">
        <f>"002607"</f>
        <v>002607</v>
      </c>
      <c r="C3315" t="s">
        <v>6971</v>
      </c>
      <c r="D3315" t="s">
        <v>1336</v>
      </c>
      <c r="P3315">
        <v>1791</v>
      </c>
      <c r="Q3315" t="s">
        <v>6972</v>
      </c>
    </row>
    <row r="3316" spans="1:17" x14ac:dyDescent="0.3">
      <c r="A3316" t="s">
        <v>4708</v>
      </c>
      <c r="B3316" t="str">
        <f>"002608"</f>
        <v>002608</v>
      </c>
      <c r="C3316" t="s">
        <v>6973</v>
      </c>
      <c r="D3316" t="s">
        <v>41</v>
      </c>
      <c r="P3316">
        <v>138</v>
      </c>
      <c r="Q3316" t="s">
        <v>6974</v>
      </c>
    </row>
    <row r="3317" spans="1:17" x14ac:dyDescent="0.3">
      <c r="A3317" t="s">
        <v>4708</v>
      </c>
      <c r="B3317" t="str">
        <f>"002609"</f>
        <v>002609</v>
      </c>
      <c r="C3317" t="s">
        <v>6975</v>
      </c>
      <c r="D3317" t="s">
        <v>316</v>
      </c>
      <c r="P3317">
        <v>212</v>
      </c>
      <c r="Q3317" t="s">
        <v>6976</v>
      </c>
    </row>
    <row r="3318" spans="1:17" x14ac:dyDescent="0.3">
      <c r="A3318" t="s">
        <v>4708</v>
      </c>
      <c r="B3318" t="str">
        <f>"002610"</f>
        <v>002610</v>
      </c>
      <c r="C3318" t="s">
        <v>6977</v>
      </c>
      <c r="D3318" t="s">
        <v>478</v>
      </c>
      <c r="P3318">
        <v>301</v>
      </c>
      <c r="Q3318" t="s">
        <v>6978</v>
      </c>
    </row>
    <row r="3319" spans="1:17" x14ac:dyDescent="0.3">
      <c r="A3319" t="s">
        <v>4708</v>
      </c>
      <c r="B3319" t="str">
        <f>"002611"</f>
        <v>002611</v>
      </c>
      <c r="C3319" t="s">
        <v>6979</v>
      </c>
      <c r="D3319" t="s">
        <v>3400</v>
      </c>
      <c r="P3319">
        <v>208</v>
      </c>
      <c r="Q3319" t="s">
        <v>6980</v>
      </c>
    </row>
    <row r="3320" spans="1:17" x14ac:dyDescent="0.3">
      <c r="A3320" t="s">
        <v>4708</v>
      </c>
      <c r="B3320" t="str">
        <f>"002612"</f>
        <v>002612</v>
      </c>
      <c r="C3320" t="s">
        <v>6981</v>
      </c>
      <c r="D3320" t="s">
        <v>255</v>
      </c>
      <c r="P3320">
        <v>370</v>
      </c>
      <c r="Q3320" t="s">
        <v>6982</v>
      </c>
    </row>
    <row r="3321" spans="1:17" x14ac:dyDescent="0.3">
      <c r="A3321" t="s">
        <v>4708</v>
      </c>
      <c r="B3321" t="str">
        <f>"002613"</f>
        <v>002613</v>
      </c>
      <c r="C3321" t="s">
        <v>6983</v>
      </c>
      <c r="D3321" t="s">
        <v>666</v>
      </c>
      <c r="P3321">
        <v>90</v>
      </c>
      <c r="Q3321" t="s">
        <v>6984</v>
      </c>
    </row>
    <row r="3322" spans="1:17" x14ac:dyDescent="0.3">
      <c r="A3322" t="s">
        <v>4708</v>
      </c>
      <c r="B3322" t="str">
        <f>"002614"</f>
        <v>002614</v>
      </c>
      <c r="C3322" t="s">
        <v>6985</v>
      </c>
      <c r="D3322" t="s">
        <v>3027</v>
      </c>
      <c r="P3322">
        <v>525</v>
      </c>
      <c r="Q3322" t="s">
        <v>6986</v>
      </c>
    </row>
    <row r="3323" spans="1:17" x14ac:dyDescent="0.3">
      <c r="A3323" t="s">
        <v>4708</v>
      </c>
      <c r="B3323" t="str">
        <f>"002615"</f>
        <v>002615</v>
      </c>
      <c r="C3323" t="s">
        <v>6987</v>
      </c>
      <c r="D3323" t="s">
        <v>2438</v>
      </c>
      <c r="P3323">
        <v>178</v>
      </c>
      <c r="Q3323" t="s">
        <v>6988</v>
      </c>
    </row>
    <row r="3324" spans="1:17" x14ac:dyDescent="0.3">
      <c r="A3324" t="s">
        <v>4708</v>
      </c>
      <c r="B3324" t="str">
        <f>"002616"</f>
        <v>002616</v>
      </c>
      <c r="C3324" t="s">
        <v>6989</v>
      </c>
      <c r="D3324" t="s">
        <v>6990</v>
      </c>
      <c r="P3324">
        <v>202</v>
      </c>
      <c r="Q3324" t="s">
        <v>6991</v>
      </c>
    </row>
    <row r="3325" spans="1:17" x14ac:dyDescent="0.3">
      <c r="A3325" t="s">
        <v>4708</v>
      </c>
      <c r="B3325" t="str">
        <f>"002617"</f>
        <v>002617</v>
      </c>
      <c r="C3325" t="s">
        <v>6992</v>
      </c>
      <c r="D3325" t="s">
        <v>86</v>
      </c>
      <c r="P3325">
        <v>321</v>
      </c>
      <c r="Q3325" t="s">
        <v>6993</v>
      </c>
    </row>
    <row r="3326" spans="1:17" x14ac:dyDescent="0.3">
      <c r="A3326" t="s">
        <v>4708</v>
      </c>
      <c r="B3326" t="str">
        <f>"002618"</f>
        <v>002618</v>
      </c>
      <c r="C3326" t="s">
        <v>6994</v>
      </c>
      <c r="D3326" t="s">
        <v>425</v>
      </c>
      <c r="P3326">
        <v>135</v>
      </c>
      <c r="Q3326" t="s">
        <v>6995</v>
      </c>
    </row>
    <row r="3327" spans="1:17" x14ac:dyDescent="0.3">
      <c r="A3327" t="s">
        <v>4708</v>
      </c>
      <c r="B3327" t="str">
        <f>"002619"</f>
        <v>002619</v>
      </c>
      <c r="C3327" t="s">
        <v>6996</v>
      </c>
      <c r="D3327" t="s">
        <v>517</v>
      </c>
      <c r="P3327">
        <v>124</v>
      </c>
      <c r="Q3327" t="s">
        <v>6997</v>
      </c>
    </row>
    <row r="3328" spans="1:17" x14ac:dyDescent="0.3">
      <c r="A3328" t="s">
        <v>4708</v>
      </c>
      <c r="B3328" t="str">
        <f>"002620"</f>
        <v>002620</v>
      </c>
      <c r="C3328" t="s">
        <v>6998</v>
      </c>
      <c r="D3328" t="s">
        <v>450</v>
      </c>
      <c r="P3328">
        <v>90</v>
      </c>
      <c r="Q3328" t="s">
        <v>6999</v>
      </c>
    </row>
    <row r="3329" spans="1:17" x14ac:dyDescent="0.3">
      <c r="A3329" t="s">
        <v>4708</v>
      </c>
      <c r="B3329" t="str">
        <f>"002621"</f>
        <v>002621</v>
      </c>
      <c r="C3329" t="s">
        <v>7000</v>
      </c>
      <c r="D3329" t="s">
        <v>1336</v>
      </c>
      <c r="P3329">
        <v>143</v>
      </c>
      <c r="Q3329" t="s">
        <v>7001</v>
      </c>
    </row>
    <row r="3330" spans="1:17" x14ac:dyDescent="0.3">
      <c r="A3330" t="s">
        <v>4708</v>
      </c>
      <c r="B3330" t="str">
        <f>"002622"</f>
        <v>002622</v>
      </c>
      <c r="C3330" t="s">
        <v>7002</v>
      </c>
      <c r="D3330" t="s">
        <v>210</v>
      </c>
      <c r="P3330">
        <v>120</v>
      </c>
      <c r="Q3330" t="s">
        <v>7003</v>
      </c>
    </row>
    <row r="3331" spans="1:17" x14ac:dyDescent="0.3">
      <c r="A3331" t="s">
        <v>4708</v>
      </c>
      <c r="B3331" t="str">
        <f>"002623"</f>
        <v>002623</v>
      </c>
      <c r="C3331" t="s">
        <v>7004</v>
      </c>
      <c r="D3331" t="s">
        <v>478</v>
      </c>
      <c r="P3331">
        <v>172</v>
      </c>
      <c r="Q3331" t="s">
        <v>7005</v>
      </c>
    </row>
    <row r="3332" spans="1:17" x14ac:dyDescent="0.3">
      <c r="A3332" t="s">
        <v>4708</v>
      </c>
      <c r="B3332" t="str">
        <f>"002624"</f>
        <v>002624</v>
      </c>
      <c r="C3332" t="s">
        <v>7006</v>
      </c>
      <c r="D3332" t="s">
        <v>517</v>
      </c>
      <c r="P3332">
        <v>2399</v>
      </c>
      <c r="Q3332" t="s">
        <v>7007</v>
      </c>
    </row>
    <row r="3333" spans="1:17" x14ac:dyDescent="0.3">
      <c r="A3333" t="s">
        <v>4708</v>
      </c>
      <c r="B3333" t="str">
        <f>"002625"</f>
        <v>002625</v>
      </c>
      <c r="C3333" t="s">
        <v>7008</v>
      </c>
      <c r="D3333" t="s">
        <v>98</v>
      </c>
      <c r="P3333">
        <v>259</v>
      </c>
      <c r="Q3333" t="s">
        <v>7009</v>
      </c>
    </row>
    <row r="3334" spans="1:17" x14ac:dyDescent="0.3">
      <c r="A3334" t="s">
        <v>4708</v>
      </c>
      <c r="B3334" t="str">
        <f>"002626"</f>
        <v>002626</v>
      </c>
      <c r="C3334" t="s">
        <v>7010</v>
      </c>
      <c r="D3334" t="s">
        <v>838</v>
      </c>
      <c r="P3334">
        <v>1113</v>
      </c>
      <c r="Q3334" t="s">
        <v>7011</v>
      </c>
    </row>
    <row r="3335" spans="1:17" x14ac:dyDescent="0.3">
      <c r="A3335" t="s">
        <v>4708</v>
      </c>
      <c r="B3335" t="str">
        <f>"002627"</f>
        <v>002627</v>
      </c>
      <c r="C3335" t="s">
        <v>7012</v>
      </c>
      <c r="D3335" t="s">
        <v>1133</v>
      </c>
      <c r="P3335">
        <v>99</v>
      </c>
      <c r="Q3335" t="s">
        <v>7013</v>
      </c>
    </row>
    <row r="3336" spans="1:17" x14ac:dyDescent="0.3">
      <c r="A3336" t="s">
        <v>4708</v>
      </c>
      <c r="B3336" t="str">
        <f>"002628"</f>
        <v>002628</v>
      </c>
      <c r="C3336" t="s">
        <v>7014</v>
      </c>
      <c r="D3336" t="s">
        <v>101</v>
      </c>
      <c r="P3336">
        <v>91</v>
      </c>
      <c r="Q3336" t="s">
        <v>7015</v>
      </c>
    </row>
    <row r="3337" spans="1:17" x14ac:dyDescent="0.3">
      <c r="A3337" t="s">
        <v>4708</v>
      </c>
      <c r="B3337" t="str">
        <f>"002629"</f>
        <v>002629</v>
      </c>
      <c r="C3337" t="s">
        <v>7016</v>
      </c>
      <c r="D3337" t="s">
        <v>1758</v>
      </c>
      <c r="P3337">
        <v>60</v>
      </c>
      <c r="Q3337" t="s">
        <v>7017</v>
      </c>
    </row>
    <row r="3338" spans="1:17" x14ac:dyDescent="0.3">
      <c r="A3338" t="s">
        <v>4708</v>
      </c>
      <c r="B3338" t="str">
        <f>"002630"</f>
        <v>002630</v>
      </c>
      <c r="C3338" t="s">
        <v>7018</v>
      </c>
      <c r="D3338" t="s">
        <v>470</v>
      </c>
      <c r="P3338">
        <v>109</v>
      </c>
      <c r="Q3338" t="s">
        <v>7019</v>
      </c>
    </row>
    <row r="3339" spans="1:17" x14ac:dyDescent="0.3">
      <c r="A3339" t="s">
        <v>4708</v>
      </c>
      <c r="B3339" t="str">
        <f>"002631"</f>
        <v>002631</v>
      </c>
      <c r="C3339" t="s">
        <v>7020</v>
      </c>
      <c r="D3339" t="s">
        <v>2655</v>
      </c>
      <c r="P3339">
        <v>156</v>
      </c>
      <c r="Q3339" t="s">
        <v>7021</v>
      </c>
    </row>
    <row r="3340" spans="1:17" x14ac:dyDescent="0.3">
      <c r="A3340" t="s">
        <v>4708</v>
      </c>
      <c r="B3340" t="str">
        <f>"002632"</f>
        <v>002632</v>
      </c>
      <c r="C3340" t="s">
        <v>7022</v>
      </c>
      <c r="D3340" t="s">
        <v>324</v>
      </c>
      <c r="P3340">
        <v>144</v>
      </c>
      <c r="Q3340" t="s">
        <v>7023</v>
      </c>
    </row>
    <row r="3341" spans="1:17" x14ac:dyDescent="0.3">
      <c r="A3341" t="s">
        <v>4708</v>
      </c>
      <c r="B3341" t="str">
        <f>"002633"</f>
        <v>002633</v>
      </c>
      <c r="C3341" t="s">
        <v>7024</v>
      </c>
      <c r="D3341" t="s">
        <v>274</v>
      </c>
      <c r="P3341">
        <v>44</v>
      </c>
      <c r="Q3341" t="s">
        <v>7025</v>
      </c>
    </row>
    <row r="3342" spans="1:17" x14ac:dyDescent="0.3">
      <c r="A3342" t="s">
        <v>4708</v>
      </c>
      <c r="B3342" t="str">
        <f>"002634"</f>
        <v>002634</v>
      </c>
      <c r="C3342" t="s">
        <v>7026</v>
      </c>
      <c r="D3342" t="s">
        <v>330</v>
      </c>
      <c r="P3342">
        <v>88</v>
      </c>
      <c r="Q3342" t="s">
        <v>7027</v>
      </c>
    </row>
    <row r="3343" spans="1:17" x14ac:dyDescent="0.3">
      <c r="A3343" t="s">
        <v>4708</v>
      </c>
      <c r="B3343" t="str">
        <f>"002635"</f>
        <v>002635</v>
      </c>
      <c r="C3343" t="s">
        <v>7028</v>
      </c>
      <c r="D3343" t="s">
        <v>313</v>
      </c>
      <c r="P3343">
        <v>513</v>
      </c>
      <c r="Q3343" t="s">
        <v>7029</v>
      </c>
    </row>
    <row r="3344" spans="1:17" x14ac:dyDescent="0.3">
      <c r="A3344" t="s">
        <v>4708</v>
      </c>
      <c r="B3344" t="str">
        <f>"002636"</f>
        <v>002636</v>
      </c>
      <c r="C3344" t="s">
        <v>7030</v>
      </c>
      <c r="D3344" t="s">
        <v>425</v>
      </c>
      <c r="P3344">
        <v>306</v>
      </c>
      <c r="Q3344" t="s">
        <v>7031</v>
      </c>
    </row>
    <row r="3345" spans="1:17" x14ac:dyDescent="0.3">
      <c r="A3345" t="s">
        <v>4708</v>
      </c>
      <c r="B3345" t="str">
        <f>"002637"</f>
        <v>002637</v>
      </c>
      <c r="C3345" t="s">
        <v>7032</v>
      </c>
      <c r="D3345" t="s">
        <v>386</v>
      </c>
      <c r="P3345">
        <v>145</v>
      </c>
      <c r="Q3345" t="s">
        <v>7033</v>
      </c>
    </row>
    <row r="3346" spans="1:17" x14ac:dyDescent="0.3">
      <c r="A3346" t="s">
        <v>4708</v>
      </c>
      <c r="B3346" t="str">
        <f>"002638"</f>
        <v>002638</v>
      </c>
      <c r="C3346" t="s">
        <v>7034</v>
      </c>
      <c r="D3346" t="s">
        <v>1336</v>
      </c>
      <c r="P3346">
        <v>83</v>
      </c>
      <c r="Q3346" t="s">
        <v>7035</v>
      </c>
    </row>
    <row r="3347" spans="1:17" x14ac:dyDescent="0.3">
      <c r="A3347" t="s">
        <v>4708</v>
      </c>
      <c r="B3347" t="str">
        <f>"002639"</f>
        <v>002639</v>
      </c>
      <c r="C3347" t="s">
        <v>7036</v>
      </c>
      <c r="D3347" t="s">
        <v>988</v>
      </c>
      <c r="P3347">
        <v>228</v>
      </c>
      <c r="Q3347" t="s">
        <v>7037</v>
      </c>
    </row>
    <row r="3348" spans="1:17" x14ac:dyDescent="0.3">
      <c r="A3348" t="s">
        <v>4708</v>
      </c>
      <c r="B3348" t="str">
        <f>"002640"</f>
        <v>002640</v>
      </c>
      <c r="C3348" t="s">
        <v>7038</v>
      </c>
      <c r="D3348" t="s">
        <v>2016</v>
      </c>
      <c r="P3348">
        <v>263</v>
      </c>
      <c r="Q3348" t="s">
        <v>7039</v>
      </c>
    </row>
    <row r="3349" spans="1:17" x14ac:dyDescent="0.3">
      <c r="A3349" t="s">
        <v>4708</v>
      </c>
      <c r="B3349" t="str">
        <f>"002641"</f>
        <v>002641</v>
      </c>
      <c r="C3349" t="s">
        <v>7040</v>
      </c>
      <c r="D3349" t="s">
        <v>3332</v>
      </c>
      <c r="P3349">
        <v>360</v>
      </c>
      <c r="Q3349" t="s">
        <v>7041</v>
      </c>
    </row>
    <row r="3350" spans="1:17" x14ac:dyDescent="0.3">
      <c r="A3350" t="s">
        <v>4708</v>
      </c>
      <c r="B3350" t="str">
        <f>"002642"</f>
        <v>002642</v>
      </c>
      <c r="C3350" t="s">
        <v>7042</v>
      </c>
      <c r="D3350" t="s">
        <v>316</v>
      </c>
      <c r="P3350">
        <v>221</v>
      </c>
      <c r="Q3350" t="s">
        <v>7043</v>
      </c>
    </row>
    <row r="3351" spans="1:17" x14ac:dyDescent="0.3">
      <c r="A3351" t="s">
        <v>4708</v>
      </c>
      <c r="B3351" t="str">
        <f>"002643"</f>
        <v>002643</v>
      </c>
      <c r="C3351" t="s">
        <v>7044</v>
      </c>
      <c r="D3351" t="s">
        <v>2401</v>
      </c>
      <c r="P3351">
        <v>387</v>
      </c>
      <c r="Q3351" t="s">
        <v>7045</v>
      </c>
    </row>
    <row r="3352" spans="1:17" x14ac:dyDescent="0.3">
      <c r="A3352" t="s">
        <v>4708</v>
      </c>
      <c r="B3352" t="str">
        <f>"002644"</f>
        <v>002644</v>
      </c>
      <c r="C3352" t="s">
        <v>7046</v>
      </c>
      <c r="D3352" t="s">
        <v>188</v>
      </c>
      <c r="P3352">
        <v>163</v>
      </c>
      <c r="Q3352" t="s">
        <v>7047</v>
      </c>
    </row>
    <row r="3353" spans="1:17" x14ac:dyDescent="0.3">
      <c r="A3353" t="s">
        <v>4708</v>
      </c>
      <c r="B3353" t="str">
        <f>"002645"</f>
        <v>002645</v>
      </c>
      <c r="C3353" t="s">
        <v>7048</v>
      </c>
      <c r="D3353" t="s">
        <v>1070</v>
      </c>
      <c r="P3353">
        <v>204</v>
      </c>
      <c r="Q3353" t="s">
        <v>7049</v>
      </c>
    </row>
    <row r="3354" spans="1:17" x14ac:dyDescent="0.3">
      <c r="A3354" t="s">
        <v>4708</v>
      </c>
      <c r="B3354" t="str">
        <f>"002646"</f>
        <v>002646</v>
      </c>
      <c r="C3354" t="s">
        <v>7050</v>
      </c>
      <c r="D3354" t="s">
        <v>458</v>
      </c>
      <c r="P3354">
        <v>254</v>
      </c>
      <c r="Q3354" t="s">
        <v>7051</v>
      </c>
    </row>
    <row r="3355" spans="1:17" x14ac:dyDescent="0.3">
      <c r="A3355" t="s">
        <v>4708</v>
      </c>
      <c r="B3355" t="str">
        <f>"002647"</f>
        <v>002647</v>
      </c>
      <c r="C3355" t="s">
        <v>7052</v>
      </c>
      <c r="D3355" t="s">
        <v>6389</v>
      </c>
      <c r="P3355">
        <v>180</v>
      </c>
      <c r="Q3355" t="s">
        <v>7053</v>
      </c>
    </row>
    <row r="3356" spans="1:17" x14ac:dyDescent="0.3">
      <c r="A3356" t="s">
        <v>4708</v>
      </c>
      <c r="B3356" t="str">
        <f>"002648"</f>
        <v>002648</v>
      </c>
      <c r="C3356" t="s">
        <v>7054</v>
      </c>
      <c r="D3356" t="s">
        <v>386</v>
      </c>
      <c r="P3356">
        <v>526</v>
      </c>
      <c r="Q3356" t="s">
        <v>7055</v>
      </c>
    </row>
    <row r="3357" spans="1:17" x14ac:dyDescent="0.3">
      <c r="A3357" t="s">
        <v>4708</v>
      </c>
      <c r="B3357" t="str">
        <f>"002649"</f>
        <v>002649</v>
      </c>
      <c r="C3357" t="s">
        <v>7056</v>
      </c>
      <c r="D3357" t="s">
        <v>316</v>
      </c>
      <c r="P3357">
        <v>273</v>
      </c>
      <c r="Q3357" t="s">
        <v>7057</v>
      </c>
    </row>
    <row r="3358" spans="1:17" x14ac:dyDescent="0.3">
      <c r="A3358" t="s">
        <v>4708</v>
      </c>
      <c r="B3358" t="str">
        <f>"002650"</f>
        <v>002650</v>
      </c>
      <c r="C3358" t="s">
        <v>7058</v>
      </c>
      <c r="D3358" t="s">
        <v>433</v>
      </c>
      <c r="P3358">
        <v>207</v>
      </c>
      <c r="Q3358" t="s">
        <v>7059</v>
      </c>
    </row>
    <row r="3359" spans="1:17" x14ac:dyDescent="0.3">
      <c r="A3359" t="s">
        <v>4708</v>
      </c>
      <c r="B3359" t="str">
        <f>"002651"</f>
        <v>002651</v>
      </c>
      <c r="C3359" t="s">
        <v>7060</v>
      </c>
      <c r="D3359" t="s">
        <v>395</v>
      </c>
      <c r="P3359">
        <v>121</v>
      </c>
      <c r="Q3359" t="s">
        <v>7061</v>
      </c>
    </row>
    <row r="3360" spans="1:17" x14ac:dyDescent="0.3">
      <c r="A3360" t="s">
        <v>4708</v>
      </c>
      <c r="B3360" t="str">
        <f>"002652"</f>
        <v>002652</v>
      </c>
      <c r="C3360" t="s">
        <v>7062</v>
      </c>
      <c r="D3360" t="s">
        <v>722</v>
      </c>
      <c r="P3360">
        <v>58</v>
      </c>
      <c r="Q3360" t="s">
        <v>7063</v>
      </c>
    </row>
    <row r="3361" spans="1:17" x14ac:dyDescent="0.3">
      <c r="A3361" t="s">
        <v>4708</v>
      </c>
      <c r="B3361" t="str">
        <f>"002653"</f>
        <v>002653</v>
      </c>
      <c r="C3361" t="s">
        <v>7064</v>
      </c>
      <c r="D3361" t="s">
        <v>143</v>
      </c>
      <c r="P3361">
        <v>549</v>
      </c>
      <c r="Q3361" t="s">
        <v>7065</v>
      </c>
    </row>
    <row r="3362" spans="1:17" x14ac:dyDescent="0.3">
      <c r="A3362" t="s">
        <v>4708</v>
      </c>
      <c r="B3362" t="str">
        <f>"002654"</f>
        <v>002654</v>
      </c>
      <c r="C3362" t="s">
        <v>7066</v>
      </c>
      <c r="D3362" t="s">
        <v>803</v>
      </c>
      <c r="P3362">
        <v>124</v>
      </c>
      <c r="Q3362" t="s">
        <v>7067</v>
      </c>
    </row>
    <row r="3363" spans="1:17" x14ac:dyDescent="0.3">
      <c r="A3363" t="s">
        <v>4708</v>
      </c>
      <c r="B3363" t="str">
        <f>"002655"</f>
        <v>002655</v>
      </c>
      <c r="C3363" t="s">
        <v>7068</v>
      </c>
      <c r="D3363" t="s">
        <v>313</v>
      </c>
      <c r="P3363">
        <v>230</v>
      </c>
      <c r="Q3363" t="s">
        <v>7069</v>
      </c>
    </row>
    <row r="3364" spans="1:17" x14ac:dyDescent="0.3">
      <c r="A3364" t="s">
        <v>4708</v>
      </c>
      <c r="B3364" t="str">
        <f>"002656"</f>
        <v>002656</v>
      </c>
      <c r="C3364" t="s">
        <v>7070</v>
      </c>
      <c r="D3364" t="s">
        <v>255</v>
      </c>
      <c r="P3364">
        <v>62</v>
      </c>
      <c r="Q3364" t="s">
        <v>7071</v>
      </c>
    </row>
    <row r="3365" spans="1:17" x14ac:dyDescent="0.3">
      <c r="A3365" t="s">
        <v>4708</v>
      </c>
      <c r="B3365" t="str">
        <f>"002657"</f>
        <v>002657</v>
      </c>
      <c r="C3365" t="s">
        <v>7072</v>
      </c>
      <c r="D3365" t="s">
        <v>316</v>
      </c>
      <c r="P3365">
        <v>154</v>
      </c>
      <c r="Q3365" t="s">
        <v>7073</v>
      </c>
    </row>
    <row r="3366" spans="1:17" x14ac:dyDescent="0.3">
      <c r="A3366" t="s">
        <v>4708</v>
      </c>
      <c r="B3366" t="str">
        <f>"002658"</f>
        <v>002658</v>
      </c>
      <c r="C3366" t="s">
        <v>7074</v>
      </c>
      <c r="D3366" t="s">
        <v>1070</v>
      </c>
      <c r="P3366">
        <v>231</v>
      </c>
      <c r="Q3366" t="s">
        <v>7075</v>
      </c>
    </row>
    <row r="3367" spans="1:17" x14ac:dyDescent="0.3">
      <c r="A3367" t="s">
        <v>4708</v>
      </c>
      <c r="B3367" t="str">
        <f>"002659"</f>
        <v>002659</v>
      </c>
      <c r="C3367" t="s">
        <v>7076</v>
      </c>
      <c r="D3367" t="s">
        <v>1777</v>
      </c>
      <c r="P3367">
        <v>96</v>
      </c>
      <c r="Q3367" t="s">
        <v>7077</v>
      </c>
    </row>
    <row r="3368" spans="1:17" x14ac:dyDescent="0.3">
      <c r="A3368" t="s">
        <v>4708</v>
      </c>
      <c r="B3368" t="str">
        <f>"002660"</f>
        <v>002660</v>
      </c>
      <c r="C3368" t="s">
        <v>7078</v>
      </c>
      <c r="D3368" t="s">
        <v>313</v>
      </c>
      <c r="P3368">
        <v>122</v>
      </c>
      <c r="Q3368" t="s">
        <v>7079</v>
      </c>
    </row>
    <row r="3369" spans="1:17" x14ac:dyDescent="0.3">
      <c r="A3369" t="s">
        <v>4708</v>
      </c>
      <c r="B3369" t="str">
        <f>"002661"</f>
        <v>002661</v>
      </c>
      <c r="C3369" t="s">
        <v>7080</v>
      </c>
      <c r="D3369" t="s">
        <v>445</v>
      </c>
      <c r="P3369">
        <v>511</v>
      </c>
      <c r="Q3369" t="s">
        <v>7081</v>
      </c>
    </row>
    <row r="3370" spans="1:17" x14ac:dyDescent="0.3">
      <c r="A3370" t="s">
        <v>4708</v>
      </c>
      <c r="B3370" t="str">
        <f>"002662"</f>
        <v>002662</v>
      </c>
      <c r="C3370" t="s">
        <v>7082</v>
      </c>
      <c r="D3370" t="s">
        <v>191</v>
      </c>
      <c r="P3370">
        <v>140</v>
      </c>
      <c r="Q3370" t="s">
        <v>7083</v>
      </c>
    </row>
    <row r="3371" spans="1:17" x14ac:dyDescent="0.3">
      <c r="A3371" t="s">
        <v>4708</v>
      </c>
      <c r="B3371" t="str">
        <f>"002663"</f>
        <v>002663</v>
      </c>
      <c r="C3371" t="s">
        <v>7084</v>
      </c>
      <c r="D3371" t="s">
        <v>2410</v>
      </c>
      <c r="P3371">
        <v>95</v>
      </c>
      <c r="Q3371" t="s">
        <v>7085</v>
      </c>
    </row>
    <row r="3372" spans="1:17" x14ac:dyDescent="0.3">
      <c r="A3372" t="s">
        <v>4708</v>
      </c>
      <c r="B3372" t="str">
        <f>"002664"</f>
        <v>002664</v>
      </c>
      <c r="C3372" t="s">
        <v>7086</v>
      </c>
      <c r="D3372" t="s">
        <v>1415</v>
      </c>
      <c r="P3372">
        <v>232</v>
      </c>
      <c r="Q3372" t="s">
        <v>7087</v>
      </c>
    </row>
    <row r="3373" spans="1:17" x14ac:dyDescent="0.3">
      <c r="A3373" t="s">
        <v>4708</v>
      </c>
      <c r="B3373" t="str">
        <f>"002665"</f>
        <v>002665</v>
      </c>
      <c r="C3373" t="s">
        <v>7088</v>
      </c>
      <c r="D3373" t="s">
        <v>880</v>
      </c>
      <c r="P3373">
        <v>208</v>
      </c>
      <c r="Q3373" t="s">
        <v>7089</v>
      </c>
    </row>
    <row r="3374" spans="1:17" x14ac:dyDescent="0.3">
      <c r="A3374" t="s">
        <v>4708</v>
      </c>
      <c r="B3374" t="str">
        <f>"002666"</f>
        <v>002666</v>
      </c>
      <c r="C3374" t="s">
        <v>7090</v>
      </c>
      <c r="D3374" t="s">
        <v>386</v>
      </c>
      <c r="P3374">
        <v>110</v>
      </c>
      <c r="Q3374" t="s">
        <v>7091</v>
      </c>
    </row>
    <row r="3375" spans="1:17" x14ac:dyDescent="0.3">
      <c r="A3375" t="s">
        <v>4708</v>
      </c>
      <c r="B3375" t="str">
        <f>"002667"</f>
        <v>002667</v>
      </c>
      <c r="C3375" t="s">
        <v>7092</v>
      </c>
      <c r="D3375" t="s">
        <v>395</v>
      </c>
      <c r="P3375">
        <v>73</v>
      </c>
      <c r="Q3375" t="s">
        <v>7093</v>
      </c>
    </row>
    <row r="3376" spans="1:17" x14ac:dyDescent="0.3">
      <c r="A3376" t="s">
        <v>4708</v>
      </c>
      <c r="B3376" t="str">
        <f>"002668"</f>
        <v>002668</v>
      </c>
      <c r="C3376" t="s">
        <v>7094</v>
      </c>
      <c r="D3376" t="s">
        <v>754</v>
      </c>
      <c r="P3376">
        <v>204</v>
      </c>
      <c r="Q3376" t="s">
        <v>7095</v>
      </c>
    </row>
    <row r="3377" spans="1:17" x14ac:dyDescent="0.3">
      <c r="A3377" t="s">
        <v>4708</v>
      </c>
      <c r="B3377" t="str">
        <f>"002669"</f>
        <v>002669</v>
      </c>
      <c r="C3377" t="s">
        <v>7096</v>
      </c>
      <c r="D3377" t="s">
        <v>3155</v>
      </c>
      <c r="P3377">
        <v>138</v>
      </c>
      <c r="Q3377" t="s">
        <v>7097</v>
      </c>
    </row>
    <row r="3378" spans="1:17" x14ac:dyDescent="0.3">
      <c r="A3378" t="s">
        <v>4708</v>
      </c>
      <c r="B3378" t="str">
        <f>"002670"</f>
        <v>002670</v>
      </c>
      <c r="C3378" t="s">
        <v>7098</v>
      </c>
      <c r="D3378" t="s">
        <v>80</v>
      </c>
      <c r="P3378">
        <v>580</v>
      </c>
      <c r="Q3378" t="s">
        <v>7099</v>
      </c>
    </row>
    <row r="3379" spans="1:17" x14ac:dyDescent="0.3">
      <c r="A3379" t="s">
        <v>4708</v>
      </c>
      <c r="B3379" t="str">
        <f>"002671"</f>
        <v>002671</v>
      </c>
      <c r="C3379" t="s">
        <v>7100</v>
      </c>
      <c r="D3379" t="s">
        <v>3083</v>
      </c>
      <c r="P3379">
        <v>68</v>
      </c>
      <c r="Q3379" t="s">
        <v>7101</v>
      </c>
    </row>
    <row r="3380" spans="1:17" x14ac:dyDescent="0.3">
      <c r="A3380" t="s">
        <v>4708</v>
      </c>
      <c r="B3380" t="str">
        <f>"002672"</f>
        <v>002672</v>
      </c>
      <c r="C3380" t="s">
        <v>7102</v>
      </c>
      <c r="D3380" t="s">
        <v>499</v>
      </c>
      <c r="P3380">
        <v>317</v>
      </c>
      <c r="Q3380" t="s">
        <v>7103</v>
      </c>
    </row>
    <row r="3381" spans="1:17" x14ac:dyDescent="0.3">
      <c r="A3381" t="s">
        <v>4708</v>
      </c>
      <c r="B3381" t="str">
        <f>"002673"</f>
        <v>002673</v>
      </c>
      <c r="C3381" t="s">
        <v>7104</v>
      </c>
      <c r="D3381" t="s">
        <v>80</v>
      </c>
      <c r="P3381">
        <v>1135</v>
      </c>
      <c r="Q3381" t="s">
        <v>7105</v>
      </c>
    </row>
    <row r="3382" spans="1:17" x14ac:dyDescent="0.3">
      <c r="A3382" t="s">
        <v>4708</v>
      </c>
      <c r="B3382" t="str">
        <f>"002674"</f>
        <v>002674</v>
      </c>
      <c r="C3382" t="s">
        <v>7106</v>
      </c>
      <c r="D3382" t="s">
        <v>2941</v>
      </c>
      <c r="P3382">
        <v>102</v>
      </c>
      <c r="Q3382" t="s">
        <v>7107</v>
      </c>
    </row>
    <row r="3383" spans="1:17" x14ac:dyDescent="0.3">
      <c r="A3383" t="s">
        <v>4708</v>
      </c>
      <c r="B3383" t="str">
        <f>"002675"</f>
        <v>002675</v>
      </c>
      <c r="C3383" t="s">
        <v>7108</v>
      </c>
      <c r="D3383" t="s">
        <v>143</v>
      </c>
      <c r="P3383">
        <v>365</v>
      </c>
      <c r="Q3383" t="s">
        <v>7109</v>
      </c>
    </row>
    <row r="3384" spans="1:17" x14ac:dyDescent="0.3">
      <c r="A3384" t="s">
        <v>4708</v>
      </c>
      <c r="B3384" t="str">
        <f>"002676"</f>
        <v>002676</v>
      </c>
      <c r="C3384" t="s">
        <v>7110</v>
      </c>
      <c r="D3384" t="s">
        <v>1253</v>
      </c>
      <c r="P3384">
        <v>87</v>
      </c>
      <c r="Q3384" t="s">
        <v>7111</v>
      </c>
    </row>
    <row r="3385" spans="1:17" x14ac:dyDescent="0.3">
      <c r="A3385" t="s">
        <v>4708</v>
      </c>
      <c r="B3385" t="str">
        <f>"002677"</f>
        <v>002677</v>
      </c>
      <c r="C3385" t="s">
        <v>7112</v>
      </c>
      <c r="D3385" t="s">
        <v>3692</v>
      </c>
      <c r="P3385">
        <v>4536</v>
      </c>
      <c r="Q3385" t="s">
        <v>7113</v>
      </c>
    </row>
    <row r="3386" spans="1:17" x14ac:dyDescent="0.3">
      <c r="A3386" t="s">
        <v>4708</v>
      </c>
      <c r="B3386" t="str">
        <f>"002678"</f>
        <v>002678</v>
      </c>
      <c r="C3386" t="s">
        <v>7114</v>
      </c>
      <c r="D3386" t="s">
        <v>2916</v>
      </c>
      <c r="P3386">
        <v>113</v>
      </c>
      <c r="Q3386" t="s">
        <v>7115</v>
      </c>
    </row>
    <row r="3387" spans="1:17" x14ac:dyDescent="0.3">
      <c r="A3387" t="s">
        <v>4708</v>
      </c>
      <c r="B3387" t="str">
        <f>"002679"</f>
        <v>002679</v>
      </c>
      <c r="C3387" t="s">
        <v>7116</v>
      </c>
      <c r="D3387" t="s">
        <v>603</v>
      </c>
      <c r="P3387">
        <v>95</v>
      </c>
      <c r="Q3387" t="s">
        <v>7117</v>
      </c>
    </row>
    <row r="3388" spans="1:17" x14ac:dyDescent="0.3">
      <c r="A3388" t="s">
        <v>4708</v>
      </c>
      <c r="B3388" t="str">
        <f>"002680"</f>
        <v>002680</v>
      </c>
      <c r="C3388" t="s">
        <v>7118</v>
      </c>
      <c r="P3388">
        <v>221</v>
      </c>
      <c r="Q3388" t="s">
        <v>7119</v>
      </c>
    </row>
    <row r="3389" spans="1:17" x14ac:dyDescent="0.3">
      <c r="A3389" t="s">
        <v>4708</v>
      </c>
      <c r="B3389" t="str">
        <f>"002681"</f>
        <v>002681</v>
      </c>
      <c r="C3389" t="s">
        <v>7120</v>
      </c>
      <c r="D3389" t="s">
        <v>313</v>
      </c>
      <c r="P3389">
        <v>216</v>
      </c>
      <c r="Q3389" t="s">
        <v>7121</v>
      </c>
    </row>
    <row r="3390" spans="1:17" x14ac:dyDescent="0.3">
      <c r="A3390" t="s">
        <v>4708</v>
      </c>
      <c r="B3390" t="str">
        <f>"002682"</f>
        <v>002682</v>
      </c>
      <c r="C3390" t="s">
        <v>7122</v>
      </c>
      <c r="D3390" t="s">
        <v>2496</v>
      </c>
      <c r="P3390">
        <v>80</v>
      </c>
      <c r="Q3390" t="s">
        <v>7123</v>
      </c>
    </row>
    <row r="3391" spans="1:17" x14ac:dyDescent="0.3">
      <c r="A3391" t="s">
        <v>4708</v>
      </c>
      <c r="B3391" t="str">
        <f>"002683"</f>
        <v>002683</v>
      </c>
      <c r="C3391" t="s">
        <v>7124</v>
      </c>
      <c r="D3391" t="s">
        <v>2725</v>
      </c>
      <c r="P3391">
        <v>270</v>
      </c>
      <c r="Q3391" t="s">
        <v>7125</v>
      </c>
    </row>
    <row r="3392" spans="1:17" x14ac:dyDescent="0.3">
      <c r="A3392" t="s">
        <v>4708</v>
      </c>
      <c r="B3392" t="str">
        <f>"002684"</f>
        <v>002684</v>
      </c>
      <c r="C3392" t="s">
        <v>7126</v>
      </c>
      <c r="D3392" t="s">
        <v>2361</v>
      </c>
      <c r="P3392">
        <v>91</v>
      </c>
      <c r="Q3392" t="s">
        <v>7127</v>
      </c>
    </row>
    <row r="3393" spans="1:17" x14ac:dyDescent="0.3">
      <c r="A3393" t="s">
        <v>4708</v>
      </c>
      <c r="B3393" t="str">
        <f>"002685"</f>
        <v>002685</v>
      </c>
      <c r="C3393" t="s">
        <v>7128</v>
      </c>
      <c r="D3393" t="s">
        <v>2314</v>
      </c>
      <c r="P3393">
        <v>109</v>
      </c>
      <c r="Q3393" t="s">
        <v>7129</v>
      </c>
    </row>
    <row r="3394" spans="1:17" x14ac:dyDescent="0.3">
      <c r="A3394" t="s">
        <v>4708</v>
      </c>
      <c r="B3394" t="str">
        <f>"002686"</f>
        <v>002686</v>
      </c>
      <c r="C3394" t="s">
        <v>7130</v>
      </c>
      <c r="D3394" t="s">
        <v>988</v>
      </c>
      <c r="P3394">
        <v>78</v>
      </c>
      <c r="Q3394" t="s">
        <v>7131</v>
      </c>
    </row>
    <row r="3395" spans="1:17" x14ac:dyDescent="0.3">
      <c r="A3395" t="s">
        <v>4708</v>
      </c>
      <c r="B3395" t="str">
        <f>"002687"</f>
        <v>002687</v>
      </c>
      <c r="C3395" t="s">
        <v>7132</v>
      </c>
      <c r="D3395" t="s">
        <v>255</v>
      </c>
      <c r="P3395">
        <v>127</v>
      </c>
      <c r="Q3395" t="s">
        <v>7133</v>
      </c>
    </row>
    <row r="3396" spans="1:17" x14ac:dyDescent="0.3">
      <c r="A3396" t="s">
        <v>4708</v>
      </c>
      <c r="B3396" t="str">
        <f>"002688"</f>
        <v>002688</v>
      </c>
      <c r="C3396" t="s">
        <v>7134</v>
      </c>
      <c r="D3396" t="s">
        <v>453</v>
      </c>
      <c r="P3396">
        <v>167</v>
      </c>
      <c r="Q3396" t="s">
        <v>7135</v>
      </c>
    </row>
    <row r="3397" spans="1:17" x14ac:dyDescent="0.3">
      <c r="A3397" t="s">
        <v>4708</v>
      </c>
      <c r="B3397" t="str">
        <f>"002689"</f>
        <v>002689</v>
      </c>
      <c r="C3397" t="s">
        <v>7136</v>
      </c>
      <c r="D3397" t="s">
        <v>1689</v>
      </c>
      <c r="P3397">
        <v>87</v>
      </c>
      <c r="Q3397" t="s">
        <v>7137</v>
      </c>
    </row>
    <row r="3398" spans="1:17" x14ac:dyDescent="0.3">
      <c r="A3398" t="s">
        <v>4708</v>
      </c>
      <c r="B3398" t="str">
        <f>"002690"</f>
        <v>002690</v>
      </c>
      <c r="C3398" t="s">
        <v>7138</v>
      </c>
      <c r="D3398" t="s">
        <v>741</v>
      </c>
      <c r="P3398">
        <v>3632</v>
      </c>
      <c r="Q3398" t="s">
        <v>7139</v>
      </c>
    </row>
    <row r="3399" spans="1:17" x14ac:dyDescent="0.3">
      <c r="A3399" t="s">
        <v>4708</v>
      </c>
      <c r="B3399" t="str">
        <f>"002691"</f>
        <v>002691</v>
      </c>
      <c r="C3399" t="s">
        <v>7140</v>
      </c>
      <c r="D3399" t="s">
        <v>395</v>
      </c>
      <c r="P3399">
        <v>54</v>
      </c>
      <c r="Q3399" t="s">
        <v>7141</v>
      </c>
    </row>
    <row r="3400" spans="1:17" x14ac:dyDescent="0.3">
      <c r="A3400" t="s">
        <v>4708</v>
      </c>
      <c r="B3400" t="str">
        <f>"002692"</f>
        <v>002692</v>
      </c>
      <c r="C3400" t="s">
        <v>7142</v>
      </c>
      <c r="D3400" t="s">
        <v>1164</v>
      </c>
      <c r="P3400">
        <v>53</v>
      </c>
      <c r="Q3400" t="s">
        <v>7143</v>
      </c>
    </row>
    <row r="3401" spans="1:17" x14ac:dyDescent="0.3">
      <c r="A3401" t="s">
        <v>4708</v>
      </c>
      <c r="B3401" t="str">
        <f>"002693"</f>
        <v>002693</v>
      </c>
      <c r="C3401" t="s">
        <v>7144</v>
      </c>
      <c r="D3401" t="s">
        <v>1379</v>
      </c>
      <c r="P3401">
        <v>95</v>
      </c>
      <c r="Q3401" t="s">
        <v>7145</v>
      </c>
    </row>
    <row r="3402" spans="1:17" x14ac:dyDescent="0.3">
      <c r="A3402" t="s">
        <v>4708</v>
      </c>
      <c r="B3402" t="str">
        <f>"002694"</f>
        <v>002694</v>
      </c>
      <c r="C3402" t="s">
        <v>7146</v>
      </c>
      <c r="D3402" t="s">
        <v>3332</v>
      </c>
      <c r="P3402">
        <v>71</v>
      </c>
      <c r="Q3402" t="s">
        <v>7147</v>
      </c>
    </row>
    <row r="3403" spans="1:17" x14ac:dyDescent="0.3">
      <c r="A3403" t="s">
        <v>4708</v>
      </c>
      <c r="B3403" t="str">
        <f>"002695"</f>
        <v>002695</v>
      </c>
      <c r="C3403" t="s">
        <v>7148</v>
      </c>
      <c r="D3403" t="s">
        <v>2974</v>
      </c>
      <c r="P3403">
        <v>623</v>
      </c>
      <c r="Q3403" t="s">
        <v>7149</v>
      </c>
    </row>
    <row r="3404" spans="1:17" x14ac:dyDescent="0.3">
      <c r="A3404" t="s">
        <v>4708</v>
      </c>
      <c r="B3404" t="str">
        <f>"002696"</f>
        <v>002696</v>
      </c>
      <c r="C3404" t="s">
        <v>7150</v>
      </c>
      <c r="D3404" t="s">
        <v>587</v>
      </c>
      <c r="P3404">
        <v>93</v>
      </c>
      <c r="Q3404" t="s">
        <v>7151</v>
      </c>
    </row>
    <row r="3405" spans="1:17" x14ac:dyDescent="0.3">
      <c r="A3405" t="s">
        <v>4708</v>
      </c>
      <c r="B3405" t="str">
        <f>"002697"</f>
        <v>002697</v>
      </c>
      <c r="C3405" t="s">
        <v>7152</v>
      </c>
      <c r="D3405" t="s">
        <v>798</v>
      </c>
      <c r="P3405">
        <v>503</v>
      </c>
      <c r="Q3405" t="s">
        <v>7153</v>
      </c>
    </row>
    <row r="3406" spans="1:17" x14ac:dyDescent="0.3">
      <c r="A3406" t="s">
        <v>4708</v>
      </c>
      <c r="B3406" t="str">
        <f>"002698"</f>
        <v>002698</v>
      </c>
      <c r="C3406" t="s">
        <v>7154</v>
      </c>
      <c r="D3406" t="s">
        <v>2923</v>
      </c>
      <c r="P3406">
        <v>271</v>
      </c>
      <c r="Q3406" t="s">
        <v>7155</v>
      </c>
    </row>
    <row r="3407" spans="1:17" x14ac:dyDescent="0.3">
      <c r="A3407" t="s">
        <v>4708</v>
      </c>
      <c r="B3407" t="str">
        <f>"002699"</f>
        <v>002699</v>
      </c>
      <c r="C3407" t="s">
        <v>7156</v>
      </c>
      <c r="D3407" t="s">
        <v>113</v>
      </c>
      <c r="P3407">
        <v>157</v>
      </c>
      <c r="Q3407" t="s">
        <v>7157</v>
      </c>
    </row>
    <row r="3408" spans="1:17" x14ac:dyDescent="0.3">
      <c r="A3408" t="s">
        <v>4708</v>
      </c>
      <c r="B3408" t="str">
        <f>"002700"</f>
        <v>002700</v>
      </c>
      <c r="C3408" t="s">
        <v>7158</v>
      </c>
      <c r="D3408" t="s">
        <v>749</v>
      </c>
      <c r="P3408">
        <v>53</v>
      </c>
      <c r="Q3408" t="s">
        <v>7159</v>
      </c>
    </row>
    <row r="3409" spans="1:17" x14ac:dyDescent="0.3">
      <c r="A3409" t="s">
        <v>4708</v>
      </c>
      <c r="B3409" t="str">
        <f>"002701"</f>
        <v>002701</v>
      </c>
      <c r="C3409" t="s">
        <v>7160</v>
      </c>
      <c r="D3409" t="s">
        <v>2366</v>
      </c>
      <c r="P3409">
        <v>1656</v>
      </c>
      <c r="Q3409" t="s">
        <v>7161</v>
      </c>
    </row>
    <row r="3410" spans="1:17" x14ac:dyDescent="0.3">
      <c r="A3410" t="s">
        <v>4708</v>
      </c>
      <c r="B3410" t="str">
        <f>"002702"</f>
        <v>002702</v>
      </c>
      <c r="C3410" t="s">
        <v>7162</v>
      </c>
      <c r="D3410" t="s">
        <v>2850</v>
      </c>
      <c r="P3410">
        <v>186</v>
      </c>
      <c r="Q3410" t="s">
        <v>7163</v>
      </c>
    </row>
    <row r="3411" spans="1:17" x14ac:dyDescent="0.3">
      <c r="A3411" t="s">
        <v>4708</v>
      </c>
      <c r="B3411" t="str">
        <f>"002703"</f>
        <v>002703</v>
      </c>
      <c r="C3411" t="s">
        <v>7164</v>
      </c>
      <c r="D3411" t="s">
        <v>348</v>
      </c>
      <c r="P3411">
        <v>76</v>
      </c>
      <c r="Q3411" t="s">
        <v>7165</v>
      </c>
    </row>
    <row r="3412" spans="1:17" x14ac:dyDescent="0.3">
      <c r="A3412" t="s">
        <v>4708</v>
      </c>
      <c r="B3412" t="str">
        <f>"002705"</f>
        <v>002705</v>
      </c>
      <c r="C3412" t="s">
        <v>7166</v>
      </c>
      <c r="D3412" t="s">
        <v>5764</v>
      </c>
      <c r="P3412">
        <v>1093</v>
      </c>
      <c r="Q3412" t="s">
        <v>7167</v>
      </c>
    </row>
    <row r="3413" spans="1:17" x14ac:dyDescent="0.3">
      <c r="A3413" t="s">
        <v>4708</v>
      </c>
      <c r="B3413" t="str">
        <f>"002706"</f>
        <v>002706</v>
      </c>
      <c r="C3413" t="s">
        <v>7168</v>
      </c>
      <c r="D3413" t="s">
        <v>657</v>
      </c>
      <c r="P3413">
        <v>761</v>
      </c>
      <c r="Q3413" t="s">
        <v>7169</v>
      </c>
    </row>
    <row r="3414" spans="1:17" x14ac:dyDescent="0.3">
      <c r="A3414" t="s">
        <v>4708</v>
      </c>
      <c r="B3414" t="str">
        <f>"002707"</f>
        <v>002707</v>
      </c>
      <c r="C3414" t="s">
        <v>7170</v>
      </c>
      <c r="D3414" t="s">
        <v>1120</v>
      </c>
      <c r="P3414">
        <v>295</v>
      </c>
      <c r="Q3414" t="s">
        <v>7171</v>
      </c>
    </row>
    <row r="3415" spans="1:17" x14ac:dyDescent="0.3">
      <c r="A3415" t="s">
        <v>4708</v>
      </c>
      <c r="B3415" t="str">
        <f>"002708"</f>
        <v>002708</v>
      </c>
      <c r="C3415" t="s">
        <v>7172</v>
      </c>
      <c r="D3415" t="s">
        <v>348</v>
      </c>
      <c r="P3415">
        <v>91</v>
      </c>
      <c r="Q3415" t="s">
        <v>7173</v>
      </c>
    </row>
    <row r="3416" spans="1:17" x14ac:dyDescent="0.3">
      <c r="A3416" t="s">
        <v>4708</v>
      </c>
      <c r="B3416" t="str">
        <f>"002709"</f>
        <v>002709</v>
      </c>
      <c r="C3416" t="s">
        <v>7174</v>
      </c>
      <c r="D3416" t="s">
        <v>1786</v>
      </c>
      <c r="P3416">
        <v>1069</v>
      </c>
      <c r="Q3416" t="s">
        <v>7175</v>
      </c>
    </row>
    <row r="3417" spans="1:17" x14ac:dyDescent="0.3">
      <c r="A3417" t="s">
        <v>4708</v>
      </c>
      <c r="B3417" t="str">
        <f>"002711"</f>
        <v>002711</v>
      </c>
      <c r="C3417" t="s">
        <v>7176</v>
      </c>
      <c r="P3417">
        <v>74</v>
      </c>
      <c r="Q3417" t="s">
        <v>7177</v>
      </c>
    </row>
    <row r="3418" spans="1:17" x14ac:dyDescent="0.3">
      <c r="A3418" t="s">
        <v>4708</v>
      </c>
      <c r="B3418" t="str">
        <f>"002712"</f>
        <v>002712</v>
      </c>
      <c r="C3418" t="s">
        <v>7178</v>
      </c>
      <c r="D3418" t="s">
        <v>207</v>
      </c>
      <c r="P3418">
        <v>107</v>
      </c>
      <c r="Q3418" t="s">
        <v>7179</v>
      </c>
    </row>
    <row r="3419" spans="1:17" x14ac:dyDescent="0.3">
      <c r="A3419" t="s">
        <v>4708</v>
      </c>
      <c r="B3419" t="str">
        <f>"002713"</f>
        <v>002713</v>
      </c>
      <c r="C3419" t="s">
        <v>7180</v>
      </c>
      <c r="D3419" t="s">
        <v>450</v>
      </c>
      <c r="P3419">
        <v>268</v>
      </c>
      <c r="Q3419" t="s">
        <v>7181</v>
      </c>
    </row>
    <row r="3420" spans="1:17" x14ac:dyDescent="0.3">
      <c r="A3420" t="s">
        <v>4708</v>
      </c>
      <c r="B3420" t="str">
        <f>"002714"</f>
        <v>002714</v>
      </c>
      <c r="C3420" t="s">
        <v>7182</v>
      </c>
      <c r="D3420" t="s">
        <v>1896</v>
      </c>
      <c r="P3420">
        <v>4953</v>
      </c>
      <c r="Q3420" t="s">
        <v>7183</v>
      </c>
    </row>
    <row r="3421" spans="1:17" x14ac:dyDescent="0.3">
      <c r="A3421" t="s">
        <v>4708</v>
      </c>
      <c r="B3421" t="str">
        <f>"002715"</f>
        <v>002715</v>
      </c>
      <c r="C3421" t="s">
        <v>7184</v>
      </c>
      <c r="D3421" t="s">
        <v>348</v>
      </c>
      <c r="P3421">
        <v>61</v>
      </c>
      <c r="Q3421" t="s">
        <v>7185</v>
      </c>
    </row>
    <row r="3422" spans="1:17" x14ac:dyDescent="0.3">
      <c r="A3422" t="s">
        <v>4708</v>
      </c>
      <c r="B3422" t="str">
        <f>"002716"</f>
        <v>002716</v>
      </c>
      <c r="C3422" t="s">
        <v>7186</v>
      </c>
      <c r="D3422" t="s">
        <v>2074</v>
      </c>
      <c r="P3422">
        <v>129</v>
      </c>
      <c r="Q3422" t="s">
        <v>7187</v>
      </c>
    </row>
    <row r="3423" spans="1:17" x14ac:dyDescent="0.3">
      <c r="A3423" t="s">
        <v>4708</v>
      </c>
      <c r="B3423" t="str">
        <f>"002717"</f>
        <v>002717</v>
      </c>
      <c r="C3423" t="s">
        <v>7188</v>
      </c>
      <c r="D3423" t="s">
        <v>2410</v>
      </c>
      <c r="P3423">
        <v>394</v>
      </c>
      <c r="Q3423" t="s">
        <v>7189</v>
      </c>
    </row>
    <row r="3424" spans="1:17" x14ac:dyDescent="0.3">
      <c r="A3424" t="s">
        <v>4708</v>
      </c>
      <c r="B3424" t="str">
        <f>"002718"</f>
        <v>002718</v>
      </c>
      <c r="C3424" t="s">
        <v>7190</v>
      </c>
      <c r="D3424" t="s">
        <v>722</v>
      </c>
      <c r="P3424">
        <v>170</v>
      </c>
      <c r="Q3424" t="s">
        <v>7191</v>
      </c>
    </row>
    <row r="3425" spans="1:17" x14ac:dyDescent="0.3">
      <c r="A3425" t="s">
        <v>4708</v>
      </c>
      <c r="B3425" t="str">
        <f>"002719"</f>
        <v>002719</v>
      </c>
      <c r="C3425" t="s">
        <v>7192</v>
      </c>
      <c r="D3425" t="s">
        <v>900</v>
      </c>
      <c r="P3425">
        <v>97</v>
      </c>
      <c r="Q3425" t="s">
        <v>7193</v>
      </c>
    </row>
    <row r="3426" spans="1:17" x14ac:dyDescent="0.3">
      <c r="A3426" t="s">
        <v>4708</v>
      </c>
      <c r="B3426" t="str">
        <f>"002721"</f>
        <v>002721</v>
      </c>
      <c r="C3426" t="s">
        <v>7194</v>
      </c>
      <c r="D3426" t="s">
        <v>1238</v>
      </c>
      <c r="P3426">
        <v>89</v>
      </c>
      <c r="Q3426" t="s">
        <v>7195</v>
      </c>
    </row>
    <row r="3427" spans="1:17" x14ac:dyDescent="0.3">
      <c r="A3427" t="s">
        <v>4708</v>
      </c>
      <c r="B3427" t="str">
        <f>"002722"</f>
        <v>002722</v>
      </c>
      <c r="C3427" t="s">
        <v>7196</v>
      </c>
      <c r="D3427" t="s">
        <v>366</v>
      </c>
      <c r="P3427">
        <v>102</v>
      </c>
      <c r="Q3427" t="s">
        <v>7197</v>
      </c>
    </row>
    <row r="3428" spans="1:17" x14ac:dyDescent="0.3">
      <c r="A3428" t="s">
        <v>4708</v>
      </c>
      <c r="B3428" t="str">
        <f>"002723"</f>
        <v>002723</v>
      </c>
      <c r="C3428" t="s">
        <v>7198</v>
      </c>
      <c r="D3428" t="s">
        <v>598</v>
      </c>
      <c r="P3428">
        <v>92</v>
      </c>
      <c r="Q3428" t="s">
        <v>7199</v>
      </c>
    </row>
    <row r="3429" spans="1:17" x14ac:dyDescent="0.3">
      <c r="A3429" t="s">
        <v>4708</v>
      </c>
      <c r="B3429" t="str">
        <f>"002724"</f>
        <v>002724</v>
      </c>
      <c r="C3429" t="s">
        <v>7200</v>
      </c>
      <c r="D3429" t="s">
        <v>651</v>
      </c>
      <c r="P3429">
        <v>139</v>
      </c>
      <c r="Q3429" t="s">
        <v>7201</v>
      </c>
    </row>
    <row r="3430" spans="1:17" x14ac:dyDescent="0.3">
      <c r="A3430" t="s">
        <v>4708</v>
      </c>
      <c r="B3430" t="str">
        <f>"002725"</f>
        <v>002725</v>
      </c>
      <c r="C3430" t="s">
        <v>7202</v>
      </c>
      <c r="D3430" t="s">
        <v>422</v>
      </c>
      <c r="P3430">
        <v>135</v>
      </c>
      <c r="Q3430" t="s">
        <v>7203</v>
      </c>
    </row>
    <row r="3431" spans="1:17" x14ac:dyDescent="0.3">
      <c r="A3431" t="s">
        <v>4708</v>
      </c>
      <c r="B3431" t="str">
        <f>"002726"</f>
        <v>002726</v>
      </c>
      <c r="C3431" t="s">
        <v>7204</v>
      </c>
      <c r="D3431" t="s">
        <v>170</v>
      </c>
      <c r="P3431">
        <v>1021</v>
      </c>
      <c r="Q3431" t="s">
        <v>7205</v>
      </c>
    </row>
    <row r="3432" spans="1:17" x14ac:dyDescent="0.3">
      <c r="A3432" t="s">
        <v>4708</v>
      </c>
      <c r="B3432" t="str">
        <f>"002727"</f>
        <v>002727</v>
      </c>
      <c r="C3432" t="s">
        <v>7206</v>
      </c>
      <c r="D3432" t="s">
        <v>1684</v>
      </c>
      <c r="P3432">
        <v>1246</v>
      </c>
      <c r="Q3432" t="s">
        <v>7207</v>
      </c>
    </row>
    <row r="3433" spans="1:17" x14ac:dyDescent="0.3">
      <c r="A3433" t="s">
        <v>4708</v>
      </c>
      <c r="B3433" t="str">
        <f>"002728"</f>
        <v>002728</v>
      </c>
      <c r="C3433" t="s">
        <v>7208</v>
      </c>
      <c r="D3433" t="s">
        <v>188</v>
      </c>
      <c r="P3433">
        <v>286</v>
      </c>
      <c r="Q3433" t="s">
        <v>7209</v>
      </c>
    </row>
    <row r="3434" spans="1:17" x14ac:dyDescent="0.3">
      <c r="A3434" t="s">
        <v>4708</v>
      </c>
      <c r="B3434" t="str">
        <f>"002729"</f>
        <v>002729</v>
      </c>
      <c r="C3434" t="s">
        <v>7210</v>
      </c>
      <c r="D3434" t="s">
        <v>651</v>
      </c>
      <c r="P3434">
        <v>71</v>
      </c>
      <c r="Q3434" t="s">
        <v>7211</v>
      </c>
    </row>
    <row r="3435" spans="1:17" x14ac:dyDescent="0.3">
      <c r="A3435" t="s">
        <v>4708</v>
      </c>
      <c r="B3435" t="str">
        <f>"002730"</f>
        <v>002730</v>
      </c>
      <c r="C3435" t="s">
        <v>7212</v>
      </c>
      <c r="D3435" t="s">
        <v>395</v>
      </c>
      <c r="P3435">
        <v>82</v>
      </c>
      <c r="Q3435" t="s">
        <v>7213</v>
      </c>
    </row>
    <row r="3436" spans="1:17" x14ac:dyDescent="0.3">
      <c r="A3436" t="s">
        <v>4708</v>
      </c>
      <c r="B3436" t="str">
        <f>"002731"</f>
        <v>002731</v>
      </c>
      <c r="C3436" t="s">
        <v>7214</v>
      </c>
      <c r="D3436" t="s">
        <v>1238</v>
      </c>
      <c r="P3436">
        <v>81</v>
      </c>
      <c r="Q3436" t="s">
        <v>7215</v>
      </c>
    </row>
    <row r="3437" spans="1:17" x14ac:dyDescent="0.3">
      <c r="A3437" t="s">
        <v>4708</v>
      </c>
      <c r="B3437" t="str">
        <f>"002732"</f>
        <v>002732</v>
      </c>
      <c r="C3437" t="s">
        <v>7216</v>
      </c>
      <c r="D3437" t="s">
        <v>900</v>
      </c>
      <c r="P3437">
        <v>349</v>
      </c>
      <c r="Q3437" t="s">
        <v>7217</v>
      </c>
    </row>
    <row r="3438" spans="1:17" x14ac:dyDescent="0.3">
      <c r="A3438" t="s">
        <v>4708</v>
      </c>
      <c r="B3438" t="str">
        <f>"002733"</f>
        <v>002733</v>
      </c>
      <c r="C3438" t="s">
        <v>7218</v>
      </c>
      <c r="D3438" t="s">
        <v>555</v>
      </c>
      <c r="P3438">
        <v>236</v>
      </c>
      <c r="Q3438" t="s">
        <v>7219</v>
      </c>
    </row>
    <row r="3439" spans="1:17" x14ac:dyDescent="0.3">
      <c r="A3439" t="s">
        <v>4708</v>
      </c>
      <c r="B3439" t="str">
        <f>"002734"</f>
        <v>002734</v>
      </c>
      <c r="C3439" t="s">
        <v>7220</v>
      </c>
      <c r="D3439" t="s">
        <v>853</v>
      </c>
      <c r="P3439">
        <v>261</v>
      </c>
      <c r="Q3439" t="s">
        <v>7221</v>
      </c>
    </row>
    <row r="3440" spans="1:17" x14ac:dyDescent="0.3">
      <c r="A3440" t="s">
        <v>4708</v>
      </c>
      <c r="B3440" t="str">
        <f>"002735"</f>
        <v>002735</v>
      </c>
      <c r="C3440" t="s">
        <v>7222</v>
      </c>
      <c r="D3440" t="s">
        <v>485</v>
      </c>
      <c r="P3440">
        <v>71</v>
      </c>
      <c r="Q3440" t="s">
        <v>7223</v>
      </c>
    </row>
    <row r="3441" spans="1:17" x14ac:dyDescent="0.3">
      <c r="A3441" t="s">
        <v>4708</v>
      </c>
      <c r="B3441" t="str">
        <f>"002736"</f>
        <v>002736</v>
      </c>
      <c r="C3441" t="s">
        <v>7224</v>
      </c>
      <c r="D3441" t="s">
        <v>80</v>
      </c>
      <c r="P3441">
        <v>2389</v>
      </c>
      <c r="Q3441" t="s">
        <v>7225</v>
      </c>
    </row>
    <row r="3442" spans="1:17" x14ac:dyDescent="0.3">
      <c r="A3442" t="s">
        <v>4708</v>
      </c>
      <c r="B3442" t="str">
        <f>"002737"</f>
        <v>002737</v>
      </c>
      <c r="C3442" t="s">
        <v>7226</v>
      </c>
      <c r="D3442" t="s">
        <v>188</v>
      </c>
      <c r="P3442">
        <v>1117</v>
      </c>
      <c r="Q3442" t="s">
        <v>7227</v>
      </c>
    </row>
    <row r="3443" spans="1:17" x14ac:dyDescent="0.3">
      <c r="A3443" t="s">
        <v>4708</v>
      </c>
      <c r="B3443" t="str">
        <f>"002738"</f>
        <v>002738</v>
      </c>
      <c r="C3443" t="s">
        <v>7228</v>
      </c>
      <c r="D3443" t="s">
        <v>636</v>
      </c>
      <c r="P3443">
        <v>192</v>
      </c>
      <c r="Q3443" t="s">
        <v>7229</v>
      </c>
    </row>
    <row r="3444" spans="1:17" x14ac:dyDescent="0.3">
      <c r="A3444" t="s">
        <v>4708</v>
      </c>
      <c r="B3444" t="str">
        <f>"002739"</f>
        <v>002739</v>
      </c>
      <c r="C3444" t="s">
        <v>7230</v>
      </c>
      <c r="D3444" t="s">
        <v>2564</v>
      </c>
      <c r="P3444">
        <v>911</v>
      </c>
      <c r="Q3444" t="s">
        <v>7231</v>
      </c>
    </row>
    <row r="3445" spans="1:17" x14ac:dyDescent="0.3">
      <c r="A3445" t="s">
        <v>4708</v>
      </c>
      <c r="B3445" t="str">
        <f>"002740"</f>
        <v>002740</v>
      </c>
      <c r="C3445" t="s">
        <v>7232</v>
      </c>
      <c r="D3445" t="s">
        <v>1238</v>
      </c>
      <c r="P3445">
        <v>78</v>
      </c>
      <c r="Q3445" t="s">
        <v>7233</v>
      </c>
    </row>
    <row r="3446" spans="1:17" x14ac:dyDescent="0.3">
      <c r="A3446" t="s">
        <v>4708</v>
      </c>
      <c r="B3446" t="str">
        <f>"002741"</f>
        <v>002741</v>
      </c>
      <c r="C3446" t="s">
        <v>7234</v>
      </c>
      <c r="D3446" t="s">
        <v>2401</v>
      </c>
      <c r="P3446">
        <v>187</v>
      </c>
      <c r="Q3446" t="s">
        <v>7235</v>
      </c>
    </row>
    <row r="3447" spans="1:17" x14ac:dyDescent="0.3">
      <c r="A3447" t="s">
        <v>4708</v>
      </c>
      <c r="B3447" t="str">
        <f>"002742"</f>
        <v>002742</v>
      </c>
      <c r="C3447" t="s">
        <v>7236</v>
      </c>
      <c r="D3447" t="s">
        <v>3083</v>
      </c>
      <c r="P3447">
        <v>67</v>
      </c>
      <c r="Q3447" t="s">
        <v>7237</v>
      </c>
    </row>
    <row r="3448" spans="1:17" x14ac:dyDescent="0.3">
      <c r="A3448" t="s">
        <v>4708</v>
      </c>
      <c r="B3448" t="str">
        <f>"002743"</f>
        <v>002743</v>
      </c>
      <c r="C3448" t="s">
        <v>7238</v>
      </c>
      <c r="D3448" t="s">
        <v>978</v>
      </c>
      <c r="P3448">
        <v>77</v>
      </c>
      <c r="Q3448" t="s">
        <v>7239</v>
      </c>
    </row>
    <row r="3449" spans="1:17" x14ac:dyDescent="0.3">
      <c r="A3449" t="s">
        <v>4708</v>
      </c>
      <c r="B3449" t="str">
        <f>"002745"</f>
        <v>002745</v>
      </c>
      <c r="C3449" t="s">
        <v>7240</v>
      </c>
      <c r="D3449" t="s">
        <v>803</v>
      </c>
      <c r="P3449">
        <v>324</v>
      </c>
      <c r="Q3449" t="s">
        <v>7241</v>
      </c>
    </row>
    <row r="3450" spans="1:17" x14ac:dyDescent="0.3">
      <c r="A3450" t="s">
        <v>4708</v>
      </c>
      <c r="B3450" t="str">
        <f>"002746"</f>
        <v>002746</v>
      </c>
      <c r="C3450" t="s">
        <v>7242</v>
      </c>
      <c r="D3450" t="s">
        <v>6225</v>
      </c>
      <c r="P3450">
        <v>457</v>
      </c>
      <c r="Q3450" t="s">
        <v>7243</v>
      </c>
    </row>
    <row r="3451" spans="1:17" x14ac:dyDescent="0.3">
      <c r="A3451" t="s">
        <v>4708</v>
      </c>
      <c r="B3451" t="str">
        <f>"002747"</f>
        <v>002747</v>
      </c>
      <c r="C3451" t="s">
        <v>7244</v>
      </c>
      <c r="D3451" t="s">
        <v>2923</v>
      </c>
      <c r="P3451">
        <v>474</v>
      </c>
      <c r="Q3451" t="s">
        <v>7245</v>
      </c>
    </row>
    <row r="3452" spans="1:17" x14ac:dyDescent="0.3">
      <c r="A3452" t="s">
        <v>4708</v>
      </c>
      <c r="B3452" t="str">
        <f>"002748"</f>
        <v>002748</v>
      </c>
      <c r="C3452" t="s">
        <v>7246</v>
      </c>
      <c r="D3452" t="s">
        <v>175</v>
      </c>
      <c r="P3452">
        <v>77</v>
      </c>
      <c r="Q3452" t="s">
        <v>7247</v>
      </c>
    </row>
    <row r="3453" spans="1:17" x14ac:dyDescent="0.3">
      <c r="A3453" t="s">
        <v>4708</v>
      </c>
      <c r="B3453" t="str">
        <f>"002749"</f>
        <v>002749</v>
      </c>
      <c r="C3453" t="s">
        <v>7248</v>
      </c>
      <c r="D3453" t="s">
        <v>853</v>
      </c>
      <c r="P3453">
        <v>9783</v>
      </c>
      <c r="Q3453" t="s">
        <v>7249</v>
      </c>
    </row>
    <row r="3454" spans="1:17" x14ac:dyDescent="0.3">
      <c r="A3454" t="s">
        <v>4708</v>
      </c>
      <c r="B3454" t="str">
        <f>"002750"</f>
        <v>002750</v>
      </c>
      <c r="C3454" t="s">
        <v>7250</v>
      </c>
      <c r="D3454" t="s">
        <v>188</v>
      </c>
      <c r="P3454">
        <v>142</v>
      </c>
      <c r="Q3454" t="s">
        <v>7251</v>
      </c>
    </row>
    <row r="3455" spans="1:17" x14ac:dyDescent="0.3">
      <c r="A3455" t="s">
        <v>4708</v>
      </c>
      <c r="B3455" t="str">
        <f>"002751"</f>
        <v>002751</v>
      </c>
      <c r="C3455" t="s">
        <v>7252</v>
      </c>
      <c r="D3455" t="s">
        <v>1671</v>
      </c>
      <c r="P3455">
        <v>145</v>
      </c>
      <c r="Q3455" t="s">
        <v>7253</v>
      </c>
    </row>
    <row r="3456" spans="1:17" x14ac:dyDescent="0.3">
      <c r="A3456" t="s">
        <v>4708</v>
      </c>
      <c r="B3456" t="str">
        <f>"002752"</f>
        <v>002752</v>
      </c>
      <c r="C3456" t="s">
        <v>7254</v>
      </c>
      <c r="D3456" t="s">
        <v>2366</v>
      </c>
      <c r="P3456">
        <v>79</v>
      </c>
      <c r="Q3456" t="s">
        <v>7255</v>
      </c>
    </row>
    <row r="3457" spans="1:17" x14ac:dyDescent="0.3">
      <c r="A3457" t="s">
        <v>4708</v>
      </c>
      <c r="B3457" t="str">
        <f>"002753"</f>
        <v>002753</v>
      </c>
      <c r="C3457" t="s">
        <v>7256</v>
      </c>
      <c r="D3457" t="s">
        <v>3631</v>
      </c>
      <c r="P3457">
        <v>170</v>
      </c>
      <c r="Q3457" t="s">
        <v>7257</v>
      </c>
    </row>
    <row r="3458" spans="1:17" x14ac:dyDescent="0.3">
      <c r="A3458" t="s">
        <v>4708</v>
      </c>
      <c r="B3458" t="str">
        <f>"002755"</f>
        <v>002755</v>
      </c>
      <c r="C3458" t="s">
        <v>7258</v>
      </c>
      <c r="D3458" t="s">
        <v>143</v>
      </c>
      <c r="P3458">
        <v>307</v>
      </c>
      <c r="Q3458" t="s">
        <v>7259</v>
      </c>
    </row>
    <row r="3459" spans="1:17" x14ac:dyDescent="0.3">
      <c r="A3459" t="s">
        <v>4708</v>
      </c>
      <c r="B3459" t="str">
        <f>"002756"</f>
        <v>002756</v>
      </c>
      <c r="C3459" t="s">
        <v>7260</v>
      </c>
      <c r="D3459" t="s">
        <v>281</v>
      </c>
      <c r="P3459">
        <v>307</v>
      </c>
      <c r="Q3459" t="s">
        <v>7261</v>
      </c>
    </row>
    <row r="3460" spans="1:17" x14ac:dyDescent="0.3">
      <c r="A3460" t="s">
        <v>4708</v>
      </c>
      <c r="B3460" t="str">
        <f>"002757"</f>
        <v>002757</v>
      </c>
      <c r="C3460" t="s">
        <v>7262</v>
      </c>
      <c r="D3460" t="s">
        <v>741</v>
      </c>
      <c r="P3460">
        <v>267</v>
      </c>
      <c r="Q3460" t="s">
        <v>7263</v>
      </c>
    </row>
    <row r="3461" spans="1:17" x14ac:dyDescent="0.3">
      <c r="A3461" t="s">
        <v>4708</v>
      </c>
      <c r="B3461" t="str">
        <f>"002758"</f>
        <v>002758</v>
      </c>
      <c r="C3461" t="s">
        <v>7264</v>
      </c>
      <c r="D3461" t="s">
        <v>125</v>
      </c>
      <c r="P3461">
        <v>180</v>
      </c>
      <c r="Q3461" t="s">
        <v>7265</v>
      </c>
    </row>
    <row r="3462" spans="1:17" x14ac:dyDescent="0.3">
      <c r="A3462" t="s">
        <v>4708</v>
      </c>
      <c r="B3462" t="str">
        <f>"002759"</f>
        <v>002759</v>
      </c>
      <c r="C3462" t="s">
        <v>7266</v>
      </c>
      <c r="D3462" t="s">
        <v>1786</v>
      </c>
      <c r="P3462">
        <v>251</v>
      </c>
      <c r="Q3462" t="s">
        <v>7267</v>
      </c>
    </row>
    <row r="3463" spans="1:17" x14ac:dyDescent="0.3">
      <c r="A3463" t="s">
        <v>4708</v>
      </c>
      <c r="B3463" t="str">
        <f>"002760"</f>
        <v>002760</v>
      </c>
      <c r="C3463" t="s">
        <v>7268</v>
      </c>
      <c r="D3463" t="s">
        <v>404</v>
      </c>
      <c r="P3463">
        <v>72</v>
      </c>
      <c r="Q3463" t="s">
        <v>7269</v>
      </c>
    </row>
    <row r="3464" spans="1:17" x14ac:dyDescent="0.3">
      <c r="A3464" t="s">
        <v>4708</v>
      </c>
      <c r="B3464" t="str">
        <f>"002761"</f>
        <v>002761</v>
      </c>
      <c r="C3464" t="s">
        <v>7270</v>
      </c>
      <c r="D3464" t="s">
        <v>398</v>
      </c>
      <c r="P3464">
        <v>195</v>
      </c>
      <c r="Q3464" t="s">
        <v>7271</v>
      </c>
    </row>
    <row r="3465" spans="1:17" x14ac:dyDescent="0.3">
      <c r="A3465" t="s">
        <v>4708</v>
      </c>
      <c r="B3465" t="str">
        <f>"002762"</f>
        <v>002762</v>
      </c>
      <c r="C3465" t="s">
        <v>7272</v>
      </c>
      <c r="D3465" t="s">
        <v>255</v>
      </c>
      <c r="P3465">
        <v>128</v>
      </c>
      <c r="Q3465" t="s">
        <v>7273</v>
      </c>
    </row>
    <row r="3466" spans="1:17" x14ac:dyDescent="0.3">
      <c r="A3466" t="s">
        <v>4708</v>
      </c>
      <c r="B3466" t="str">
        <f>"002763"</f>
        <v>002763</v>
      </c>
      <c r="C3466" t="s">
        <v>7274</v>
      </c>
      <c r="D3466" t="s">
        <v>330</v>
      </c>
      <c r="P3466">
        <v>293</v>
      </c>
      <c r="Q3466" t="s">
        <v>7275</v>
      </c>
    </row>
    <row r="3467" spans="1:17" x14ac:dyDescent="0.3">
      <c r="A3467" t="s">
        <v>4708</v>
      </c>
      <c r="B3467" t="str">
        <f>"002765"</f>
        <v>002765</v>
      </c>
      <c r="C3467" t="s">
        <v>7276</v>
      </c>
      <c r="D3467" t="s">
        <v>1117</v>
      </c>
      <c r="P3467">
        <v>118</v>
      </c>
      <c r="Q3467" t="s">
        <v>7277</v>
      </c>
    </row>
    <row r="3468" spans="1:17" x14ac:dyDescent="0.3">
      <c r="A3468" t="s">
        <v>4708</v>
      </c>
      <c r="B3468" t="str">
        <f>"002766"</f>
        <v>002766</v>
      </c>
      <c r="C3468" t="s">
        <v>7278</v>
      </c>
      <c r="D3468" t="s">
        <v>1415</v>
      </c>
      <c r="P3468">
        <v>85</v>
      </c>
      <c r="Q3468" t="s">
        <v>7279</v>
      </c>
    </row>
    <row r="3469" spans="1:17" x14ac:dyDescent="0.3">
      <c r="A3469" t="s">
        <v>4708</v>
      </c>
      <c r="B3469" t="str">
        <f>"002767"</f>
        <v>002767</v>
      </c>
      <c r="C3469" t="s">
        <v>7280</v>
      </c>
      <c r="D3469" t="s">
        <v>2557</v>
      </c>
      <c r="P3469">
        <v>73</v>
      </c>
      <c r="Q3469" t="s">
        <v>7281</v>
      </c>
    </row>
    <row r="3470" spans="1:17" x14ac:dyDescent="0.3">
      <c r="A3470" t="s">
        <v>4708</v>
      </c>
      <c r="B3470" t="str">
        <f>"002768"</f>
        <v>002768</v>
      </c>
      <c r="C3470" t="s">
        <v>7282</v>
      </c>
      <c r="D3470" t="s">
        <v>341</v>
      </c>
      <c r="P3470">
        <v>595</v>
      </c>
      <c r="Q3470" t="s">
        <v>7283</v>
      </c>
    </row>
    <row r="3471" spans="1:17" x14ac:dyDescent="0.3">
      <c r="A3471" t="s">
        <v>4708</v>
      </c>
      <c r="B3471" t="str">
        <f>"002769"</f>
        <v>002769</v>
      </c>
      <c r="C3471" t="s">
        <v>7284</v>
      </c>
      <c r="D3471" t="s">
        <v>3110</v>
      </c>
      <c r="P3471">
        <v>96</v>
      </c>
      <c r="Q3471" t="s">
        <v>7285</v>
      </c>
    </row>
    <row r="3472" spans="1:17" x14ac:dyDescent="0.3">
      <c r="A3472" t="s">
        <v>4708</v>
      </c>
      <c r="B3472" t="str">
        <f>"002770"</f>
        <v>002770</v>
      </c>
      <c r="C3472" t="s">
        <v>7286</v>
      </c>
      <c r="D3472" t="s">
        <v>900</v>
      </c>
      <c r="P3472">
        <v>163</v>
      </c>
      <c r="Q3472" t="s">
        <v>7287</v>
      </c>
    </row>
    <row r="3473" spans="1:17" x14ac:dyDescent="0.3">
      <c r="A3473" t="s">
        <v>4708</v>
      </c>
      <c r="B3473" t="str">
        <f>"002771"</f>
        <v>002771</v>
      </c>
      <c r="C3473" t="s">
        <v>7288</v>
      </c>
      <c r="D3473" t="s">
        <v>316</v>
      </c>
      <c r="P3473">
        <v>95</v>
      </c>
      <c r="Q3473" t="s">
        <v>7289</v>
      </c>
    </row>
    <row r="3474" spans="1:17" x14ac:dyDescent="0.3">
      <c r="A3474" t="s">
        <v>4708</v>
      </c>
      <c r="B3474" t="str">
        <f>"002772"</f>
        <v>002772</v>
      </c>
      <c r="C3474" t="s">
        <v>7290</v>
      </c>
      <c r="D3474" t="s">
        <v>7291</v>
      </c>
      <c r="P3474">
        <v>202</v>
      </c>
      <c r="Q3474" t="s">
        <v>7292</v>
      </c>
    </row>
    <row r="3475" spans="1:17" x14ac:dyDescent="0.3">
      <c r="A3475" t="s">
        <v>4708</v>
      </c>
      <c r="B3475" t="str">
        <f>"002773"</f>
        <v>002773</v>
      </c>
      <c r="C3475" t="s">
        <v>7293</v>
      </c>
      <c r="D3475" t="s">
        <v>143</v>
      </c>
      <c r="P3475">
        <v>5281</v>
      </c>
      <c r="Q3475" t="s">
        <v>7294</v>
      </c>
    </row>
    <row r="3476" spans="1:17" x14ac:dyDescent="0.3">
      <c r="A3476" t="s">
        <v>4708</v>
      </c>
      <c r="B3476" t="str">
        <f>"002774"</f>
        <v>002774</v>
      </c>
      <c r="C3476" t="s">
        <v>7295</v>
      </c>
      <c r="D3476" t="s">
        <v>1689</v>
      </c>
      <c r="P3476">
        <v>77</v>
      </c>
      <c r="Q3476" t="s">
        <v>7296</v>
      </c>
    </row>
    <row r="3477" spans="1:17" x14ac:dyDescent="0.3">
      <c r="A3477" t="s">
        <v>4708</v>
      </c>
      <c r="B3477" t="str">
        <f>"002775"</f>
        <v>002775</v>
      </c>
      <c r="C3477" t="s">
        <v>7297</v>
      </c>
      <c r="D3477" t="s">
        <v>2410</v>
      </c>
      <c r="P3477">
        <v>218</v>
      </c>
      <c r="Q3477" t="s">
        <v>7298</v>
      </c>
    </row>
    <row r="3478" spans="1:17" x14ac:dyDescent="0.3">
      <c r="A3478" t="s">
        <v>4708</v>
      </c>
      <c r="B3478" t="str">
        <f>"002776"</f>
        <v>002776</v>
      </c>
      <c r="C3478" t="s">
        <v>7299</v>
      </c>
      <c r="D3478" t="s">
        <v>255</v>
      </c>
      <c r="P3478">
        <v>125</v>
      </c>
      <c r="Q3478" t="s">
        <v>7300</v>
      </c>
    </row>
    <row r="3479" spans="1:17" x14ac:dyDescent="0.3">
      <c r="A3479" t="s">
        <v>4708</v>
      </c>
      <c r="B3479" t="str">
        <f>"002777"</f>
        <v>002777</v>
      </c>
      <c r="C3479" t="s">
        <v>7301</v>
      </c>
      <c r="D3479" t="s">
        <v>316</v>
      </c>
      <c r="P3479">
        <v>372</v>
      </c>
      <c r="Q3479" t="s">
        <v>7302</v>
      </c>
    </row>
    <row r="3480" spans="1:17" x14ac:dyDescent="0.3">
      <c r="A3480" t="s">
        <v>4708</v>
      </c>
      <c r="B3480" t="str">
        <f>"002778"</f>
        <v>002778</v>
      </c>
      <c r="C3480" t="s">
        <v>7303</v>
      </c>
      <c r="D3480" t="s">
        <v>1615</v>
      </c>
      <c r="P3480">
        <v>75</v>
      </c>
      <c r="Q3480" t="s">
        <v>7304</v>
      </c>
    </row>
    <row r="3481" spans="1:17" x14ac:dyDescent="0.3">
      <c r="A3481" t="s">
        <v>4708</v>
      </c>
      <c r="B3481" t="str">
        <f>"002779"</f>
        <v>002779</v>
      </c>
      <c r="C3481" t="s">
        <v>7305</v>
      </c>
      <c r="D3481" t="s">
        <v>741</v>
      </c>
      <c r="P3481">
        <v>54</v>
      </c>
      <c r="Q3481" t="s">
        <v>7306</v>
      </c>
    </row>
    <row r="3482" spans="1:17" x14ac:dyDescent="0.3">
      <c r="A3482" t="s">
        <v>4708</v>
      </c>
      <c r="B3482" t="str">
        <f>"002780"</f>
        <v>002780</v>
      </c>
      <c r="C3482" t="s">
        <v>7307</v>
      </c>
      <c r="D3482" t="s">
        <v>3002</v>
      </c>
      <c r="P3482">
        <v>85</v>
      </c>
      <c r="Q3482" t="s">
        <v>7308</v>
      </c>
    </row>
    <row r="3483" spans="1:17" x14ac:dyDescent="0.3">
      <c r="A3483" t="s">
        <v>4708</v>
      </c>
      <c r="B3483" t="str">
        <f>"002781"</f>
        <v>002781</v>
      </c>
      <c r="C3483" t="s">
        <v>7309</v>
      </c>
      <c r="D3483" t="s">
        <v>450</v>
      </c>
      <c r="P3483">
        <v>68</v>
      </c>
      <c r="Q3483" t="s">
        <v>7310</v>
      </c>
    </row>
    <row r="3484" spans="1:17" x14ac:dyDescent="0.3">
      <c r="A3484" t="s">
        <v>4708</v>
      </c>
      <c r="B3484" t="str">
        <f>"002782"</f>
        <v>002782</v>
      </c>
      <c r="C3484" t="s">
        <v>7311</v>
      </c>
      <c r="D3484" t="s">
        <v>313</v>
      </c>
      <c r="P3484">
        <v>167</v>
      </c>
      <c r="Q3484" t="s">
        <v>7312</v>
      </c>
    </row>
    <row r="3485" spans="1:17" x14ac:dyDescent="0.3">
      <c r="A3485" t="s">
        <v>4708</v>
      </c>
      <c r="B3485" t="str">
        <f>"002783"</f>
        <v>002783</v>
      </c>
      <c r="C3485" t="s">
        <v>7313</v>
      </c>
      <c r="D3485" t="s">
        <v>2725</v>
      </c>
      <c r="P3485">
        <v>112</v>
      </c>
      <c r="Q3485" t="s">
        <v>7314</v>
      </c>
    </row>
    <row r="3486" spans="1:17" x14ac:dyDescent="0.3">
      <c r="A3486" t="s">
        <v>4708</v>
      </c>
      <c r="B3486" t="str">
        <f>"002785"</f>
        <v>002785</v>
      </c>
      <c r="C3486" t="s">
        <v>7315</v>
      </c>
      <c r="D3486" t="s">
        <v>722</v>
      </c>
      <c r="P3486">
        <v>57</v>
      </c>
      <c r="Q3486" t="s">
        <v>7316</v>
      </c>
    </row>
    <row r="3487" spans="1:17" x14ac:dyDescent="0.3">
      <c r="A3487" t="s">
        <v>4708</v>
      </c>
      <c r="B3487" t="str">
        <f>"002786"</f>
        <v>002786</v>
      </c>
      <c r="C3487" t="s">
        <v>7317</v>
      </c>
      <c r="D3487" t="s">
        <v>741</v>
      </c>
      <c r="P3487">
        <v>176</v>
      </c>
      <c r="Q3487" t="s">
        <v>7318</v>
      </c>
    </row>
    <row r="3488" spans="1:17" x14ac:dyDescent="0.3">
      <c r="A3488" t="s">
        <v>4708</v>
      </c>
      <c r="B3488" t="str">
        <f>"002787"</f>
        <v>002787</v>
      </c>
      <c r="C3488" t="s">
        <v>7319</v>
      </c>
      <c r="D3488" t="s">
        <v>2366</v>
      </c>
      <c r="P3488">
        <v>102</v>
      </c>
      <c r="Q3488" t="s">
        <v>7320</v>
      </c>
    </row>
    <row r="3489" spans="1:17" x14ac:dyDescent="0.3">
      <c r="A3489" t="s">
        <v>4708</v>
      </c>
      <c r="B3489" t="str">
        <f>"002788"</f>
        <v>002788</v>
      </c>
      <c r="C3489" t="s">
        <v>7321</v>
      </c>
      <c r="D3489" t="s">
        <v>125</v>
      </c>
      <c r="P3489">
        <v>162</v>
      </c>
      <c r="Q3489" t="s">
        <v>7322</v>
      </c>
    </row>
    <row r="3490" spans="1:17" x14ac:dyDescent="0.3">
      <c r="A3490" t="s">
        <v>4708</v>
      </c>
      <c r="B3490" t="str">
        <f>"002789"</f>
        <v>002789</v>
      </c>
      <c r="C3490" t="s">
        <v>7323</v>
      </c>
      <c r="D3490" t="s">
        <v>450</v>
      </c>
      <c r="P3490">
        <v>57</v>
      </c>
      <c r="Q3490" t="s">
        <v>7324</v>
      </c>
    </row>
    <row r="3491" spans="1:17" x14ac:dyDescent="0.3">
      <c r="A3491" t="s">
        <v>4708</v>
      </c>
      <c r="B3491" t="str">
        <f>"002790"</f>
        <v>002790</v>
      </c>
      <c r="C3491" t="s">
        <v>7325</v>
      </c>
      <c r="D3491" t="s">
        <v>2897</v>
      </c>
      <c r="P3491">
        <v>138</v>
      </c>
      <c r="Q3491" t="s">
        <v>7326</v>
      </c>
    </row>
    <row r="3492" spans="1:17" x14ac:dyDescent="0.3">
      <c r="A3492" t="s">
        <v>4708</v>
      </c>
      <c r="B3492" t="str">
        <f>"002791"</f>
        <v>002791</v>
      </c>
      <c r="C3492" t="s">
        <v>7327</v>
      </c>
      <c r="D3492" t="s">
        <v>722</v>
      </c>
      <c r="P3492">
        <v>552</v>
      </c>
      <c r="Q3492" t="s">
        <v>7328</v>
      </c>
    </row>
    <row r="3493" spans="1:17" x14ac:dyDescent="0.3">
      <c r="A3493" t="s">
        <v>4708</v>
      </c>
      <c r="B3493" t="str">
        <f>"002792"</f>
        <v>002792</v>
      </c>
      <c r="C3493" t="s">
        <v>7329</v>
      </c>
      <c r="D3493" t="s">
        <v>1019</v>
      </c>
      <c r="P3493">
        <v>343</v>
      </c>
      <c r="Q3493" t="s">
        <v>7330</v>
      </c>
    </row>
    <row r="3494" spans="1:17" x14ac:dyDescent="0.3">
      <c r="A3494" t="s">
        <v>4708</v>
      </c>
      <c r="B3494" t="str">
        <f>"002793"</f>
        <v>002793</v>
      </c>
      <c r="C3494" t="s">
        <v>7331</v>
      </c>
      <c r="D3494" t="s">
        <v>143</v>
      </c>
      <c r="P3494">
        <v>213</v>
      </c>
      <c r="Q3494" t="s">
        <v>7332</v>
      </c>
    </row>
    <row r="3495" spans="1:17" x14ac:dyDescent="0.3">
      <c r="A3495" t="s">
        <v>4708</v>
      </c>
      <c r="B3495" t="str">
        <f>"002795"</f>
        <v>002795</v>
      </c>
      <c r="C3495" t="s">
        <v>7333</v>
      </c>
      <c r="D3495" t="s">
        <v>274</v>
      </c>
      <c r="P3495">
        <v>73</v>
      </c>
      <c r="Q3495" t="s">
        <v>7334</v>
      </c>
    </row>
    <row r="3496" spans="1:17" x14ac:dyDescent="0.3">
      <c r="A3496" t="s">
        <v>4708</v>
      </c>
      <c r="B3496" t="str">
        <f>"002796"</f>
        <v>002796</v>
      </c>
      <c r="C3496" t="s">
        <v>7335</v>
      </c>
      <c r="D3496" t="s">
        <v>1689</v>
      </c>
      <c r="P3496">
        <v>248</v>
      </c>
      <c r="Q3496" t="s">
        <v>7336</v>
      </c>
    </row>
    <row r="3497" spans="1:17" x14ac:dyDescent="0.3">
      <c r="A3497" t="s">
        <v>4708</v>
      </c>
      <c r="B3497" t="str">
        <f>"002797"</f>
        <v>002797</v>
      </c>
      <c r="C3497" t="s">
        <v>7337</v>
      </c>
      <c r="D3497" t="s">
        <v>80</v>
      </c>
      <c r="P3497">
        <v>838</v>
      </c>
      <c r="Q3497" t="s">
        <v>7338</v>
      </c>
    </row>
    <row r="3498" spans="1:17" x14ac:dyDescent="0.3">
      <c r="A3498" t="s">
        <v>4708</v>
      </c>
      <c r="B3498" t="str">
        <f>"002798"</f>
        <v>002798</v>
      </c>
      <c r="C3498" t="s">
        <v>7339</v>
      </c>
      <c r="D3498" t="s">
        <v>178</v>
      </c>
      <c r="P3498">
        <v>374</v>
      </c>
      <c r="Q3498" t="s">
        <v>7340</v>
      </c>
    </row>
    <row r="3499" spans="1:17" x14ac:dyDescent="0.3">
      <c r="A3499" t="s">
        <v>4708</v>
      </c>
      <c r="B3499" t="str">
        <f>"002799"</f>
        <v>002799</v>
      </c>
      <c r="C3499" t="s">
        <v>7341</v>
      </c>
      <c r="D3499" t="s">
        <v>2158</v>
      </c>
      <c r="P3499">
        <v>109</v>
      </c>
      <c r="Q3499" t="s">
        <v>7342</v>
      </c>
    </row>
    <row r="3500" spans="1:17" x14ac:dyDescent="0.3">
      <c r="A3500" t="s">
        <v>4708</v>
      </c>
      <c r="B3500" t="str">
        <f>"002800"</f>
        <v>002800</v>
      </c>
      <c r="C3500" t="s">
        <v>7343</v>
      </c>
      <c r="D3500" t="s">
        <v>2496</v>
      </c>
      <c r="P3500">
        <v>86</v>
      </c>
      <c r="Q3500" t="s">
        <v>7344</v>
      </c>
    </row>
    <row r="3501" spans="1:17" x14ac:dyDescent="0.3">
      <c r="A3501" t="s">
        <v>4708</v>
      </c>
      <c r="B3501" t="str">
        <f>"002801"</f>
        <v>002801</v>
      </c>
      <c r="C3501" t="s">
        <v>7345</v>
      </c>
      <c r="D3501" t="s">
        <v>1171</v>
      </c>
      <c r="P3501">
        <v>201</v>
      </c>
      <c r="Q3501" t="s">
        <v>7346</v>
      </c>
    </row>
    <row r="3502" spans="1:17" x14ac:dyDescent="0.3">
      <c r="A3502" t="s">
        <v>4708</v>
      </c>
      <c r="B3502" t="str">
        <f>"002802"</f>
        <v>002802</v>
      </c>
      <c r="C3502" t="s">
        <v>7347</v>
      </c>
      <c r="D3502" t="s">
        <v>386</v>
      </c>
      <c r="P3502">
        <v>102</v>
      </c>
      <c r="Q3502" t="s">
        <v>7348</v>
      </c>
    </row>
    <row r="3503" spans="1:17" x14ac:dyDescent="0.3">
      <c r="A3503" t="s">
        <v>4708</v>
      </c>
      <c r="B3503" t="str">
        <f>"002803"</f>
        <v>002803</v>
      </c>
      <c r="C3503" t="s">
        <v>7349</v>
      </c>
      <c r="D3503" t="s">
        <v>2016</v>
      </c>
      <c r="P3503">
        <v>601</v>
      </c>
      <c r="Q3503" t="s">
        <v>7350</v>
      </c>
    </row>
    <row r="3504" spans="1:17" x14ac:dyDescent="0.3">
      <c r="A3504" t="s">
        <v>4708</v>
      </c>
      <c r="B3504" t="str">
        <f>"002805"</f>
        <v>002805</v>
      </c>
      <c r="C3504" t="s">
        <v>7351</v>
      </c>
      <c r="D3504" t="s">
        <v>1233</v>
      </c>
      <c r="P3504">
        <v>113</v>
      </c>
      <c r="Q3504" t="s">
        <v>7352</v>
      </c>
    </row>
    <row r="3505" spans="1:17" x14ac:dyDescent="0.3">
      <c r="A3505" t="s">
        <v>4708</v>
      </c>
      <c r="B3505" t="str">
        <f>"002806"</f>
        <v>002806</v>
      </c>
      <c r="C3505" t="s">
        <v>7353</v>
      </c>
      <c r="D3505" t="s">
        <v>504</v>
      </c>
      <c r="P3505">
        <v>100</v>
      </c>
      <c r="Q3505" t="s">
        <v>7354</v>
      </c>
    </row>
    <row r="3506" spans="1:17" x14ac:dyDescent="0.3">
      <c r="A3506" t="s">
        <v>4708</v>
      </c>
      <c r="B3506" t="str">
        <f>"002807"</f>
        <v>002807</v>
      </c>
      <c r="C3506" t="s">
        <v>7355</v>
      </c>
      <c r="D3506" t="s">
        <v>1827</v>
      </c>
      <c r="P3506">
        <v>571</v>
      </c>
      <c r="Q3506" t="s">
        <v>7356</v>
      </c>
    </row>
    <row r="3507" spans="1:17" x14ac:dyDescent="0.3">
      <c r="A3507" t="s">
        <v>4708</v>
      </c>
      <c r="B3507" t="str">
        <f>"002808"</f>
        <v>002808</v>
      </c>
      <c r="C3507" t="s">
        <v>7357</v>
      </c>
      <c r="D3507" t="s">
        <v>164</v>
      </c>
      <c r="P3507">
        <v>73</v>
      </c>
      <c r="Q3507" t="s">
        <v>7358</v>
      </c>
    </row>
    <row r="3508" spans="1:17" x14ac:dyDescent="0.3">
      <c r="A3508" t="s">
        <v>4708</v>
      </c>
      <c r="B3508" t="str">
        <f>"002809"</f>
        <v>002809</v>
      </c>
      <c r="C3508" t="s">
        <v>7359</v>
      </c>
      <c r="D3508" t="s">
        <v>386</v>
      </c>
      <c r="P3508">
        <v>99</v>
      </c>
      <c r="Q3508" t="s">
        <v>7360</v>
      </c>
    </row>
    <row r="3509" spans="1:17" x14ac:dyDescent="0.3">
      <c r="A3509" t="s">
        <v>4708</v>
      </c>
      <c r="B3509" t="str">
        <f>"002810"</f>
        <v>002810</v>
      </c>
      <c r="C3509" t="s">
        <v>7361</v>
      </c>
      <c r="D3509" t="s">
        <v>386</v>
      </c>
      <c r="P3509">
        <v>419</v>
      </c>
      <c r="Q3509" t="s">
        <v>7362</v>
      </c>
    </row>
    <row r="3510" spans="1:17" x14ac:dyDescent="0.3">
      <c r="A3510" t="s">
        <v>4708</v>
      </c>
      <c r="B3510" t="str">
        <f>"002811"</f>
        <v>002811</v>
      </c>
      <c r="C3510" t="s">
        <v>7363</v>
      </c>
      <c r="D3510" t="s">
        <v>450</v>
      </c>
      <c r="P3510">
        <v>95</v>
      </c>
      <c r="Q3510" t="s">
        <v>7364</v>
      </c>
    </row>
    <row r="3511" spans="1:17" x14ac:dyDescent="0.3">
      <c r="A3511" t="s">
        <v>4708</v>
      </c>
      <c r="B3511" t="str">
        <f>"002812"</f>
        <v>002812</v>
      </c>
      <c r="C3511" t="s">
        <v>7365</v>
      </c>
      <c r="D3511" t="s">
        <v>1786</v>
      </c>
      <c r="P3511">
        <v>1583</v>
      </c>
      <c r="Q3511" t="s">
        <v>7366</v>
      </c>
    </row>
    <row r="3512" spans="1:17" x14ac:dyDescent="0.3">
      <c r="A3512" t="s">
        <v>4708</v>
      </c>
      <c r="B3512" t="str">
        <f>"002813"</f>
        <v>002813</v>
      </c>
      <c r="C3512" t="s">
        <v>7367</v>
      </c>
      <c r="D3512" t="s">
        <v>1415</v>
      </c>
      <c r="P3512">
        <v>113</v>
      </c>
      <c r="Q3512" t="s">
        <v>7368</v>
      </c>
    </row>
    <row r="3513" spans="1:17" x14ac:dyDescent="0.3">
      <c r="A3513" t="s">
        <v>4708</v>
      </c>
      <c r="B3513" t="str">
        <f>"002815"</f>
        <v>002815</v>
      </c>
      <c r="C3513" t="s">
        <v>7369</v>
      </c>
      <c r="D3513" t="s">
        <v>425</v>
      </c>
      <c r="P3513">
        <v>919</v>
      </c>
      <c r="Q3513" t="s">
        <v>7370</v>
      </c>
    </row>
    <row r="3514" spans="1:17" x14ac:dyDescent="0.3">
      <c r="A3514" t="s">
        <v>4708</v>
      </c>
      <c r="B3514" t="str">
        <f>"002816"</f>
        <v>002816</v>
      </c>
      <c r="C3514" t="s">
        <v>7371</v>
      </c>
      <c r="D3514" t="s">
        <v>741</v>
      </c>
      <c r="P3514">
        <v>46</v>
      </c>
      <c r="Q3514" t="s">
        <v>7372</v>
      </c>
    </row>
    <row r="3515" spans="1:17" x14ac:dyDescent="0.3">
      <c r="A3515" t="s">
        <v>4708</v>
      </c>
      <c r="B3515" t="str">
        <f>"002817"</f>
        <v>002817</v>
      </c>
      <c r="C3515" t="s">
        <v>7373</v>
      </c>
      <c r="D3515" t="s">
        <v>1077</v>
      </c>
      <c r="P3515">
        <v>126</v>
      </c>
      <c r="Q3515" t="s">
        <v>7374</v>
      </c>
    </row>
    <row r="3516" spans="1:17" x14ac:dyDescent="0.3">
      <c r="A3516" t="s">
        <v>4708</v>
      </c>
      <c r="B3516" t="str">
        <f>"002818"</f>
        <v>002818</v>
      </c>
      <c r="C3516" t="s">
        <v>7375</v>
      </c>
      <c r="D3516" t="s">
        <v>271</v>
      </c>
      <c r="P3516">
        <v>868</v>
      </c>
      <c r="Q3516" t="s">
        <v>7376</v>
      </c>
    </row>
    <row r="3517" spans="1:17" x14ac:dyDescent="0.3">
      <c r="A3517" t="s">
        <v>4708</v>
      </c>
      <c r="B3517" t="str">
        <f>"002819"</f>
        <v>002819</v>
      </c>
      <c r="C3517" t="s">
        <v>7377</v>
      </c>
      <c r="D3517" t="s">
        <v>2557</v>
      </c>
      <c r="P3517">
        <v>139</v>
      </c>
      <c r="Q3517" t="s">
        <v>7378</v>
      </c>
    </row>
    <row r="3518" spans="1:17" x14ac:dyDescent="0.3">
      <c r="A3518" t="s">
        <v>4708</v>
      </c>
      <c r="B3518" t="str">
        <f>"002820"</f>
        <v>002820</v>
      </c>
      <c r="C3518" t="s">
        <v>7379</v>
      </c>
      <c r="D3518" t="s">
        <v>2481</v>
      </c>
      <c r="P3518">
        <v>146</v>
      </c>
      <c r="Q3518" t="s">
        <v>7380</v>
      </c>
    </row>
    <row r="3519" spans="1:17" x14ac:dyDescent="0.3">
      <c r="A3519" t="s">
        <v>4708</v>
      </c>
      <c r="B3519" t="str">
        <f>"002821"</f>
        <v>002821</v>
      </c>
      <c r="C3519" t="s">
        <v>7381</v>
      </c>
      <c r="D3519" t="s">
        <v>1461</v>
      </c>
      <c r="P3519">
        <v>2412</v>
      </c>
      <c r="Q3519" t="s">
        <v>7382</v>
      </c>
    </row>
    <row r="3520" spans="1:17" x14ac:dyDescent="0.3">
      <c r="A3520" t="s">
        <v>4708</v>
      </c>
      <c r="B3520" t="str">
        <f>"002822"</f>
        <v>002822</v>
      </c>
      <c r="C3520" t="s">
        <v>7383</v>
      </c>
      <c r="D3520" t="s">
        <v>450</v>
      </c>
      <c r="P3520">
        <v>134</v>
      </c>
      <c r="Q3520" t="s">
        <v>7384</v>
      </c>
    </row>
    <row r="3521" spans="1:17" x14ac:dyDescent="0.3">
      <c r="A3521" t="s">
        <v>4708</v>
      </c>
      <c r="B3521" t="str">
        <f>"002823"</f>
        <v>002823</v>
      </c>
      <c r="C3521" t="s">
        <v>7385</v>
      </c>
      <c r="D3521" t="s">
        <v>1171</v>
      </c>
      <c r="P3521">
        <v>158</v>
      </c>
      <c r="Q3521" t="s">
        <v>7386</v>
      </c>
    </row>
    <row r="3522" spans="1:17" x14ac:dyDescent="0.3">
      <c r="A3522" t="s">
        <v>4708</v>
      </c>
      <c r="B3522" t="str">
        <f>"002824"</f>
        <v>002824</v>
      </c>
      <c r="C3522" t="s">
        <v>7387</v>
      </c>
      <c r="D3522" t="s">
        <v>504</v>
      </c>
      <c r="P3522">
        <v>167</v>
      </c>
      <c r="Q3522" t="s">
        <v>7388</v>
      </c>
    </row>
    <row r="3523" spans="1:17" x14ac:dyDescent="0.3">
      <c r="A3523" t="s">
        <v>4708</v>
      </c>
      <c r="B3523" t="str">
        <f>"002825"</f>
        <v>002825</v>
      </c>
      <c r="C3523" t="s">
        <v>7389</v>
      </c>
      <c r="D3523" t="s">
        <v>1192</v>
      </c>
      <c r="P3523">
        <v>100</v>
      </c>
      <c r="Q3523" t="s">
        <v>7390</v>
      </c>
    </row>
    <row r="3524" spans="1:17" x14ac:dyDescent="0.3">
      <c r="A3524" t="s">
        <v>4708</v>
      </c>
      <c r="B3524" t="str">
        <f>"002826"</f>
        <v>002826</v>
      </c>
      <c r="C3524" t="s">
        <v>7391</v>
      </c>
      <c r="D3524" t="s">
        <v>143</v>
      </c>
      <c r="P3524">
        <v>127</v>
      </c>
      <c r="Q3524" t="s">
        <v>7392</v>
      </c>
    </row>
    <row r="3525" spans="1:17" x14ac:dyDescent="0.3">
      <c r="A3525" t="s">
        <v>4708</v>
      </c>
      <c r="B3525" t="str">
        <f>"002827"</f>
        <v>002827</v>
      </c>
      <c r="C3525" t="s">
        <v>7393</v>
      </c>
      <c r="D3525" t="s">
        <v>2725</v>
      </c>
      <c r="P3525">
        <v>89</v>
      </c>
      <c r="Q3525" t="s">
        <v>7394</v>
      </c>
    </row>
    <row r="3526" spans="1:17" x14ac:dyDescent="0.3">
      <c r="A3526" t="s">
        <v>4708</v>
      </c>
      <c r="B3526" t="str">
        <f>"002828"</f>
        <v>002828</v>
      </c>
      <c r="C3526" t="s">
        <v>7395</v>
      </c>
      <c r="D3526" t="s">
        <v>1758</v>
      </c>
      <c r="P3526">
        <v>73</v>
      </c>
      <c r="Q3526" t="s">
        <v>7396</v>
      </c>
    </row>
    <row r="3527" spans="1:17" x14ac:dyDescent="0.3">
      <c r="A3527" t="s">
        <v>4708</v>
      </c>
      <c r="B3527" t="str">
        <f>"002829"</f>
        <v>002829</v>
      </c>
      <c r="C3527" t="s">
        <v>7397</v>
      </c>
      <c r="D3527" t="s">
        <v>284</v>
      </c>
      <c r="P3527">
        <v>132</v>
      </c>
      <c r="Q3527" t="s">
        <v>7398</v>
      </c>
    </row>
    <row r="3528" spans="1:17" x14ac:dyDescent="0.3">
      <c r="A3528" t="s">
        <v>4708</v>
      </c>
      <c r="B3528" t="str">
        <f>"002830"</f>
        <v>002830</v>
      </c>
      <c r="C3528" t="s">
        <v>7399</v>
      </c>
      <c r="D3528" t="s">
        <v>450</v>
      </c>
      <c r="P3528">
        <v>78</v>
      </c>
      <c r="Q3528" t="s">
        <v>7400</v>
      </c>
    </row>
    <row r="3529" spans="1:17" x14ac:dyDescent="0.3">
      <c r="A3529" t="s">
        <v>4708</v>
      </c>
      <c r="B3529" t="str">
        <f>"002831"</f>
        <v>002831</v>
      </c>
      <c r="C3529" t="s">
        <v>7401</v>
      </c>
      <c r="D3529" t="s">
        <v>2158</v>
      </c>
      <c r="P3529">
        <v>663</v>
      </c>
      <c r="Q3529" t="s">
        <v>7402</v>
      </c>
    </row>
    <row r="3530" spans="1:17" x14ac:dyDescent="0.3">
      <c r="A3530" t="s">
        <v>4708</v>
      </c>
      <c r="B3530" t="str">
        <f>"002832"</f>
        <v>002832</v>
      </c>
      <c r="C3530" t="s">
        <v>7403</v>
      </c>
      <c r="D3530" t="s">
        <v>255</v>
      </c>
      <c r="P3530">
        <v>636</v>
      </c>
      <c r="Q3530" t="s">
        <v>7404</v>
      </c>
    </row>
    <row r="3531" spans="1:17" x14ac:dyDescent="0.3">
      <c r="A3531" t="s">
        <v>4708</v>
      </c>
      <c r="B3531" t="str">
        <f>"002833"</f>
        <v>002833</v>
      </c>
      <c r="C3531" t="s">
        <v>7405</v>
      </c>
      <c r="D3531" t="s">
        <v>741</v>
      </c>
      <c r="P3531">
        <v>2869</v>
      </c>
      <c r="Q3531" t="s">
        <v>7406</v>
      </c>
    </row>
    <row r="3532" spans="1:17" x14ac:dyDescent="0.3">
      <c r="A3532" t="s">
        <v>4708</v>
      </c>
      <c r="B3532" t="str">
        <f>"002835"</f>
        <v>002835</v>
      </c>
      <c r="C3532" t="s">
        <v>7407</v>
      </c>
      <c r="D3532" t="s">
        <v>2965</v>
      </c>
      <c r="P3532">
        <v>94</v>
      </c>
      <c r="Q3532" t="s">
        <v>7408</v>
      </c>
    </row>
    <row r="3533" spans="1:17" x14ac:dyDescent="0.3">
      <c r="A3533" t="s">
        <v>4708</v>
      </c>
      <c r="B3533" t="str">
        <f>"002836"</f>
        <v>002836</v>
      </c>
      <c r="C3533" t="s">
        <v>7409</v>
      </c>
      <c r="D3533" t="s">
        <v>2158</v>
      </c>
      <c r="P3533">
        <v>63</v>
      </c>
      <c r="Q3533" t="s">
        <v>7410</v>
      </c>
    </row>
    <row r="3534" spans="1:17" x14ac:dyDescent="0.3">
      <c r="A3534" t="s">
        <v>4708</v>
      </c>
      <c r="B3534" t="str">
        <f>"002837"</f>
        <v>002837</v>
      </c>
      <c r="C3534" t="s">
        <v>7411</v>
      </c>
      <c r="D3534" t="s">
        <v>741</v>
      </c>
      <c r="P3534">
        <v>396</v>
      </c>
      <c r="Q3534" t="s">
        <v>7412</v>
      </c>
    </row>
    <row r="3535" spans="1:17" x14ac:dyDescent="0.3">
      <c r="A3535" t="s">
        <v>4708</v>
      </c>
      <c r="B3535" t="str">
        <f>"002838"</f>
        <v>002838</v>
      </c>
      <c r="C3535" t="s">
        <v>7413</v>
      </c>
      <c r="D3535" t="s">
        <v>341</v>
      </c>
      <c r="P3535">
        <v>614</v>
      </c>
      <c r="Q3535" t="s">
        <v>7414</v>
      </c>
    </row>
    <row r="3536" spans="1:17" x14ac:dyDescent="0.3">
      <c r="A3536" t="s">
        <v>4708</v>
      </c>
      <c r="B3536" t="str">
        <f>"002839"</f>
        <v>002839</v>
      </c>
      <c r="C3536" t="s">
        <v>7415</v>
      </c>
      <c r="D3536" t="s">
        <v>1827</v>
      </c>
      <c r="P3536">
        <v>474</v>
      </c>
      <c r="Q3536" t="s">
        <v>7416</v>
      </c>
    </row>
    <row r="3537" spans="1:17" x14ac:dyDescent="0.3">
      <c r="A3537" t="s">
        <v>4708</v>
      </c>
      <c r="B3537" t="str">
        <f>"002840"</f>
        <v>002840</v>
      </c>
      <c r="C3537" t="s">
        <v>7417</v>
      </c>
      <c r="D3537" t="s">
        <v>170</v>
      </c>
      <c r="P3537">
        <v>600</v>
      </c>
      <c r="Q3537" t="s">
        <v>7418</v>
      </c>
    </row>
    <row r="3538" spans="1:17" x14ac:dyDescent="0.3">
      <c r="A3538" t="s">
        <v>4708</v>
      </c>
      <c r="B3538" t="str">
        <f>"002841"</f>
        <v>002841</v>
      </c>
      <c r="C3538" t="s">
        <v>7419</v>
      </c>
      <c r="D3538" t="s">
        <v>1285</v>
      </c>
      <c r="P3538">
        <v>3102</v>
      </c>
      <c r="Q3538" t="s">
        <v>7420</v>
      </c>
    </row>
    <row r="3539" spans="1:17" x14ac:dyDescent="0.3">
      <c r="A3539" t="s">
        <v>4708</v>
      </c>
      <c r="B3539" t="str">
        <f>"002842"</f>
        <v>002842</v>
      </c>
      <c r="C3539" t="s">
        <v>7421</v>
      </c>
      <c r="D3539" t="s">
        <v>1110</v>
      </c>
      <c r="P3539">
        <v>99</v>
      </c>
      <c r="Q3539" t="s">
        <v>7422</v>
      </c>
    </row>
    <row r="3540" spans="1:17" x14ac:dyDescent="0.3">
      <c r="A3540" t="s">
        <v>4708</v>
      </c>
      <c r="B3540" t="str">
        <f>"002843"</f>
        <v>002843</v>
      </c>
      <c r="C3540" t="s">
        <v>7423</v>
      </c>
      <c r="D3540" t="s">
        <v>274</v>
      </c>
      <c r="P3540">
        <v>74</v>
      </c>
      <c r="Q3540" t="s">
        <v>7424</v>
      </c>
    </row>
    <row r="3541" spans="1:17" x14ac:dyDescent="0.3">
      <c r="A3541" t="s">
        <v>4708</v>
      </c>
      <c r="B3541" t="str">
        <f>"002845"</f>
        <v>002845</v>
      </c>
      <c r="C3541" t="s">
        <v>7425</v>
      </c>
      <c r="D3541" t="s">
        <v>1117</v>
      </c>
      <c r="P3541">
        <v>222</v>
      </c>
      <c r="Q3541" t="s">
        <v>7426</v>
      </c>
    </row>
    <row r="3542" spans="1:17" x14ac:dyDescent="0.3">
      <c r="A3542" t="s">
        <v>4708</v>
      </c>
      <c r="B3542" t="str">
        <f>"002846"</f>
        <v>002846</v>
      </c>
      <c r="C3542" t="s">
        <v>7427</v>
      </c>
      <c r="D3542" t="s">
        <v>2366</v>
      </c>
      <c r="P3542">
        <v>109</v>
      </c>
      <c r="Q3542" t="s">
        <v>7428</v>
      </c>
    </row>
    <row r="3543" spans="1:17" x14ac:dyDescent="0.3">
      <c r="A3543" t="s">
        <v>4708</v>
      </c>
      <c r="B3543" t="str">
        <f>"002847"</f>
        <v>002847</v>
      </c>
      <c r="C3543" t="s">
        <v>7429</v>
      </c>
      <c r="D3543" t="s">
        <v>3179</v>
      </c>
      <c r="P3543">
        <v>742</v>
      </c>
      <c r="Q3543" t="s">
        <v>7430</v>
      </c>
    </row>
    <row r="3544" spans="1:17" x14ac:dyDescent="0.3">
      <c r="A3544" t="s">
        <v>4708</v>
      </c>
      <c r="B3544" t="str">
        <f>"002848"</f>
        <v>002848</v>
      </c>
      <c r="C3544" t="s">
        <v>7431</v>
      </c>
      <c r="D3544" t="s">
        <v>4448</v>
      </c>
      <c r="P3544">
        <v>189</v>
      </c>
      <c r="Q3544" t="s">
        <v>7432</v>
      </c>
    </row>
    <row r="3545" spans="1:17" x14ac:dyDescent="0.3">
      <c r="A3545" t="s">
        <v>4708</v>
      </c>
      <c r="B3545" t="str">
        <f>"002849"</f>
        <v>002849</v>
      </c>
      <c r="C3545" t="s">
        <v>7433</v>
      </c>
      <c r="D3545" t="s">
        <v>2557</v>
      </c>
      <c r="P3545">
        <v>177</v>
      </c>
      <c r="Q3545" t="s">
        <v>7434</v>
      </c>
    </row>
    <row r="3546" spans="1:17" x14ac:dyDescent="0.3">
      <c r="A3546" t="s">
        <v>4708</v>
      </c>
      <c r="B3546" t="str">
        <f>"002850"</f>
        <v>002850</v>
      </c>
      <c r="C3546" t="s">
        <v>7435</v>
      </c>
      <c r="D3546" t="s">
        <v>359</v>
      </c>
      <c r="P3546">
        <v>379</v>
      </c>
      <c r="Q3546" t="s">
        <v>7436</v>
      </c>
    </row>
    <row r="3547" spans="1:17" x14ac:dyDescent="0.3">
      <c r="A3547" t="s">
        <v>4708</v>
      </c>
      <c r="B3547" t="str">
        <f>"002851"</f>
        <v>002851</v>
      </c>
      <c r="C3547" t="s">
        <v>7437</v>
      </c>
      <c r="D3547" t="s">
        <v>880</v>
      </c>
      <c r="P3547">
        <v>565</v>
      </c>
      <c r="Q3547" t="s">
        <v>7438</v>
      </c>
    </row>
    <row r="3548" spans="1:17" x14ac:dyDescent="0.3">
      <c r="A3548" t="s">
        <v>4708</v>
      </c>
      <c r="B3548" t="str">
        <f>"002852"</f>
        <v>002852</v>
      </c>
      <c r="C3548" t="s">
        <v>7439</v>
      </c>
      <c r="D3548" t="s">
        <v>306</v>
      </c>
      <c r="P3548">
        <v>141</v>
      </c>
      <c r="Q3548" t="s">
        <v>7440</v>
      </c>
    </row>
    <row r="3549" spans="1:17" x14ac:dyDescent="0.3">
      <c r="A3549" t="s">
        <v>4708</v>
      </c>
      <c r="B3549" t="str">
        <f>"002853"</f>
        <v>002853</v>
      </c>
      <c r="C3549" t="s">
        <v>7441</v>
      </c>
      <c r="D3549" t="s">
        <v>2655</v>
      </c>
      <c r="P3549">
        <v>379</v>
      </c>
      <c r="Q3549" t="s">
        <v>7442</v>
      </c>
    </row>
    <row r="3550" spans="1:17" x14ac:dyDescent="0.3">
      <c r="A3550" t="s">
        <v>4708</v>
      </c>
      <c r="B3550" t="str">
        <f>"002855"</f>
        <v>002855</v>
      </c>
      <c r="C3550" t="s">
        <v>7443</v>
      </c>
      <c r="D3550" t="s">
        <v>313</v>
      </c>
      <c r="P3550">
        <v>138</v>
      </c>
      <c r="Q3550" t="s">
        <v>7444</v>
      </c>
    </row>
    <row r="3551" spans="1:17" x14ac:dyDescent="0.3">
      <c r="A3551" t="s">
        <v>4708</v>
      </c>
      <c r="B3551" t="str">
        <f>"002856"</f>
        <v>002856</v>
      </c>
      <c r="C3551" t="s">
        <v>7445</v>
      </c>
      <c r="D3551" t="s">
        <v>450</v>
      </c>
      <c r="P3551">
        <v>51</v>
      </c>
      <c r="Q3551" t="s">
        <v>7446</v>
      </c>
    </row>
    <row r="3552" spans="1:17" x14ac:dyDescent="0.3">
      <c r="A3552" t="s">
        <v>4708</v>
      </c>
      <c r="B3552" t="str">
        <f>"002857"</f>
        <v>002857</v>
      </c>
      <c r="C3552" t="s">
        <v>7447</v>
      </c>
      <c r="D3552" t="s">
        <v>2173</v>
      </c>
      <c r="P3552">
        <v>45</v>
      </c>
      <c r="Q3552" t="s">
        <v>7448</v>
      </c>
    </row>
    <row r="3553" spans="1:17" x14ac:dyDescent="0.3">
      <c r="A3553" t="s">
        <v>4708</v>
      </c>
      <c r="B3553" t="str">
        <f>"002858"</f>
        <v>002858</v>
      </c>
      <c r="C3553" t="s">
        <v>7449</v>
      </c>
      <c r="D3553" t="s">
        <v>327</v>
      </c>
      <c r="P3553">
        <v>75</v>
      </c>
      <c r="Q3553" t="s">
        <v>7450</v>
      </c>
    </row>
    <row r="3554" spans="1:17" x14ac:dyDescent="0.3">
      <c r="A3554" t="s">
        <v>4708</v>
      </c>
      <c r="B3554" t="str">
        <f>"002859"</f>
        <v>002859</v>
      </c>
      <c r="C3554" t="s">
        <v>7451</v>
      </c>
      <c r="D3554" t="s">
        <v>651</v>
      </c>
      <c r="P3554">
        <v>2969</v>
      </c>
      <c r="Q3554" t="s">
        <v>7452</v>
      </c>
    </row>
    <row r="3555" spans="1:17" x14ac:dyDescent="0.3">
      <c r="A3555" t="s">
        <v>4708</v>
      </c>
      <c r="B3555" t="str">
        <f>"002860"</f>
        <v>002860</v>
      </c>
      <c r="C3555" t="s">
        <v>7453</v>
      </c>
      <c r="D3555" t="s">
        <v>1253</v>
      </c>
      <c r="P3555">
        <v>249</v>
      </c>
      <c r="Q3555" t="s">
        <v>7454</v>
      </c>
    </row>
    <row r="3556" spans="1:17" x14ac:dyDescent="0.3">
      <c r="A3556" t="s">
        <v>4708</v>
      </c>
      <c r="B3556" t="str">
        <f>"002861"</f>
        <v>002861</v>
      </c>
      <c r="C3556" t="s">
        <v>7455</v>
      </c>
      <c r="D3556" t="s">
        <v>313</v>
      </c>
      <c r="P3556">
        <v>155</v>
      </c>
      <c r="Q3556" t="s">
        <v>7456</v>
      </c>
    </row>
    <row r="3557" spans="1:17" x14ac:dyDescent="0.3">
      <c r="A3557" t="s">
        <v>4708</v>
      </c>
      <c r="B3557" t="str">
        <f>"002862"</f>
        <v>002862</v>
      </c>
      <c r="C3557" t="s">
        <v>7457</v>
      </c>
      <c r="D3557" t="s">
        <v>2916</v>
      </c>
      <c r="P3557">
        <v>66</v>
      </c>
      <c r="Q3557" t="s">
        <v>7458</v>
      </c>
    </row>
    <row r="3558" spans="1:17" x14ac:dyDescent="0.3">
      <c r="A3558" t="s">
        <v>4708</v>
      </c>
      <c r="B3558" t="str">
        <f>"002863"</f>
        <v>002863</v>
      </c>
      <c r="C3558" t="s">
        <v>7459</v>
      </c>
      <c r="D3558" t="s">
        <v>422</v>
      </c>
      <c r="P3558">
        <v>104</v>
      </c>
      <c r="Q3558" t="s">
        <v>7460</v>
      </c>
    </row>
    <row r="3559" spans="1:17" x14ac:dyDescent="0.3">
      <c r="A3559" t="s">
        <v>4708</v>
      </c>
      <c r="B3559" t="str">
        <f>"002864"</f>
        <v>002864</v>
      </c>
      <c r="C3559" t="s">
        <v>7461</v>
      </c>
      <c r="D3559" t="s">
        <v>188</v>
      </c>
      <c r="P3559">
        <v>184</v>
      </c>
      <c r="Q3559" t="s">
        <v>7462</v>
      </c>
    </row>
    <row r="3560" spans="1:17" x14ac:dyDescent="0.3">
      <c r="A3560" t="s">
        <v>4708</v>
      </c>
      <c r="B3560" t="str">
        <f>"002865"</f>
        <v>002865</v>
      </c>
      <c r="C3560" t="s">
        <v>7463</v>
      </c>
      <c r="D3560" t="s">
        <v>191</v>
      </c>
      <c r="P3560">
        <v>111</v>
      </c>
      <c r="Q3560" t="s">
        <v>7464</v>
      </c>
    </row>
    <row r="3561" spans="1:17" x14ac:dyDescent="0.3">
      <c r="A3561" t="s">
        <v>4708</v>
      </c>
      <c r="B3561" t="str">
        <f>"002866"</f>
        <v>002866</v>
      </c>
      <c r="C3561" t="s">
        <v>7465</v>
      </c>
      <c r="D3561" t="s">
        <v>313</v>
      </c>
      <c r="P3561">
        <v>161</v>
      </c>
      <c r="Q3561" t="s">
        <v>7466</v>
      </c>
    </row>
    <row r="3562" spans="1:17" x14ac:dyDescent="0.3">
      <c r="A3562" t="s">
        <v>4708</v>
      </c>
      <c r="B3562" t="str">
        <f>"002867"</f>
        <v>002867</v>
      </c>
      <c r="C3562" t="s">
        <v>7467</v>
      </c>
      <c r="D3562" t="s">
        <v>1238</v>
      </c>
      <c r="P3562">
        <v>1635</v>
      </c>
      <c r="Q3562" t="s">
        <v>7468</v>
      </c>
    </row>
    <row r="3563" spans="1:17" x14ac:dyDescent="0.3">
      <c r="A3563" t="s">
        <v>4708</v>
      </c>
      <c r="B3563" t="str">
        <f>"002868"</f>
        <v>002868</v>
      </c>
      <c r="C3563" t="s">
        <v>7469</v>
      </c>
      <c r="D3563" t="s">
        <v>453</v>
      </c>
      <c r="P3563">
        <v>88</v>
      </c>
      <c r="Q3563" t="s">
        <v>7470</v>
      </c>
    </row>
    <row r="3564" spans="1:17" x14ac:dyDescent="0.3">
      <c r="A3564" t="s">
        <v>4708</v>
      </c>
      <c r="B3564" t="str">
        <f>"002869"</f>
        <v>002869</v>
      </c>
      <c r="C3564" t="s">
        <v>7471</v>
      </c>
      <c r="D3564" t="s">
        <v>651</v>
      </c>
      <c r="P3564">
        <v>600</v>
      </c>
      <c r="Q3564" t="s">
        <v>7472</v>
      </c>
    </row>
    <row r="3565" spans="1:17" x14ac:dyDescent="0.3">
      <c r="A3565" t="s">
        <v>4708</v>
      </c>
      <c r="B3565" t="str">
        <f>"002870"</f>
        <v>002870</v>
      </c>
      <c r="C3565" t="s">
        <v>7473</v>
      </c>
      <c r="D3565" t="s">
        <v>2557</v>
      </c>
      <c r="P3565">
        <v>91</v>
      </c>
      <c r="Q3565" t="s">
        <v>7474</v>
      </c>
    </row>
    <row r="3566" spans="1:17" x14ac:dyDescent="0.3">
      <c r="A3566" t="s">
        <v>4708</v>
      </c>
      <c r="B3566" t="str">
        <f>"002871"</f>
        <v>002871</v>
      </c>
      <c r="C3566" t="s">
        <v>7475</v>
      </c>
      <c r="D3566" t="s">
        <v>274</v>
      </c>
      <c r="P3566">
        <v>66</v>
      </c>
      <c r="Q3566" t="s">
        <v>7476</v>
      </c>
    </row>
    <row r="3567" spans="1:17" x14ac:dyDescent="0.3">
      <c r="A3567" t="s">
        <v>4708</v>
      </c>
      <c r="B3567" t="str">
        <f>"002872"</f>
        <v>002872</v>
      </c>
      <c r="C3567" t="s">
        <v>7477</v>
      </c>
      <c r="D3567" t="s">
        <v>125</v>
      </c>
      <c r="P3567">
        <v>69</v>
      </c>
      <c r="Q3567" t="s">
        <v>7478</v>
      </c>
    </row>
    <row r="3568" spans="1:17" x14ac:dyDescent="0.3">
      <c r="A3568" t="s">
        <v>4708</v>
      </c>
      <c r="B3568" t="str">
        <f>"002873"</f>
        <v>002873</v>
      </c>
      <c r="C3568" t="s">
        <v>7479</v>
      </c>
      <c r="D3568" t="s">
        <v>188</v>
      </c>
      <c r="P3568">
        <v>166</v>
      </c>
      <c r="Q3568" t="s">
        <v>7480</v>
      </c>
    </row>
    <row r="3569" spans="1:17" x14ac:dyDescent="0.3">
      <c r="A3569" t="s">
        <v>4708</v>
      </c>
      <c r="B3569" t="str">
        <f>"002875"</f>
        <v>002875</v>
      </c>
      <c r="C3569" t="s">
        <v>7481</v>
      </c>
      <c r="D3569" t="s">
        <v>255</v>
      </c>
      <c r="P3569">
        <v>92</v>
      </c>
      <c r="Q3569" t="s">
        <v>7482</v>
      </c>
    </row>
    <row r="3570" spans="1:17" x14ac:dyDescent="0.3">
      <c r="A3570" t="s">
        <v>4708</v>
      </c>
      <c r="B3570" t="str">
        <f>"002876"</f>
        <v>002876</v>
      </c>
      <c r="C3570" t="s">
        <v>7483</v>
      </c>
      <c r="D3570" t="s">
        <v>1117</v>
      </c>
      <c r="P3570">
        <v>212</v>
      </c>
      <c r="Q3570" t="s">
        <v>7484</v>
      </c>
    </row>
    <row r="3571" spans="1:17" x14ac:dyDescent="0.3">
      <c r="A3571" t="s">
        <v>4708</v>
      </c>
      <c r="B3571" t="str">
        <f>"002877"</f>
        <v>002877</v>
      </c>
      <c r="C3571" t="s">
        <v>7485</v>
      </c>
      <c r="D3571" t="s">
        <v>274</v>
      </c>
      <c r="P3571">
        <v>100</v>
      </c>
      <c r="Q3571" t="s">
        <v>7486</v>
      </c>
    </row>
    <row r="3572" spans="1:17" x14ac:dyDescent="0.3">
      <c r="A3572" t="s">
        <v>4708</v>
      </c>
      <c r="B3572" t="str">
        <f>"002878"</f>
        <v>002878</v>
      </c>
      <c r="C3572" t="s">
        <v>7487</v>
      </c>
      <c r="D3572" t="s">
        <v>1671</v>
      </c>
      <c r="P3572">
        <v>345</v>
      </c>
      <c r="Q3572" t="s">
        <v>7488</v>
      </c>
    </row>
    <row r="3573" spans="1:17" x14ac:dyDescent="0.3">
      <c r="A3573" t="s">
        <v>4708</v>
      </c>
      <c r="B3573" t="str">
        <f>"002879"</f>
        <v>002879</v>
      </c>
      <c r="C3573" t="s">
        <v>7489</v>
      </c>
      <c r="D3573" t="s">
        <v>1164</v>
      </c>
      <c r="P3573">
        <v>266</v>
      </c>
      <c r="Q3573" t="s">
        <v>7490</v>
      </c>
    </row>
    <row r="3574" spans="1:17" x14ac:dyDescent="0.3">
      <c r="A3574" t="s">
        <v>4708</v>
      </c>
      <c r="B3574" t="str">
        <f>"002880"</f>
        <v>002880</v>
      </c>
      <c r="C3574" t="s">
        <v>7491</v>
      </c>
      <c r="D3574" t="s">
        <v>378</v>
      </c>
      <c r="P3574">
        <v>214</v>
      </c>
      <c r="Q3574" t="s">
        <v>7492</v>
      </c>
    </row>
    <row r="3575" spans="1:17" x14ac:dyDescent="0.3">
      <c r="A3575" t="s">
        <v>4708</v>
      </c>
      <c r="B3575" t="str">
        <f>"002881"</f>
        <v>002881</v>
      </c>
      <c r="C3575" t="s">
        <v>7493</v>
      </c>
      <c r="D3575" t="s">
        <v>313</v>
      </c>
      <c r="P3575">
        <v>240</v>
      </c>
      <c r="Q3575" t="s">
        <v>7494</v>
      </c>
    </row>
    <row r="3576" spans="1:17" x14ac:dyDescent="0.3">
      <c r="A3576" t="s">
        <v>4708</v>
      </c>
      <c r="B3576" t="str">
        <f>"002882"</f>
        <v>002882</v>
      </c>
      <c r="C3576" t="s">
        <v>7495</v>
      </c>
      <c r="D3576" t="s">
        <v>1164</v>
      </c>
      <c r="P3576">
        <v>118</v>
      </c>
      <c r="Q3576" t="s">
        <v>7496</v>
      </c>
    </row>
    <row r="3577" spans="1:17" x14ac:dyDescent="0.3">
      <c r="A3577" t="s">
        <v>4708</v>
      </c>
      <c r="B3577" t="str">
        <f>"002883"</f>
        <v>002883</v>
      </c>
      <c r="C3577" t="s">
        <v>7497</v>
      </c>
      <c r="D3577" t="s">
        <v>1272</v>
      </c>
      <c r="P3577">
        <v>102</v>
      </c>
      <c r="Q3577" t="s">
        <v>7498</v>
      </c>
    </row>
    <row r="3578" spans="1:17" x14ac:dyDescent="0.3">
      <c r="A3578" t="s">
        <v>4708</v>
      </c>
      <c r="B3578" t="str">
        <f>"002884"</f>
        <v>002884</v>
      </c>
      <c r="C3578" t="s">
        <v>7499</v>
      </c>
      <c r="D3578" t="s">
        <v>560</v>
      </c>
      <c r="P3578">
        <v>995</v>
      </c>
      <c r="Q3578" t="s">
        <v>7500</v>
      </c>
    </row>
    <row r="3579" spans="1:17" x14ac:dyDescent="0.3">
      <c r="A3579" t="s">
        <v>4708</v>
      </c>
      <c r="B3579" t="str">
        <f>"002885"</f>
        <v>002885</v>
      </c>
      <c r="C3579" t="s">
        <v>7501</v>
      </c>
      <c r="D3579" t="s">
        <v>313</v>
      </c>
      <c r="P3579">
        <v>199</v>
      </c>
      <c r="Q3579" t="s">
        <v>7502</v>
      </c>
    </row>
    <row r="3580" spans="1:17" x14ac:dyDescent="0.3">
      <c r="A3580" t="s">
        <v>4708</v>
      </c>
      <c r="B3580" t="str">
        <f>"002886"</f>
        <v>002886</v>
      </c>
      <c r="C3580" t="s">
        <v>7503</v>
      </c>
      <c r="D3580" t="s">
        <v>341</v>
      </c>
      <c r="P3580">
        <v>190</v>
      </c>
      <c r="Q3580" t="s">
        <v>7504</v>
      </c>
    </row>
    <row r="3581" spans="1:17" x14ac:dyDescent="0.3">
      <c r="A3581" t="s">
        <v>4708</v>
      </c>
      <c r="B3581" t="str">
        <f>"002887"</f>
        <v>002887</v>
      </c>
      <c r="C3581" t="s">
        <v>7505</v>
      </c>
      <c r="D3581" t="s">
        <v>3560</v>
      </c>
      <c r="P3581">
        <v>167</v>
      </c>
      <c r="Q3581" t="s">
        <v>7506</v>
      </c>
    </row>
    <row r="3582" spans="1:17" x14ac:dyDescent="0.3">
      <c r="A3582" t="s">
        <v>4708</v>
      </c>
      <c r="B3582" t="str">
        <f>"002888"</f>
        <v>002888</v>
      </c>
      <c r="C3582" t="s">
        <v>7507</v>
      </c>
      <c r="D3582" t="s">
        <v>3511</v>
      </c>
      <c r="P3582">
        <v>80</v>
      </c>
      <c r="Q3582" t="s">
        <v>7508</v>
      </c>
    </row>
    <row r="3583" spans="1:17" x14ac:dyDescent="0.3">
      <c r="A3583" t="s">
        <v>4708</v>
      </c>
      <c r="B3583" t="str">
        <f>"002889"</f>
        <v>002889</v>
      </c>
      <c r="C3583" t="s">
        <v>7509</v>
      </c>
      <c r="D3583" t="s">
        <v>3110</v>
      </c>
      <c r="P3583">
        <v>123</v>
      </c>
      <c r="Q3583" t="s">
        <v>7510</v>
      </c>
    </row>
    <row r="3584" spans="1:17" x14ac:dyDescent="0.3">
      <c r="A3584" t="s">
        <v>4708</v>
      </c>
      <c r="B3584" t="str">
        <f>"002890"</f>
        <v>002890</v>
      </c>
      <c r="C3584" t="s">
        <v>7511</v>
      </c>
      <c r="D3584" t="s">
        <v>1981</v>
      </c>
      <c r="P3584">
        <v>70</v>
      </c>
      <c r="Q3584" t="s">
        <v>7512</v>
      </c>
    </row>
    <row r="3585" spans="1:17" x14ac:dyDescent="0.3">
      <c r="A3585" t="s">
        <v>4708</v>
      </c>
      <c r="B3585" t="str">
        <f>"002891"</f>
        <v>002891</v>
      </c>
      <c r="C3585" t="s">
        <v>7513</v>
      </c>
      <c r="D3585" t="s">
        <v>7514</v>
      </c>
      <c r="P3585">
        <v>649</v>
      </c>
      <c r="Q3585" t="s">
        <v>7515</v>
      </c>
    </row>
    <row r="3586" spans="1:17" x14ac:dyDescent="0.3">
      <c r="A3586" t="s">
        <v>4708</v>
      </c>
      <c r="B3586" t="str">
        <f>"002892"</f>
        <v>002892</v>
      </c>
      <c r="C3586" t="s">
        <v>7516</v>
      </c>
      <c r="D3586" t="s">
        <v>1171</v>
      </c>
      <c r="P3586">
        <v>145</v>
      </c>
      <c r="Q3586" t="s">
        <v>7517</v>
      </c>
    </row>
    <row r="3587" spans="1:17" x14ac:dyDescent="0.3">
      <c r="A3587" t="s">
        <v>4708</v>
      </c>
      <c r="B3587" t="str">
        <f>"002893"</f>
        <v>002893</v>
      </c>
      <c r="C3587" t="s">
        <v>7518</v>
      </c>
      <c r="D3587" t="s">
        <v>351</v>
      </c>
      <c r="P3587">
        <v>92</v>
      </c>
      <c r="Q3587" t="s">
        <v>7519</v>
      </c>
    </row>
    <row r="3588" spans="1:17" x14ac:dyDescent="0.3">
      <c r="A3588" t="s">
        <v>4708</v>
      </c>
      <c r="B3588" t="str">
        <f>"002895"</f>
        <v>002895</v>
      </c>
      <c r="C3588" t="s">
        <v>7520</v>
      </c>
      <c r="D3588" t="s">
        <v>183</v>
      </c>
      <c r="P3588">
        <v>148</v>
      </c>
      <c r="Q3588" t="s">
        <v>7521</v>
      </c>
    </row>
    <row r="3589" spans="1:17" x14ac:dyDescent="0.3">
      <c r="A3589" t="s">
        <v>4708</v>
      </c>
      <c r="B3589" t="str">
        <f>"002896"</f>
        <v>002896</v>
      </c>
      <c r="C3589" t="s">
        <v>7522</v>
      </c>
      <c r="D3589" t="s">
        <v>274</v>
      </c>
      <c r="P3589">
        <v>137</v>
      </c>
      <c r="Q3589" t="s">
        <v>7523</v>
      </c>
    </row>
    <row r="3590" spans="1:17" x14ac:dyDescent="0.3">
      <c r="A3590" t="s">
        <v>4708</v>
      </c>
      <c r="B3590" t="str">
        <f>"002897"</f>
        <v>002897</v>
      </c>
      <c r="C3590" t="s">
        <v>7524</v>
      </c>
      <c r="D3590" t="s">
        <v>1019</v>
      </c>
      <c r="P3590">
        <v>234</v>
      </c>
      <c r="Q3590" t="s">
        <v>7525</v>
      </c>
    </row>
    <row r="3591" spans="1:17" x14ac:dyDescent="0.3">
      <c r="A3591" t="s">
        <v>4708</v>
      </c>
      <c r="B3591" t="str">
        <f>"002898"</f>
        <v>002898</v>
      </c>
      <c r="C3591" t="s">
        <v>7526</v>
      </c>
      <c r="D3591" t="s">
        <v>143</v>
      </c>
      <c r="P3591">
        <v>90</v>
      </c>
      <c r="Q3591" t="s">
        <v>7527</v>
      </c>
    </row>
    <row r="3592" spans="1:17" x14ac:dyDescent="0.3">
      <c r="A3592" t="s">
        <v>4708</v>
      </c>
      <c r="B3592" t="str">
        <f>"002899"</f>
        <v>002899</v>
      </c>
      <c r="C3592" t="s">
        <v>7528</v>
      </c>
      <c r="D3592" t="s">
        <v>2916</v>
      </c>
      <c r="P3592">
        <v>65</v>
      </c>
      <c r="Q3592" t="s">
        <v>7529</v>
      </c>
    </row>
    <row r="3593" spans="1:17" x14ac:dyDescent="0.3">
      <c r="A3593" t="s">
        <v>4708</v>
      </c>
      <c r="B3593" t="str">
        <f>"002900"</f>
        <v>002900</v>
      </c>
      <c r="C3593" t="s">
        <v>7530</v>
      </c>
      <c r="D3593" t="s">
        <v>143</v>
      </c>
      <c r="P3593">
        <v>196</v>
      </c>
      <c r="Q3593" t="s">
        <v>7531</v>
      </c>
    </row>
    <row r="3594" spans="1:17" x14ac:dyDescent="0.3">
      <c r="A3594" t="s">
        <v>4708</v>
      </c>
      <c r="B3594" t="str">
        <f>"002901"</f>
        <v>002901</v>
      </c>
      <c r="C3594" t="s">
        <v>7532</v>
      </c>
      <c r="D3594" t="s">
        <v>1077</v>
      </c>
      <c r="P3594">
        <v>1702</v>
      </c>
      <c r="Q3594" t="s">
        <v>7533</v>
      </c>
    </row>
    <row r="3595" spans="1:17" x14ac:dyDescent="0.3">
      <c r="A3595" t="s">
        <v>4708</v>
      </c>
      <c r="B3595" t="str">
        <f>"002902"</f>
        <v>002902</v>
      </c>
      <c r="C3595" t="s">
        <v>7534</v>
      </c>
      <c r="D3595" t="s">
        <v>1019</v>
      </c>
      <c r="P3595">
        <v>216</v>
      </c>
      <c r="Q3595" t="s">
        <v>7535</v>
      </c>
    </row>
    <row r="3596" spans="1:17" x14ac:dyDescent="0.3">
      <c r="A3596" t="s">
        <v>4708</v>
      </c>
      <c r="B3596" t="str">
        <f>"002903"</f>
        <v>002903</v>
      </c>
      <c r="C3596" t="s">
        <v>7536</v>
      </c>
      <c r="D3596" t="s">
        <v>2314</v>
      </c>
      <c r="P3596">
        <v>143</v>
      </c>
      <c r="Q3596" t="s">
        <v>7537</v>
      </c>
    </row>
    <row r="3597" spans="1:17" x14ac:dyDescent="0.3">
      <c r="A3597" t="s">
        <v>4708</v>
      </c>
      <c r="B3597" t="str">
        <f>"002905"</f>
        <v>002905</v>
      </c>
      <c r="C3597" t="s">
        <v>7538</v>
      </c>
      <c r="D3597" t="s">
        <v>2564</v>
      </c>
      <c r="P3597">
        <v>133</v>
      </c>
      <c r="Q3597" t="s">
        <v>7539</v>
      </c>
    </row>
    <row r="3598" spans="1:17" x14ac:dyDescent="0.3">
      <c r="A3598" t="s">
        <v>4708</v>
      </c>
      <c r="B3598" t="str">
        <f>"002906"</f>
        <v>002906</v>
      </c>
      <c r="C3598" t="s">
        <v>7540</v>
      </c>
      <c r="D3598" t="s">
        <v>1415</v>
      </c>
      <c r="P3598">
        <v>228</v>
      </c>
      <c r="Q3598" t="s">
        <v>7541</v>
      </c>
    </row>
    <row r="3599" spans="1:17" x14ac:dyDescent="0.3">
      <c r="A3599" t="s">
        <v>4708</v>
      </c>
      <c r="B3599" t="str">
        <f>"002907"</f>
        <v>002907</v>
      </c>
      <c r="C3599" t="s">
        <v>7542</v>
      </c>
      <c r="D3599" t="s">
        <v>188</v>
      </c>
      <c r="P3599">
        <v>286</v>
      </c>
      <c r="Q3599" t="s">
        <v>7543</v>
      </c>
    </row>
    <row r="3600" spans="1:17" x14ac:dyDescent="0.3">
      <c r="A3600" t="s">
        <v>4708</v>
      </c>
      <c r="B3600" t="str">
        <f>"002908"</f>
        <v>002908</v>
      </c>
      <c r="C3600" t="s">
        <v>7544</v>
      </c>
      <c r="D3600" t="s">
        <v>786</v>
      </c>
      <c r="P3600">
        <v>126</v>
      </c>
      <c r="Q3600" t="s">
        <v>7545</v>
      </c>
    </row>
    <row r="3601" spans="1:17" x14ac:dyDescent="0.3">
      <c r="A3601" t="s">
        <v>4708</v>
      </c>
      <c r="B3601" t="str">
        <f>"002909"</f>
        <v>002909</v>
      </c>
      <c r="C3601" t="s">
        <v>7546</v>
      </c>
      <c r="D3601" t="s">
        <v>1205</v>
      </c>
      <c r="P3601">
        <v>87</v>
      </c>
      <c r="Q3601" t="s">
        <v>7547</v>
      </c>
    </row>
    <row r="3602" spans="1:17" x14ac:dyDescent="0.3">
      <c r="A3602" t="s">
        <v>4708</v>
      </c>
      <c r="B3602" t="str">
        <f>"002910"</f>
        <v>002910</v>
      </c>
      <c r="C3602" t="s">
        <v>7548</v>
      </c>
      <c r="D3602" t="s">
        <v>900</v>
      </c>
      <c r="P3602">
        <v>147</v>
      </c>
      <c r="Q3602" t="s">
        <v>7549</v>
      </c>
    </row>
    <row r="3603" spans="1:17" x14ac:dyDescent="0.3">
      <c r="A3603" t="s">
        <v>4708</v>
      </c>
      <c r="B3603" t="str">
        <f>"002911"</f>
        <v>002911</v>
      </c>
      <c r="C3603" t="s">
        <v>7550</v>
      </c>
      <c r="D3603" t="s">
        <v>749</v>
      </c>
      <c r="P3603">
        <v>183</v>
      </c>
      <c r="Q3603" t="s">
        <v>7551</v>
      </c>
    </row>
    <row r="3604" spans="1:17" x14ac:dyDescent="0.3">
      <c r="A3604" t="s">
        <v>4708</v>
      </c>
      <c r="B3604" t="str">
        <f>"002912"</f>
        <v>002912</v>
      </c>
      <c r="C3604" t="s">
        <v>7552</v>
      </c>
      <c r="D3604" t="s">
        <v>236</v>
      </c>
      <c r="P3604">
        <v>586</v>
      </c>
      <c r="Q3604" t="s">
        <v>7553</v>
      </c>
    </row>
    <row r="3605" spans="1:17" x14ac:dyDescent="0.3">
      <c r="A3605" t="s">
        <v>4708</v>
      </c>
      <c r="B3605" t="str">
        <f>"002913"</f>
        <v>002913</v>
      </c>
      <c r="C3605" t="s">
        <v>7554</v>
      </c>
      <c r="D3605" t="s">
        <v>425</v>
      </c>
      <c r="P3605">
        <v>205</v>
      </c>
      <c r="Q3605" t="s">
        <v>7555</v>
      </c>
    </row>
    <row r="3606" spans="1:17" x14ac:dyDescent="0.3">
      <c r="A3606" t="s">
        <v>4708</v>
      </c>
      <c r="B3606" t="str">
        <f>"002915"</f>
        <v>002915</v>
      </c>
      <c r="C3606" t="s">
        <v>7556</v>
      </c>
      <c r="D3606" t="s">
        <v>375</v>
      </c>
      <c r="P3606">
        <v>90</v>
      </c>
      <c r="Q3606" t="s">
        <v>7557</v>
      </c>
    </row>
    <row r="3607" spans="1:17" x14ac:dyDescent="0.3">
      <c r="A3607" t="s">
        <v>4708</v>
      </c>
      <c r="B3607" t="str">
        <f>"002916"</f>
        <v>002916</v>
      </c>
      <c r="C3607" t="s">
        <v>7558</v>
      </c>
      <c r="D3607" t="s">
        <v>425</v>
      </c>
      <c r="P3607">
        <v>2552</v>
      </c>
      <c r="Q3607" t="s">
        <v>7559</v>
      </c>
    </row>
    <row r="3608" spans="1:17" x14ac:dyDescent="0.3">
      <c r="A3608" t="s">
        <v>4708</v>
      </c>
      <c r="B3608" t="str">
        <f>"002917"</f>
        <v>002917</v>
      </c>
      <c r="C3608" t="s">
        <v>7560</v>
      </c>
      <c r="D3608" t="s">
        <v>2725</v>
      </c>
      <c r="P3608">
        <v>67</v>
      </c>
      <c r="Q3608" t="s">
        <v>7561</v>
      </c>
    </row>
    <row r="3609" spans="1:17" x14ac:dyDescent="0.3">
      <c r="A3609" t="s">
        <v>4708</v>
      </c>
      <c r="B3609" t="str">
        <f>"002918"</f>
        <v>002918</v>
      </c>
      <c r="C3609" t="s">
        <v>7562</v>
      </c>
      <c r="D3609" t="s">
        <v>178</v>
      </c>
      <c r="P3609">
        <v>529</v>
      </c>
      <c r="Q3609" t="s">
        <v>7563</v>
      </c>
    </row>
    <row r="3610" spans="1:17" x14ac:dyDescent="0.3">
      <c r="A3610" t="s">
        <v>4708</v>
      </c>
      <c r="B3610" t="str">
        <f>"002919"</f>
        <v>002919</v>
      </c>
      <c r="C3610" t="s">
        <v>7564</v>
      </c>
      <c r="D3610" t="s">
        <v>569</v>
      </c>
      <c r="P3610">
        <v>146</v>
      </c>
      <c r="Q3610" t="s">
        <v>7565</v>
      </c>
    </row>
    <row r="3611" spans="1:17" x14ac:dyDescent="0.3">
      <c r="A3611" t="s">
        <v>4708</v>
      </c>
      <c r="B3611" t="str">
        <f>"002920"</f>
        <v>002920</v>
      </c>
      <c r="C3611" t="s">
        <v>7566</v>
      </c>
      <c r="D3611" t="s">
        <v>945</v>
      </c>
      <c r="P3611">
        <v>688</v>
      </c>
      <c r="Q3611" t="s">
        <v>7567</v>
      </c>
    </row>
    <row r="3612" spans="1:17" x14ac:dyDescent="0.3">
      <c r="A3612" t="s">
        <v>4708</v>
      </c>
      <c r="B3612" t="str">
        <f>"002921"</f>
        <v>002921</v>
      </c>
      <c r="C3612" t="s">
        <v>7568</v>
      </c>
      <c r="D3612" t="s">
        <v>985</v>
      </c>
      <c r="P3612">
        <v>95</v>
      </c>
      <c r="Q3612" t="s">
        <v>7569</v>
      </c>
    </row>
    <row r="3613" spans="1:17" x14ac:dyDescent="0.3">
      <c r="A3613" t="s">
        <v>4708</v>
      </c>
      <c r="B3613" t="str">
        <f>"002922"</f>
        <v>002922</v>
      </c>
      <c r="C3613" t="s">
        <v>7570</v>
      </c>
      <c r="D3613" t="s">
        <v>651</v>
      </c>
      <c r="P3613">
        <v>170</v>
      </c>
      <c r="Q3613" t="s">
        <v>7571</v>
      </c>
    </row>
    <row r="3614" spans="1:17" x14ac:dyDescent="0.3">
      <c r="A3614" t="s">
        <v>4708</v>
      </c>
      <c r="B3614" t="str">
        <f>"002923"</f>
        <v>002923</v>
      </c>
      <c r="C3614" t="s">
        <v>7572</v>
      </c>
      <c r="D3614" t="s">
        <v>143</v>
      </c>
      <c r="P3614">
        <v>165</v>
      </c>
      <c r="Q3614" t="s">
        <v>7573</v>
      </c>
    </row>
    <row r="3615" spans="1:17" x14ac:dyDescent="0.3">
      <c r="A3615" t="s">
        <v>4708</v>
      </c>
      <c r="B3615" t="str">
        <f>"002925"</f>
        <v>002925</v>
      </c>
      <c r="C3615" t="s">
        <v>7574</v>
      </c>
      <c r="D3615" t="s">
        <v>313</v>
      </c>
      <c r="P3615">
        <v>1061</v>
      </c>
      <c r="Q3615" t="s">
        <v>7575</v>
      </c>
    </row>
    <row r="3616" spans="1:17" x14ac:dyDescent="0.3">
      <c r="A3616" t="s">
        <v>4708</v>
      </c>
      <c r="B3616" t="str">
        <f>"002926"</f>
        <v>002926</v>
      </c>
      <c r="C3616" t="s">
        <v>7576</v>
      </c>
      <c r="D3616" t="s">
        <v>80</v>
      </c>
      <c r="P3616">
        <v>921</v>
      </c>
      <c r="Q3616" t="s">
        <v>7577</v>
      </c>
    </row>
    <row r="3617" spans="1:17" x14ac:dyDescent="0.3">
      <c r="A3617" t="s">
        <v>4708</v>
      </c>
      <c r="B3617" t="str">
        <f>"002927"</f>
        <v>002927</v>
      </c>
      <c r="C3617" t="s">
        <v>7578</v>
      </c>
      <c r="D3617" t="s">
        <v>657</v>
      </c>
      <c r="P3617">
        <v>117</v>
      </c>
      <c r="Q3617" t="s">
        <v>7579</v>
      </c>
    </row>
    <row r="3618" spans="1:17" x14ac:dyDescent="0.3">
      <c r="A3618" t="s">
        <v>4708</v>
      </c>
      <c r="B3618" t="str">
        <f>"002928"</f>
        <v>002928</v>
      </c>
      <c r="C3618" t="s">
        <v>7580</v>
      </c>
      <c r="D3618" t="s">
        <v>77</v>
      </c>
      <c r="P3618">
        <v>333</v>
      </c>
      <c r="Q3618" t="s">
        <v>7581</v>
      </c>
    </row>
    <row r="3619" spans="1:17" x14ac:dyDescent="0.3">
      <c r="A3619" t="s">
        <v>4708</v>
      </c>
      <c r="B3619" t="str">
        <f>"002929"</f>
        <v>002929</v>
      </c>
      <c r="C3619" t="s">
        <v>7582</v>
      </c>
      <c r="D3619" t="s">
        <v>654</v>
      </c>
      <c r="P3619">
        <v>270</v>
      </c>
      <c r="Q3619" t="s">
        <v>7583</v>
      </c>
    </row>
    <row r="3620" spans="1:17" x14ac:dyDescent="0.3">
      <c r="A3620" t="s">
        <v>4708</v>
      </c>
      <c r="B3620" t="str">
        <f>"002930"</f>
        <v>002930</v>
      </c>
      <c r="C3620" t="s">
        <v>7584</v>
      </c>
      <c r="D3620" t="s">
        <v>1592</v>
      </c>
      <c r="P3620">
        <v>160</v>
      </c>
      <c r="Q3620" t="s">
        <v>7585</v>
      </c>
    </row>
    <row r="3621" spans="1:17" x14ac:dyDescent="0.3">
      <c r="A3621" t="s">
        <v>4708</v>
      </c>
      <c r="B3621" t="str">
        <f>"002931"</f>
        <v>002931</v>
      </c>
      <c r="C3621" t="s">
        <v>7586</v>
      </c>
      <c r="D3621" t="s">
        <v>274</v>
      </c>
      <c r="P3621">
        <v>107</v>
      </c>
      <c r="Q3621" t="s">
        <v>7587</v>
      </c>
    </row>
    <row r="3622" spans="1:17" x14ac:dyDescent="0.3">
      <c r="A3622" t="s">
        <v>4708</v>
      </c>
      <c r="B3622" t="str">
        <f>"002932"</f>
        <v>002932</v>
      </c>
      <c r="C3622" t="s">
        <v>7588</v>
      </c>
      <c r="D3622" t="s">
        <v>1305</v>
      </c>
      <c r="P3622">
        <v>423</v>
      </c>
      <c r="Q3622" t="s">
        <v>7589</v>
      </c>
    </row>
    <row r="3623" spans="1:17" x14ac:dyDescent="0.3">
      <c r="A3623" t="s">
        <v>4708</v>
      </c>
      <c r="B3623" t="str">
        <f>"002933"</f>
        <v>002933</v>
      </c>
      <c r="C3623" t="s">
        <v>7590</v>
      </c>
      <c r="D3623" t="s">
        <v>98</v>
      </c>
      <c r="P3623">
        <v>314</v>
      </c>
      <c r="Q3623" t="s">
        <v>7591</v>
      </c>
    </row>
    <row r="3624" spans="1:17" x14ac:dyDescent="0.3">
      <c r="A3624" t="s">
        <v>4708</v>
      </c>
      <c r="B3624" t="str">
        <f>"002935"</f>
        <v>002935</v>
      </c>
      <c r="C3624" t="s">
        <v>7592</v>
      </c>
      <c r="D3624" t="s">
        <v>1136</v>
      </c>
      <c r="P3624">
        <v>203</v>
      </c>
      <c r="Q3624" t="s">
        <v>7593</v>
      </c>
    </row>
    <row r="3625" spans="1:17" x14ac:dyDescent="0.3">
      <c r="A3625" t="s">
        <v>4708</v>
      </c>
      <c r="B3625" t="str">
        <f>"002936"</f>
        <v>002936</v>
      </c>
      <c r="C3625" t="s">
        <v>7594</v>
      </c>
      <c r="D3625" t="s">
        <v>1838</v>
      </c>
      <c r="P3625">
        <v>469</v>
      </c>
      <c r="Q3625" t="s">
        <v>7595</v>
      </c>
    </row>
    <row r="3626" spans="1:17" x14ac:dyDescent="0.3">
      <c r="A3626" t="s">
        <v>4708</v>
      </c>
      <c r="B3626" t="str">
        <f>"002937"</f>
        <v>002937</v>
      </c>
      <c r="C3626" t="s">
        <v>7596</v>
      </c>
      <c r="D3626" t="s">
        <v>313</v>
      </c>
      <c r="P3626">
        <v>209</v>
      </c>
      <c r="Q3626" t="s">
        <v>7597</v>
      </c>
    </row>
    <row r="3627" spans="1:17" x14ac:dyDescent="0.3">
      <c r="A3627" t="s">
        <v>4708</v>
      </c>
      <c r="B3627" t="str">
        <f>"002938"</f>
        <v>002938</v>
      </c>
      <c r="C3627" t="s">
        <v>7598</v>
      </c>
      <c r="D3627" t="s">
        <v>425</v>
      </c>
      <c r="P3627">
        <v>961</v>
      </c>
      <c r="Q3627" t="s">
        <v>7599</v>
      </c>
    </row>
    <row r="3628" spans="1:17" x14ac:dyDescent="0.3">
      <c r="A3628" t="s">
        <v>4708</v>
      </c>
      <c r="B3628" t="str">
        <f>"002939"</f>
        <v>002939</v>
      </c>
      <c r="C3628" t="s">
        <v>7600</v>
      </c>
      <c r="D3628" t="s">
        <v>80</v>
      </c>
      <c r="P3628">
        <v>832</v>
      </c>
      <c r="Q3628" t="s">
        <v>7601</v>
      </c>
    </row>
    <row r="3629" spans="1:17" x14ac:dyDescent="0.3">
      <c r="A3629" t="s">
        <v>4708</v>
      </c>
      <c r="B3629" t="str">
        <f>"002940"</f>
        <v>002940</v>
      </c>
      <c r="C3629" t="s">
        <v>7602</v>
      </c>
      <c r="D3629" t="s">
        <v>143</v>
      </c>
      <c r="P3629">
        <v>148</v>
      </c>
      <c r="Q3629" t="s">
        <v>7603</v>
      </c>
    </row>
    <row r="3630" spans="1:17" x14ac:dyDescent="0.3">
      <c r="A3630" t="s">
        <v>4708</v>
      </c>
      <c r="B3630" t="str">
        <f>"002941"</f>
        <v>002941</v>
      </c>
      <c r="C3630" t="s">
        <v>7604</v>
      </c>
      <c r="D3630" t="s">
        <v>101</v>
      </c>
      <c r="P3630">
        <v>145</v>
      </c>
      <c r="Q3630" t="s">
        <v>7605</v>
      </c>
    </row>
    <row r="3631" spans="1:17" x14ac:dyDescent="0.3">
      <c r="A3631" t="s">
        <v>4708</v>
      </c>
      <c r="B3631" t="str">
        <f>"002942"</f>
        <v>002942</v>
      </c>
      <c r="C3631" t="s">
        <v>7606</v>
      </c>
      <c r="D3631" t="s">
        <v>853</v>
      </c>
      <c r="P3631">
        <v>414</v>
      </c>
      <c r="Q3631" t="s">
        <v>7607</v>
      </c>
    </row>
    <row r="3632" spans="1:17" x14ac:dyDescent="0.3">
      <c r="A3632" t="s">
        <v>4708</v>
      </c>
      <c r="B3632" t="str">
        <f>"002943"</f>
        <v>002943</v>
      </c>
      <c r="C3632" t="s">
        <v>7608</v>
      </c>
      <c r="D3632" t="s">
        <v>2314</v>
      </c>
      <c r="P3632">
        <v>74</v>
      </c>
      <c r="Q3632" t="s">
        <v>7609</v>
      </c>
    </row>
    <row r="3633" spans="1:17" x14ac:dyDescent="0.3">
      <c r="A3633" t="s">
        <v>4708</v>
      </c>
      <c r="B3633" t="str">
        <f>"002945"</f>
        <v>002945</v>
      </c>
      <c r="C3633" t="s">
        <v>7610</v>
      </c>
      <c r="D3633" t="s">
        <v>80</v>
      </c>
      <c r="P3633">
        <v>913</v>
      </c>
      <c r="Q3633" t="s">
        <v>7611</v>
      </c>
    </row>
    <row r="3634" spans="1:17" x14ac:dyDescent="0.3">
      <c r="A3634" t="s">
        <v>4708</v>
      </c>
      <c r="B3634" t="str">
        <f>"002946"</f>
        <v>002946</v>
      </c>
      <c r="C3634" t="s">
        <v>7612</v>
      </c>
      <c r="D3634" t="s">
        <v>900</v>
      </c>
      <c r="P3634">
        <v>342</v>
      </c>
      <c r="Q3634" t="s">
        <v>7613</v>
      </c>
    </row>
    <row r="3635" spans="1:17" x14ac:dyDescent="0.3">
      <c r="A3635" t="s">
        <v>4708</v>
      </c>
      <c r="B3635" t="str">
        <f>"002947"</f>
        <v>002947</v>
      </c>
      <c r="C3635" t="s">
        <v>7614</v>
      </c>
      <c r="D3635" t="s">
        <v>313</v>
      </c>
      <c r="P3635">
        <v>266</v>
      </c>
      <c r="Q3635" t="s">
        <v>7615</v>
      </c>
    </row>
    <row r="3636" spans="1:17" x14ac:dyDescent="0.3">
      <c r="A3636" t="s">
        <v>4708</v>
      </c>
      <c r="B3636" t="str">
        <f>"002948"</f>
        <v>002948</v>
      </c>
      <c r="C3636" t="s">
        <v>7616</v>
      </c>
      <c r="D3636" t="s">
        <v>1838</v>
      </c>
      <c r="P3636">
        <v>458</v>
      </c>
      <c r="Q3636" t="s">
        <v>7617</v>
      </c>
    </row>
    <row r="3637" spans="1:17" x14ac:dyDescent="0.3">
      <c r="A3637" t="s">
        <v>4708</v>
      </c>
      <c r="B3637" t="str">
        <f>"002949"</f>
        <v>002949</v>
      </c>
      <c r="C3637" t="s">
        <v>7618</v>
      </c>
      <c r="D3637" t="s">
        <v>1272</v>
      </c>
      <c r="P3637">
        <v>158</v>
      </c>
      <c r="Q3637" t="s">
        <v>7619</v>
      </c>
    </row>
    <row r="3638" spans="1:17" x14ac:dyDescent="0.3">
      <c r="A3638" t="s">
        <v>4708</v>
      </c>
      <c r="B3638" t="str">
        <f>"002950"</f>
        <v>002950</v>
      </c>
      <c r="C3638" t="s">
        <v>7620</v>
      </c>
      <c r="D3638" t="s">
        <v>1077</v>
      </c>
      <c r="P3638">
        <v>1080</v>
      </c>
      <c r="Q3638" t="s">
        <v>7621</v>
      </c>
    </row>
    <row r="3639" spans="1:17" x14ac:dyDescent="0.3">
      <c r="A3639" t="s">
        <v>4708</v>
      </c>
      <c r="B3639" t="str">
        <f>"002951"</f>
        <v>002951</v>
      </c>
      <c r="C3639" t="s">
        <v>7622</v>
      </c>
      <c r="D3639" t="s">
        <v>2158</v>
      </c>
      <c r="P3639">
        <v>93</v>
      </c>
      <c r="Q3639" t="s">
        <v>7623</v>
      </c>
    </row>
    <row r="3640" spans="1:17" x14ac:dyDescent="0.3">
      <c r="A3640" t="s">
        <v>4708</v>
      </c>
      <c r="B3640" t="str">
        <f>"002952"</f>
        <v>002952</v>
      </c>
      <c r="C3640" t="s">
        <v>7624</v>
      </c>
      <c r="D3640" t="s">
        <v>1117</v>
      </c>
      <c r="P3640">
        <v>79</v>
      </c>
      <c r="Q3640" t="s">
        <v>7625</v>
      </c>
    </row>
    <row r="3641" spans="1:17" x14ac:dyDescent="0.3">
      <c r="A3641" t="s">
        <v>4708</v>
      </c>
      <c r="B3641" t="str">
        <f>"002953"</f>
        <v>002953</v>
      </c>
      <c r="C3641" t="s">
        <v>7626</v>
      </c>
      <c r="D3641" t="s">
        <v>1164</v>
      </c>
      <c r="P3641">
        <v>99</v>
      </c>
      <c r="Q3641" t="s">
        <v>7627</v>
      </c>
    </row>
    <row r="3642" spans="1:17" x14ac:dyDescent="0.3">
      <c r="A3642" t="s">
        <v>4708</v>
      </c>
      <c r="B3642" t="str">
        <f>"002955"</f>
        <v>002955</v>
      </c>
      <c r="C3642" t="s">
        <v>7628</v>
      </c>
      <c r="D3642" t="s">
        <v>1117</v>
      </c>
      <c r="P3642">
        <v>167</v>
      </c>
      <c r="Q3642" t="s">
        <v>7629</v>
      </c>
    </row>
    <row r="3643" spans="1:17" x14ac:dyDescent="0.3">
      <c r="A3643" t="s">
        <v>4708</v>
      </c>
      <c r="B3643" t="str">
        <f>"002956"</f>
        <v>002956</v>
      </c>
      <c r="C3643" t="s">
        <v>7630</v>
      </c>
      <c r="D3643" t="s">
        <v>2481</v>
      </c>
      <c r="P3643">
        <v>281</v>
      </c>
      <c r="Q3643" t="s">
        <v>7631</v>
      </c>
    </row>
    <row r="3644" spans="1:17" x14ac:dyDescent="0.3">
      <c r="A3644" t="s">
        <v>4708</v>
      </c>
      <c r="B3644" t="str">
        <f>"002957"</f>
        <v>002957</v>
      </c>
      <c r="C3644" t="s">
        <v>7632</v>
      </c>
      <c r="D3644" t="s">
        <v>2425</v>
      </c>
      <c r="P3644">
        <v>182</v>
      </c>
      <c r="Q3644" t="s">
        <v>7633</v>
      </c>
    </row>
    <row r="3645" spans="1:17" x14ac:dyDescent="0.3">
      <c r="A3645" t="s">
        <v>4708</v>
      </c>
      <c r="B3645" t="str">
        <f>"002958"</f>
        <v>002958</v>
      </c>
      <c r="C3645" t="s">
        <v>7634</v>
      </c>
      <c r="D3645" t="s">
        <v>1827</v>
      </c>
      <c r="P3645">
        <v>416</v>
      </c>
      <c r="Q3645" t="s">
        <v>7635</v>
      </c>
    </row>
    <row r="3646" spans="1:17" x14ac:dyDescent="0.3">
      <c r="A3646" t="s">
        <v>4708</v>
      </c>
      <c r="B3646" t="str">
        <f>"002959"</f>
        <v>002959</v>
      </c>
      <c r="C3646" t="s">
        <v>7636</v>
      </c>
      <c r="D3646" t="s">
        <v>5764</v>
      </c>
      <c r="P3646">
        <v>1479</v>
      </c>
      <c r="Q3646" t="s">
        <v>7637</v>
      </c>
    </row>
    <row r="3647" spans="1:17" x14ac:dyDescent="0.3">
      <c r="A3647" t="s">
        <v>4708</v>
      </c>
      <c r="B3647" t="str">
        <f>"002960"</f>
        <v>002960</v>
      </c>
      <c r="C3647" t="s">
        <v>7638</v>
      </c>
      <c r="D3647" t="s">
        <v>1689</v>
      </c>
      <c r="P3647">
        <v>389</v>
      </c>
      <c r="Q3647" t="s">
        <v>7639</v>
      </c>
    </row>
    <row r="3648" spans="1:17" x14ac:dyDescent="0.3">
      <c r="A3648" t="s">
        <v>4708</v>
      </c>
      <c r="B3648" t="str">
        <f>"002961"</f>
        <v>002961</v>
      </c>
      <c r="C3648" t="s">
        <v>7640</v>
      </c>
      <c r="D3648" t="s">
        <v>1843</v>
      </c>
      <c r="P3648">
        <v>121</v>
      </c>
      <c r="Q3648" t="s">
        <v>7641</v>
      </c>
    </row>
    <row r="3649" spans="1:17" x14ac:dyDescent="0.3">
      <c r="A3649" t="s">
        <v>4708</v>
      </c>
      <c r="B3649" t="str">
        <f>"002962"</f>
        <v>002962</v>
      </c>
      <c r="C3649" t="s">
        <v>7642</v>
      </c>
      <c r="D3649" t="s">
        <v>164</v>
      </c>
      <c r="P3649">
        <v>137</v>
      </c>
      <c r="Q3649" t="s">
        <v>7643</v>
      </c>
    </row>
    <row r="3650" spans="1:17" x14ac:dyDescent="0.3">
      <c r="A3650" t="s">
        <v>4708</v>
      </c>
      <c r="B3650" t="str">
        <f>"002963"</f>
        <v>002963</v>
      </c>
      <c r="C3650" t="s">
        <v>7644</v>
      </c>
      <c r="D3650" t="s">
        <v>450</v>
      </c>
      <c r="P3650">
        <v>75</v>
      </c>
      <c r="Q3650" t="s">
        <v>7645</v>
      </c>
    </row>
    <row r="3651" spans="1:17" x14ac:dyDescent="0.3">
      <c r="A3651" t="s">
        <v>4708</v>
      </c>
      <c r="B3651" t="str">
        <f>"002965"</f>
        <v>002965</v>
      </c>
      <c r="C3651" t="s">
        <v>7646</v>
      </c>
      <c r="D3651" t="s">
        <v>274</v>
      </c>
      <c r="P3651">
        <v>400</v>
      </c>
      <c r="Q3651" t="s">
        <v>7647</v>
      </c>
    </row>
    <row r="3652" spans="1:17" x14ac:dyDescent="0.3">
      <c r="A3652" t="s">
        <v>4708</v>
      </c>
      <c r="B3652" t="str">
        <f>"002966"</f>
        <v>002966</v>
      </c>
      <c r="C3652" t="s">
        <v>7648</v>
      </c>
      <c r="D3652" t="s">
        <v>1838</v>
      </c>
      <c r="P3652">
        <v>365</v>
      </c>
      <c r="Q3652" t="s">
        <v>7649</v>
      </c>
    </row>
    <row r="3653" spans="1:17" x14ac:dyDescent="0.3">
      <c r="A3653" t="s">
        <v>4708</v>
      </c>
      <c r="B3653" t="str">
        <f>"002967"</f>
        <v>002967</v>
      </c>
      <c r="C3653" t="s">
        <v>7650</v>
      </c>
      <c r="D3653" t="s">
        <v>2503</v>
      </c>
      <c r="P3653">
        <v>236</v>
      </c>
      <c r="Q3653" t="s">
        <v>7651</v>
      </c>
    </row>
    <row r="3654" spans="1:17" x14ac:dyDescent="0.3">
      <c r="A3654" t="s">
        <v>4708</v>
      </c>
      <c r="B3654" t="str">
        <f>"002968"</f>
        <v>002968</v>
      </c>
      <c r="C3654" t="s">
        <v>7652</v>
      </c>
      <c r="D3654" t="s">
        <v>2960</v>
      </c>
      <c r="P3654">
        <v>234</v>
      </c>
      <c r="Q3654" t="s">
        <v>7653</v>
      </c>
    </row>
    <row r="3655" spans="1:17" x14ac:dyDescent="0.3">
      <c r="A3655" t="s">
        <v>4708</v>
      </c>
      <c r="B3655" t="str">
        <f>"002969"</f>
        <v>002969</v>
      </c>
      <c r="C3655" t="s">
        <v>7654</v>
      </c>
      <c r="D3655" t="s">
        <v>2366</v>
      </c>
      <c r="P3655">
        <v>78</v>
      </c>
      <c r="Q3655" t="s">
        <v>7655</v>
      </c>
    </row>
    <row r="3656" spans="1:17" x14ac:dyDescent="0.3">
      <c r="A3656" t="s">
        <v>4708</v>
      </c>
      <c r="B3656" t="str">
        <f>"002970"</f>
        <v>002970</v>
      </c>
      <c r="C3656" t="s">
        <v>7656</v>
      </c>
      <c r="D3656" t="s">
        <v>236</v>
      </c>
      <c r="P3656">
        <v>563</v>
      </c>
      <c r="Q3656" t="s">
        <v>7657</v>
      </c>
    </row>
    <row r="3657" spans="1:17" x14ac:dyDescent="0.3">
      <c r="A3657" t="s">
        <v>4708</v>
      </c>
      <c r="B3657" t="str">
        <f>"002971"</f>
        <v>002971</v>
      </c>
      <c r="C3657" t="s">
        <v>7658</v>
      </c>
      <c r="D3657" t="s">
        <v>386</v>
      </c>
      <c r="P3657">
        <v>70</v>
      </c>
      <c r="Q3657" t="s">
        <v>7659</v>
      </c>
    </row>
    <row r="3658" spans="1:17" x14ac:dyDescent="0.3">
      <c r="A3658" t="s">
        <v>4708</v>
      </c>
      <c r="B3658" t="str">
        <f>"002972"</f>
        <v>002972</v>
      </c>
      <c r="C3658" t="s">
        <v>7660</v>
      </c>
      <c r="D3658" t="s">
        <v>1012</v>
      </c>
      <c r="P3658">
        <v>188</v>
      </c>
      <c r="Q3658" t="s">
        <v>7661</v>
      </c>
    </row>
    <row r="3659" spans="1:17" x14ac:dyDescent="0.3">
      <c r="A3659" t="s">
        <v>4708</v>
      </c>
      <c r="B3659" t="str">
        <f>"002973"</f>
        <v>002973</v>
      </c>
      <c r="C3659" t="s">
        <v>7662</v>
      </c>
      <c r="D3659" t="s">
        <v>499</v>
      </c>
      <c r="P3659">
        <v>212</v>
      </c>
      <c r="Q3659" t="s">
        <v>7663</v>
      </c>
    </row>
    <row r="3660" spans="1:17" x14ac:dyDescent="0.3">
      <c r="A3660" t="s">
        <v>4708</v>
      </c>
      <c r="B3660" t="str">
        <f>"002975"</f>
        <v>002975</v>
      </c>
      <c r="C3660" t="s">
        <v>7664</v>
      </c>
      <c r="D3660" t="s">
        <v>2425</v>
      </c>
      <c r="P3660">
        <v>293</v>
      </c>
      <c r="Q3660" t="s">
        <v>7665</v>
      </c>
    </row>
    <row r="3661" spans="1:17" x14ac:dyDescent="0.3">
      <c r="A3661" t="s">
        <v>4708</v>
      </c>
      <c r="B3661" t="str">
        <f>"002976"</f>
        <v>002976</v>
      </c>
      <c r="C3661" t="s">
        <v>7666</v>
      </c>
      <c r="D3661" t="s">
        <v>313</v>
      </c>
      <c r="P3661">
        <v>104</v>
      </c>
      <c r="Q3661" t="s">
        <v>7667</v>
      </c>
    </row>
    <row r="3662" spans="1:17" x14ac:dyDescent="0.3">
      <c r="A3662" t="s">
        <v>4708</v>
      </c>
      <c r="B3662" t="str">
        <f>"002977"</f>
        <v>002977</v>
      </c>
      <c r="C3662" t="s">
        <v>7668</v>
      </c>
      <c r="D3662" t="s">
        <v>1136</v>
      </c>
      <c r="P3662">
        <v>126</v>
      </c>
      <c r="Q3662" t="s">
        <v>7669</v>
      </c>
    </row>
    <row r="3663" spans="1:17" x14ac:dyDescent="0.3">
      <c r="A3663" t="s">
        <v>4708</v>
      </c>
      <c r="B3663" t="str">
        <f>"002978"</f>
        <v>002978</v>
      </c>
      <c r="C3663" t="s">
        <v>7670</v>
      </c>
      <c r="D3663" t="s">
        <v>636</v>
      </c>
      <c r="P3663">
        <v>229</v>
      </c>
      <c r="Q3663" t="s">
        <v>7671</v>
      </c>
    </row>
    <row r="3664" spans="1:17" x14ac:dyDescent="0.3">
      <c r="A3664" t="s">
        <v>4708</v>
      </c>
      <c r="B3664" t="str">
        <f>"002979"</f>
        <v>002979</v>
      </c>
      <c r="C3664" t="s">
        <v>7672</v>
      </c>
      <c r="D3664" t="s">
        <v>2923</v>
      </c>
      <c r="P3664">
        <v>196</v>
      </c>
      <c r="Q3664" t="s">
        <v>7673</v>
      </c>
    </row>
    <row r="3665" spans="1:17" x14ac:dyDescent="0.3">
      <c r="A3665" t="s">
        <v>4708</v>
      </c>
      <c r="B3665" t="str">
        <f>"002980"</f>
        <v>002980</v>
      </c>
      <c r="C3665" t="s">
        <v>7674</v>
      </c>
      <c r="D3665" t="s">
        <v>2173</v>
      </c>
      <c r="P3665">
        <v>154</v>
      </c>
      <c r="Q3665" t="s">
        <v>7675</v>
      </c>
    </row>
    <row r="3666" spans="1:17" x14ac:dyDescent="0.3">
      <c r="A3666" t="s">
        <v>4708</v>
      </c>
      <c r="B3666" t="str">
        <f>"002981"</f>
        <v>002981</v>
      </c>
      <c r="C3666" t="s">
        <v>7676</v>
      </c>
      <c r="D3666" t="s">
        <v>313</v>
      </c>
      <c r="P3666">
        <v>73</v>
      </c>
      <c r="Q3666" t="s">
        <v>7677</v>
      </c>
    </row>
    <row r="3667" spans="1:17" x14ac:dyDescent="0.3">
      <c r="A3667" t="s">
        <v>4708</v>
      </c>
      <c r="B3667" t="str">
        <f>"002982"</f>
        <v>002982</v>
      </c>
      <c r="C3667" t="s">
        <v>7678</v>
      </c>
      <c r="D3667" t="s">
        <v>6225</v>
      </c>
      <c r="P3667">
        <v>131</v>
      </c>
      <c r="Q3667" t="s">
        <v>7679</v>
      </c>
    </row>
    <row r="3668" spans="1:17" x14ac:dyDescent="0.3">
      <c r="A3668" t="s">
        <v>4708</v>
      </c>
      <c r="B3668" t="str">
        <f>"002983"</f>
        <v>002983</v>
      </c>
      <c r="C3668" t="s">
        <v>7680</v>
      </c>
      <c r="D3668" t="s">
        <v>803</v>
      </c>
      <c r="P3668">
        <v>109</v>
      </c>
      <c r="Q3668" t="s">
        <v>7681</v>
      </c>
    </row>
    <row r="3669" spans="1:17" x14ac:dyDescent="0.3">
      <c r="A3669" t="s">
        <v>4708</v>
      </c>
      <c r="B3669" t="str">
        <f>"002984"</f>
        <v>002984</v>
      </c>
      <c r="C3669" t="s">
        <v>7682</v>
      </c>
      <c r="D3669" t="s">
        <v>422</v>
      </c>
      <c r="P3669">
        <v>203</v>
      </c>
      <c r="Q3669" t="s">
        <v>7683</v>
      </c>
    </row>
    <row r="3670" spans="1:17" x14ac:dyDescent="0.3">
      <c r="A3670" t="s">
        <v>4708</v>
      </c>
      <c r="B3670" t="str">
        <f>"002985"</f>
        <v>002985</v>
      </c>
      <c r="C3670" t="s">
        <v>7684</v>
      </c>
      <c r="D3670" t="s">
        <v>98</v>
      </c>
      <c r="P3670">
        <v>548</v>
      </c>
      <c r="Q3670" t="s">
        <v>7685</v>
      </c>
    </row>
    <row r="3671" spans="1:17" x14ac:dyDescent="0.3">
      <c r="A3671" t="s">
        <v>4708</v>
      </c>
      <c r="B3671" t="str">
        <f>"002986"</f>
        <v>002986</v>
      </c>
      <c r="C3671" t="s">
        <v>7686</v>
      </c>
      <c r="D3671" t="s">
        <v>1615</v>
      </c>
      <c r="P3671">
        <v>58</v>
      </c>
      <c r="Q3671" t="s">
        <v>7687</v>
      </c>
    </row>
    <row r="3672" spans="1:17" x14ac:dyDescent="0.3">
      <c r="A3672" t="s">
        <v>4708</v>
      </c>
      <c r="B3672" t="str">
        <f>"002987"</f>
        <v>002987</v>
      </c>
      <c r="C3672" t="s">
        <v>7688</v>
      </c>
      <c r="D3672" t="s">
        <v>945</v>
      </c>
      <c r="P3672">
        <v>127</v>
      </c>
      <c r="Q3672" t="s">
        <v>7689</v>
      </c>
    </row>
    <row r="3673" spans="1:17" x14ac:dyDescent="0.3">
      <c r="A3673" t="s">
        <v>4708</v>
      </c>
      <c r="B3673" t="str">
        <f>"002988"</f>
        <v>002988</v>
      </c>
      <c r="C3673" t="s">
        <v>7690</v>
      </c>
      <c r="D3673" t="s">
        <v>504</v>
      </c>
      <c r="P3673">
        <v>61</v>
      </c>
      <c r="Q3673" t="s">
        <v>7691</v>
      </c>
    </row>
    <row r="3674" spans="1:17" x14ac:dyDescent="0.3">
      <c r="A3674" t="s">
        <v>4708</v>
      </c>
      <c r="B3674" t="str">
        <f>"002989"</f>
        <v>002989</v>
      </c>
      <c r="C3674" t="s">
        <v>7692</v>
      </c>
      <c r="D3674" t="s">
        <v>450</v>
      </c>
      <c r="P3674">
        <v>137</v>
      </c>
      <c r="Q3674" t="s">
        <v>7693</v>
      </c>
    </row>
    <row r="3675" spans="1:17" x14ac:dyDescent="0.3">
      <c r="A3675" t="s">
        <v>4708</v>
      </c>
      <c r="B3675" t="str">
        <f>"002990"</f>
        <v>002990</v>
      </c>
      <c r="C3675" t="s">
        <v>7694</v>
      </c>
      <c r="D3675" t="s">
        <v>236</v>
      </c>
      <c r="P3675">
        <v>109</v>
      </c>
      <c r="Q3675" t="s">
        <v>7695</v>
      </c>
    </row>
    <row r="3676" spans="1:17" x14ac:dyDescent="0.3">
      <c r="A3676" t="s">
        <v>4708</v>
      </c>
      <c r="B3676" t="str">
        <f>"002991"</f>
        <v>002991</v>
      </c>
      <c r="C3676" t="s">
        <v>7696</v>
      </c>
      <c r="D3676" t="s">
        <v>3179</v>
      </c>
      <c r="P3676">
        <v>211</v>
      </c>
      <c r="Q3676" t="s">
        <v>7697</v>
      </c>
    </row>
    <row r="3677" spans="1:17" x14ac:dyDescent="0.3">
      <c r="A3677" t="s">
        <v>4708</v>
      </c>
      <c r="B3677" t="str">
        <f>"002992"</f>
        <v>002992</v>
      </c>
      <c r="C3677" t="s">
        <v>7698</v>
      </c>
      <c r="D3677" t="s">
        <v>1117</v>
      </c>
      <c r="P3677">
        <v>51</v>
      </c>
      <c r="Q3677" t="s">
        <v>7699</v>
      </c>
    </row>
    <row r="3678" spans="1:17" x14ac:dyDescent="0.3">
      <c r="A3678" t="s">
        <v>4708</v>
      </c>
      <c r="B3678" t="str">
        <f>"002993"</f>
        <v>002993</v>
      </c>
      <c r="C3678" t="s">
        <v>7700</v>
      </c>
      <c r="D3678" t="s">
        <v>313</v>
      </c>
      <c r="P3678">
        <v>145</v>
      </c>
      <c r="Q3678" t="s">
        <v>7701</v>
      </c>
    </row>
    <row r="3679" spans="1:17" x14ac:dyDescent="0.3">
      <c r="A3679" t="s">
        <v>4708</v>
      </c>
      <c r="B3679" t="str">
        <f>"002995"</f>
        <v>002995</v>
      </c>
      <c r="C3679" t="s">
        <v>7702</v>
      </c>
      <c r="D3679" t="s">
        <v>207</v>
      </c>
      <c r="P3679">
        <v>74</v>
      </c>
      <c r="Q3679" t="s">
        <v>7703</v>
      </c>
    </row>
    <row r="3680" spans="1:17" x14ac:dyDescent="0.3">
      <c r="A3680" t="s">
        <v>4708</v>
      </c>
      <c r="B3680" t="str">
        <f>"002996"</f>
        <v>002996</v>
      </c>
      <c r="C3680" t="s">
        <v>7704</v>
      </c>
      <c r="D3680" t="s">
        <v>504</v>
      </c>
      <c r="P3680">
        <v>73</v>
      </c>
      <c r="Q3680" t="s">
        <v>7705</v>
      </c>
    </row>
    <row r="3681" spans="1:17" x14ac:dyDescent="0.3">
      <c r="A3681" t="s">
        <v>4708</v>
      </c>
      <c r="B3681" t="str">
        <f>"002997"</f>
        <v>002997</v>
      </c>
      <c r="C3681" t="s">
        <v>7706</v>
      </c>
      <c r="D3681" t="s">
        <v>985</v>
      </c>
      <c r="P3681">
        <v>85</v>
      </c>
      <c r="Q3681" t="s">
        <v>7707</v>
      </c>
    </row>
    <row r="3682" spans="1:17" x14ac:dyDescent="0.3">
      <c r="A3682" t="s">
        <v>4708</v>
      </c>
      <c r="B3682" t="str">
        <f>"002998"</f>
        <v>002998</v>
      </c>
      <c r="C3682" t="s">
        <v>7708</v>
      </c>
      <c r="D3682" t="s">
        <v>2720</v>
      </c>
      <c r="P3682">
        <v>36</v>
      </c>
      <c r="Q3682" t="s">
        <v>7709</v>
      </c>
    </row>
    <row r="3683" spans="1:17" x14ac:dyDescent="0.3">
      <c r="A3683" t="s">
        <v>4708</v>
      </c>
      <c r="B3683" t="str">
        <f>"002999"</f>
        <v>002999</v>
      </c>
      <c r="C3683" t="s">
        <v>7710</v>
      </c>
      <c r="D3683" t="s">
        <v>5533</v>
      </c>
      <c r="P3683">
        <v>45</v>
      </c>
      <c r="Q3683" t="s">
        <v>7711</v>
      </c>
    </row>
    <row r="3684" spans="1:17" x14ac:dyDescent="0.3">
      <c r="A3684" t="s">
        <v>4708</v>
      </c>
      <c r="B3684" t="str">
        <f>"003000"</f>
        <v>003000</v>
      </c>
      <c r="C3684" t="s">
        <v>7712</v>
      </c>
      <c r="D3684" t="s">
        <v>3179</v>
      </c>
      <c r="P3684">
        <v>84</v>
      </c>
      <c r="Q3684" t="s">
        <v>7713</v>
      </c>
    </row>
    <row r="3685" spans="1:17" x14ac:dyDescent="0.3">
      <c r="A3685" t="s">
        <v>4708</v>
      </c>
      <c r="B3685" t="str">
        <f>"003001"</f>
        <v>003001</v>
      </c>
      <c r="C3685" t="s">
        <v>7714</v>
      </c>
      <c r="D3685" t="s">
        <v>1988</v>
      </c>
      <c r="P3685">
        <v>95</v>
      </c>
      <c r="Q3685" t="s">
        <v>7715</v>
      </c>
    </row>
    <row r="3686" spans="1:17" x14ac:dyDescent="0.3">
      <c r="A3686" t="s">
        <v>4708</v>
      </c>
      <c r="B3686" t="str">
        <f>"003002"</f>
        <v>003002</v>
      </c>
      <c r="C3686" t="s">
        <v>7716</v>
      </c>
      <c r="D3686" t="s">
        <v>2725</v>
      </c>
      <c r="P3686">
        <v>39</v>
      </c>
      <c r="Q3686" t="s">
        <v>7717</v>
      </c>
    </row>
    <row r="3687" spans="1:17" x14ac:dyDescent="0.3">
      <c r="A3687" t="s">
        <v>4708</v>
      </c>
      <c r="B3687" t="str">
        <f>"003003"</f>
        <v>003003</v>
      </c>
      <c r="C3687" t="s">
        <v>7718</v>
      </c>
      <c r="D3687" t="s">
        <v>2441</v>
      </c>
      <c r="P3687">
        <v>39</v>
      </c>
      <c r="Q3687" t="s">
        <v>7719</v>
      </c>
    </row>
    <row r="3688" spans="1:17" x14ac:dyDescent="0.3">
      <c r="A3688" t="s">
        <v>4708</v>
      </c>
      <c r="B3688" t="str">
        <f>"003004"</f>
        <v>003004</v>
      </c>
      <c r="C3688" t="s">
        <v>7720</v>
      </c>
      <c r="D3688" t="s">
        <v>2965</v>
      </c>
      <c r="P3688">
        <v>37</v>
      </c>
      <c r="Q3688" t="s">
        <v>7721</v>
      </c>
    </row>
    <row r="3689" spans="1:17" x14ac:dyDescent="0.3">
      <c r="A3689" t="s">
        <v>4708</v>
      </c>
      <c r="B3689" t="str">
        <f>"003005"</f>
        <v>003005</v>
      </c>
      <c r="C3689" t="s">
        <v>7722</v>
      </c>
      <c r="D3689" t="s">
        <v>316</v>
      </c>
      <c r="P3689">
        <v>68</v>
      </c>
      <c r="Q3689" t="s">
        <v>7723</v>
      </c>
    </row>
    <row r="3690" spans="1:17" x14ac:dyDescent="0.3">
      <c r="A3690" t="s">
        <v>4708</v>
      </c>
      <c r="B3690" t="str">
        <f>"003006"</f>
        <v>003006</v>
      </c>
      <c r="C3690" t="s">
        <v>7724</v>
      </c>
      <c r="D3690" t="s">
        <v>2740</v>
      </c>
      <c r="P3690">
        <v>172</v>
      </c>
      <c r="Q3690" t="s">
        <v>7725</v>
      </c>
    </row>
    <row r="3691" spans="1:17" x14ac:dyDescent="0.3">
      <c r="A3691" t="s">
        <v>4708</v>
      </c>
      <c r="B3691" t="str">
        <f>"003007"</f>
        <v>003007</v>
      </c>
      <c r="C3691" t="s">
        <v>7726</v>
      </c>
      <c r="D3691" t="s">
        <v>945</v>
      </c>
      <c r="P3691">
        <v>38</v>
      </c>
      <c r="Q3691" t="s">
        <v>7727</v>
      </c>
    </row>
    <row r="3692" spans="1:17" x14ac:dyDescent="0.3">
      <c r="A3692" t="s">
        <v>4708</v>
      </c>
      <c r="B3692" t="str">
        <f>"003008"</f>
        <v>003008</v>
      </c>
      <c r="C3692" t="s">
        <v>7728</v>
      </c>
      <c r="D3692" t="s">
        <v>2503</v>
      </c>
      <c r="P3692">
        <v>68</v>
      </c>
      <c r="Q3692" t="s">
        <v>7729</v>
      </c>
    </row>
    <row r="3693" spans="1:17" x14ac:dyDescent="0.3">
      <c r="A3693" t="s">
        <v>4708</v>
      </c>
      <c r="B3693" t="str">
        <f>"003009"</f>
        <v>003009</v>
      </c>
      <c r="C3693" t="s">
        <v>7730</v>
      </c>
      <c r="D3693" t="s">
        <v>284</v>
      </c>
      <c r="P3693">
        <v>105</v>
      </c>
      <c r="Q3693" t="s">
        <v>7731</v>
      </c>
    </row>
    <row r="3694" spans="1:17" x14ac:dyDescent="0.3">
      <c r="A3694" t="s">
        <v>4708</v>
      </c>
      <c r="B3694" t="str">
        <f>"003010"</f>
        <v>003010</v>
      </c>
      <c r="C3694" t="s">
        <v>7732</v>
      </c>
      <c r="D3694" t="s">
        <v>3602</v>
      </c>
      <c r="P3694">
        <v>58</v>
      </c>
      <c r="Q3694" t="s">
        <v>7733</v>
      </c>
    </row>
    <row r="3695" spans="1:17" x14ac:dyDescent="0.3">
      <c r="A3695" t="s">
        <v>4708</v>
      </c>
      <c r="B3695" t="str">
        <f>"003011"</f>
        <v>003011</v>
      </c>
      <c r="C3695" t="s">
        <v>7734</v>
      </c>
      <c r="D3695" t="s">
        <v>178</v>
      </c>
      <c r="P3695">
        <v>89</v>
      </c>
      <c r="Q3695" t="s">
        <v>7735</v>
      </c>
    </row>
    <row r="3696" spans="1:17" x14ac:dyDescent="0.3">
      <c r="A3696" t="s">
        <v>4708</v>
      </c>
      <c r="B3696" t="str">
        <f>"003012"</f>
        <v>003012</v>
      </c>
      <c r="C3696" t="s">
        <v>7736</v>
      </c>
      <c r="D3696" t="s">
        <v>178</v>
      </c>
      <c r="P3696">
        <v>120</v>
      </c>
      <c r="Q3696" t="s">
        <v>7737</v>
      </c>
    </row>
    <row r="3697" spans="1:17" x14ac:dyDescent="0.3">
      <c r="A3697" t="s">
        <v>4708</v>
      </c>
      <c r="B3697" t="str">
        <f>"003013"</f>
        <v>003013</v>
      </c>
      <c r="C3697" t="s">
        <v>7738</v>
      </c>
      <c r="D3697" t="s">
        <v>1272</v>
      </c>
      <c r="P3697">
        <v>101</v>
      </c>
      <c r="Q3697" t="s">
        <v>7739</v>
      </c>
    </row>
    <row r="3698" spans="1:17" x14ac:dyDescent="0.3">
      <c r="A3698" t="s">
        <v>4708</v>
      </c>
      <c r="B3698" t="str">
        <f>"003015"</f>
        <v>003015</v>
      </c>
      <c r="C3698" t="s">
        <v>7740</v>
      </c>
      <c r="D3698" t="s">
        <v>164</v>
      </c>
      <c r="P3698">
        <v>46</v>
      </c>
      <c r="Q3698" t="s">
        <v>7741</v>
      </c>
    </row>
    <row r="3699" spans="1:17" x14ac:dyDescent="0.3">
      <c r="A3699" t="s">
        <v>4708</v>
      </c>
      <c r="B3699" t="str">
        <f>"003016"</f>
        <v>003016</v>
      </c>
      <c r="C3699" t="s">
        <v>7742</v>
      </c>
      <c r="D3699" t="s">
        <v>255</v>
      </c>
      <c r="P3699">
        <v>58</v>
      </c>
      <c r="Q3699" t="s">
        <v>7743</v>
      </c>
    </row>
    <row r="3700" spans="1:17" x14ac:dyDescent="0.3">
      <c r="A3700" t="s">
        <v>4708</v>
      </c>
      <c r="B3700" t="str">
        <f>"003017"</f>
        <v>003017</v>
      </c>
      <c r="C3700" t="s">
        <v>7744</v>
      </c>
      <c r="D3700" t="s">
        <v>736</v>
      </c>
      <c r="P3700">
        <v>39</v>
      </c>
      <c r="Q3700" t="s">
        <v>7745</v>
      </c>
    </row>
    <row r="3701" spans="1:17" x14ac:dyDescent="0.3">
      <c r="A3701" t="s">
        <v>4708</v>
      </c>
      <c r="B3701" t="str">
        <f>"003018"</f>
        <v>003018</v>
      </c>
      <c r="C3701" t="s">
        <v>7746</v>
      </c>
      <c r="D3701" t="s">
        <v>485</v>
      </c>
      <c r="P3701">
        <v>38</v>
      </c>
      <c r="Q3701" t="s">
        <v>7747</v>
      </c>
    </row>
    <row r="3702" spans="1:17" x14ac:dyDescent="0.3">
      <c r="A3702" t="s">
        <v>4708</v>
      </c>
      <c r="B3702" t="str">
        <f>"003019"</f>
        <v>003019</v>
      </c>
      <c r="C3702" t="s">
        <v>7748</v>
      </c>
      <c r="D3702" t="s">
        <v>1117</v>
      </c>
      <c r="P3702">
        <v>62</v>
      </c>
      <c r="Q3702" t="s">
        <v>7749</v>
      </c>
    </row>
    <row r="3703" spans="1:17" x14ac:dyDescent="0.3">
      <c r="A3703" t="s">
        <v>4708</v>
      </c>
      <c r="B3703" t="str">
        <f>"003020"</f>
        <v>003020</v>
      </c>
      <c r="C3703" t="s">
        <v>7750</v>
      </c>
      <c r="D3703" t="s">
        <v>143</v>
      </c>
      <c r="P3703">
        <v>78</v>
      </c>
      <c r="Q3703" t="s">
        <v>7751</v>
      </c>
    </row>
    <row r="3704" spans="1:17" x14ac:dyDescent="0.3">
      <c r="A3704" t="s">
        <v>4708</v>
      </c>
      <c r="B3704" t="str">
        <f>"003021"</f>
        <v>003021</v>
      </c>
      <c r="C3704" t="s">
        <v>7752</v>
      </c>
      <c r="D3704" t="s">
        <v>1171</v>
      </c>
      <c r="P3704">
        <v>80</v>
      </c>
      <c r="Q3704" t="s">
        <v>7753</v>
      </c>
    </row>
    <row r="3705" spans="1:17" x14ac:dyDescent="0.3">
      <c r="A3705" t="s">
        <v>4708</v>
      </c>
      <c r="B3705" t="str">
        <f>"003022"</f>
        <v>003022</v>
      </c>
      <c r="C3705" t="s">
        <v>7754</v>
      </c>
      <c r="D3705" t="s">
        <v>478</v>
      </c>
      <c r="P3705">
        <v>205</v>
      </c>
      <c r="Q3705" t="s">
        <v>7755</v>
      </c>
    </row>
    <row r="3706" spans="1:17" x14ac:dyDescent="0.3">
      <c r="A3706" t="s">
        <v>4708</v>
      </c>
      <c r="B3706" t="str">
        <f>"003023"</f>
        <v>003023</v>
      </c>
      <c r="C3706" t="s">
        <v>7756</v>
      </c>
      <c r="D3706" t="s">
        <v>5764</v>
      </c>
      <c r="P3706">
        <v>49</v>
      </c>
      <c r="Q3706" t="s">
        <v>7757</v>
      </c>
    </row>
    <row r="3707" spans="1:17" x14ac:dyDescent="0.3">
      <c r="A3707" t="s">
        <v>4708</v>
      </c>
      <c r="B3707" t="str">
        <f>"003025"</f>
        <v>003025</v>
      </c>
      <c r="C3707" t="s">
        <v>7758</v>
      </c>
      <c r="D3707" t="s">
        <v>2314</v>
      </c>
      <c r="P3707">
        <v>118</v>
      </c>
      <c r="Q3707" t="s">
        <v>7759</v>
      </c>
    </row>
    <row r="3708" spans="1:17" x14ac:dyDescent="0.3">
      <c r="A3708" t="s">
        <v>4708</v>
      </c>
      <c r="B3708" t="str">
        <f>"003026"</f>
        <v>003026</v>
      </c>
      <c r="C3708" t="s">
        <v>7760</v>
      </c>
      <c r="D3708" t="s">
        <v>475</v>
      </c>
      <c r="P3708">
        <v>106</v>
      </c>
      <c r="Q3708" t="s">
        <v>7761</v>
      </c>
    </row>
    <row r="3709" spans="1:17" x14ac:dyDescent="0.3">
      <c r="A3709" t="s">
        <v>4708</v>
      </c>
      <c r="B3709" t="str">
        <f>"003027"</f>
        <v>003027</v>
      </c>
      <c r="C3709" t="s">
        <v>7762</v>
      </c>
      <c r="D3709" t="s">
        <v>663</v>
      </c>
      <c r="P3709">
        <v>58</v>
      </c>
      <c r="Q3709" t="s">
        <v>7763</v>
      </c>
    </row>
    <row r="3710" spans="1:17" x14ac:dyDescent="0.3">
      <c r="A3710" t="s">
        <v>4708</v>
      </c>
      <c r="B3710" t="str">
        <f>"003028"</f>
        <v>003028</v>
      </c>
      <c r="C3710" t="s">
        <v>7764</v>
      </c>
      <c r="D3710" t="s">
        <v>313</v>
      </c>
      <c r="P3710">
        <v>83</v>
      </c>
      <c r="Q3710" t="s">
        <v>7765</v>
      </c>
    </row>
    <row r="3711" spans="1:17" x14ac:dyDescent="0.3">
      <c r="A3711" t="s">
        <v>4708</v>
      </c>
      <c r="B3711" t="str">
        <f>"003029"</f>
        <v>003029</v>
      </c>
      <c r="C3711" t="s">
        <v>7766</v>
      </c>
      <c r="D3711" t="s">
        <v>945</v>
      </c>
      <c r="P3711">
        <v>75</v>
      </c>
      <c r="Q3711" t="s">
        <v>7767</v>
      </c>
    </row>
    <row r="3712" spans="1:17" x14ac:dyDescent="0.3">
      <c r="A3712" t="s">
        <v>4708</v>
      </c>
      <c r="B3712" t="str">
        <f>"003030"</f>
        <v>003030</v>
      </c>
      <c r="C3712" t="s">
        <v>7768</v>
      </c>
      <c r="D3712" t="s">
        <v>445</v>
      </c>
      <c r="P3712">
        <v>60</v>
      </c>
      <c r="Q3712" t="s">
        <v>7769</v>
      </c>
    </row>
    <row r="3713" spans="1:17" x14ac:dyDescent="0.3">
      <c r="A3713" t="s">
        <v>4708</v>
      </c>
      <c r="B3713" t="str">
        <f>"003031"</f>
        <v>003031</v>
      </c>
      <c r="C3713" t="s">
        <v>7770</v>
      </c>
      <c r="D3713" t="s">
        <v>786</v>
      </c>
      <c r="P3713">
        <v>87</v>
      </c>
      <c r="Q3713" t="s">
        <v>7771</v>
      </c>
    </row>
    <row r="3714" spans="1:17" x14ac:dyDescent="0.3">
      <c r="A3714" t="s">
        <v>4708</v>
      </c>
      <c r="B3714" t="str">
        <f>"003032"</f>
        <v>003032</v>
      </c>
      <c r="C3714" t="s">
        <v>7772</v>
      </c>
      <c r="D3714" t="s">
        <v>1336</v>
      </c>
      <c r="P3714">
        <v>59</v>
      </c>
      <c r="Q3714" t="s">
        <v>7773</v>
      </c>
    </row>
    <row r="3715" spans="1:17" x14ac:dyDescent="0.3">
      <c r="A3715" t="s">
        <v>4708</v>
      </c>
      <c r="B3715" t="str">
        <f>"003033"</f>
        <v>003033</v>
      </c>
      <c r="C3715" t="s">
        <v>7774</v>
      </c>
      <c r="D3715" t="s">
        <v>1654</v>
      </c>
      <c r="P3715">
        <v>67</v>
      </c>
      <c r="Q3715" t="s">
        <v>7775</v>
      </c>
    </row>
    <row r="3716" spans="1:17" x14ac:dyDescent="0.3">
      <c r="A3716" t="s">
        <v>4708</v>
      </c>
      <c r="B3716" t="str">
        <f>"003035"</f>
        <v>003035</v>
      </c>
      <c r="C3716" t="s">
        <v>7776</v>
      </c>
      <c r="D3716" t="s">
        <v>239</v>
      </c>
      <c r="P3716">
        <v>278</v>
      </c>
      <c r="Q3716" t="s">
        <v>7777</v>
      </c>
    </row>
    <row r="3717" spans="1:17" x14ac:dyDescent="0.3">
      <c r="A3717" t="s">
        <v>4708</v>
      </c>
      <c r="B3717" t="str">
        <f>"003036"</f>
        <v>003036</v>
      </c>
      <c r="C3717" t="s">
        <v>7778</v>
      </c>
      <c r="D3717" t="s">
        <v>534</v>
      </c>
      <c r="P3717">
        <v>37</v>
      </c>
      <c r="Q3717" t="s">
        <v>7779</v>
      </c>
    </row>
    <row r="3718" spans="1:17" x14ac:dyDescent="0.3">
      <c r="A3718" t="s">
        <v>4708</v>
      </c>
      <c r="B3718" t="str">
        <f>"003037"</f>
        <v>003037</v>
      </c>
      <c r="C3718" t="s">
        <v>7780</v>
      </c>
      <c r="D3718" t="s">
        <v>3332</v>
      </c>
      <c r="P3718">
        <v>40</v>
      </c>
      <c r="Q3718" t="s">
        <v>7781</v>
      </c>
    </row>
    <row r="3719" spans="1:17" x14ac:dyDescent="0.3">
      <c r="A3719" t="s">
        <v>4708</v>
      </c>
      <c r="B3719" t="str">
        <f>"003038"</f>
        <v>003038</v>
      </c>
      <c r="C3719" t="s">
        <v>7782</v>
      </c>
      <c r="D3719" t="s">
        <v>504</v>
      </c>
      <c r="P3719">
        <v>74</v>
      </c>
      <c r="Q3719" t="s">
        <v>7783</v>
      </c>
    </row>
    <row r="3720" spans="1:17" x14ac:dyDescent="0.3">
      <c r="A3720" t="s">
        <v>4708</v>
      </c>
      <c r="B3720" t="str">
        <f>"003039"</f>
        <v>003039</v>
      </c>
      <c r="C3720" t="s">
        <v>7784</v>
      </c>
      <c r="D3720" t="s">
        <v>33</v>
      </c>
      <c r="P3720">
        <v>64</v>
      </c>
      <c r="Q3720" t="s">
        <v>7785</v>
      </c>
    </row>
    <row r="3721" spans="1:17" x14ac:dyDescent="0.3">
      <c r="A3721" t="s">
        <v>4708</v>
      </c>
      <c r="B3721" t="str">
        <f>"003040"</f>
        <v>003040</v>
      </c>
      <c r="C3721" t="s">
        <v>7786</v>
      </c>
      <c r="D3721" t="s">
        <v>786</v>
      </c>
      <c r="P3721">
        <v>61</v>
      </c>
      <c r="Q3721" t="s">
        <v>7787</v>
      </c>
    </row>
    <row r="3722" spans="1:17" x14ac:dyDescent="0.3">
      <c r="A3722" t="s">
        <v>4708</v>
      </c>
      <c r="B3722" t="str">
        <f>"003041"</f>
        <v>003041</v>
      </c>
      <c r="C3722" t="s">
        <v>7788</v>
      </c>
      <c r="D3722" t="s">
        <v>2874</v>
      </c>
      <c r="P3722">
        <v>30</v>
      </c>
      <c r="Q3722" t="s">
        <v>7789</v>
      </c>
    </row>
    <row r="3723" spans="1:17" x14ac:dyDescent="0.3">
      <c r="A3723" t="s">
        <v>4708</v>
      </c>
      <c r="B3723" t="str">
        <f>"003042"</f>
        <v>003042</v>
      </c>
      <c r="C3723" t="s">
        <v>7790</v>
      </c>
      <c r="D3723" t="s">
        <v>853</v>
      </c>
      <c r="P3723">
        <v>29</v>
      </c>
      <c r="Q3723" t="s">
        <v>7791</v>
      </c>
    </row>
    <row r="3724" spans="1:17" x14ac:dyDescent="0.3">
      <c r="A3724" t="s">
        <v>4708</v>
      </c>
      <c r="B3724" t="str">
        <f>"003043"</f>
        <v>003043</v>
      </c>
      <c r="C3724" t="s">
        <v>7792</v>
      </c>
      <c r="D3724" t="s">
        <v>3172</v>
      </c>
      <c r="P3724">
        <v>46</v>
      </c>
      <c r="Q3724" t="s">
        <v>7793</v>
      </c>
    </row>
    <row r="3725" spans="1:17" x14ac:dyDescent="0.3">
      <c r="A3725" t="s">
        <v>4708</v>
      </c>
      <c r="B3725" t="str">
        <f>"003816"</f>
        <v>003816</v>
      </c>
      <c r="C3725" t="s">
        <v>7794</v>
      </c>
      <c r="D3725" t="s">
        <v>2374</v>
      </c>
      <c r="P3725">
        <v>523</v>
      </c>
      <c r="Q3725" t="s">
        <v>7795</v>
      </c>
    </row>
    <row r="3726" spans="1:17" x14ac:dyDescent="0.3">
      <c r="A3726" t="s">
        <v>4708</v>
      </c>
      <c r="B3726" t="str">
        <f>"200002"</f>
        <v>200002</v>
      </c>
      <c r="C3726" t="s">
        <v>7796</v>
      </c>
      <c r="P3726">
        <v>22</v>
      </c>
      <c r="Q3726" t="s">
        <v>7797</v>
      </c>
    </row>
    <row r="3727" spans="1:17" x14ac:dyDescent="0.3">
      <c r="A3727" t="s">
        <v>4708</v>
      </c>
      <c r="B3727" t="str">
        <f>"200011"</f>
        <v>200011</v>
      </c>
      <c r="C3727" t="s">
        <v>7798</v>
      </c>
      <c r="P3727">
        <v>176</v>
      </c>
      <c r="Q3727" t="s">
        <v>7799</v>
      </c>
    </row>
    <row r="3728" spans="1:17" x14ac:dyDescent="0.3">
      <c r="A3728" t="s">
        <v>4708</v>
      </c>
      <c r="B3728" t="str">
        <f>"200012"</f>
        <v>200012</v>
      </c>
      <c r="C3728" t="s">
        <v>7800</v>
      </c>
      <c r="P3728">
        <v>85</v>
      </c>
      <c r="Q3728" t="s">
        <v>7801</v>
      </c>
    </row>
    <row r="3729" spans="1:17" x14ac:dyDescent="0.3">
      <c r="A3729" t="s">
        <v>4708</v>
      </c>
      <c r="B3729" t="str">
        <f>"200015"</f>
        <v>200015</v>
      </c>
      <c r="C3729" t="s">
        <v>7802</v>
      </c>
      <c r="P3729">
        <v>0</v>
      </c>
      <c r="Q3729" t="s">
        <v>7803</v>
      </c>
    </row>
    <row r="3730" spans="1:17" x14ac:dyDescent="0.3">
      <c r="A3730" t="s">
        <v>4708</v>
      </c>
      <c r="B3730" t="str">
        <f>"200016"</f>
        <v>200016</v>
      </c>
      <c r="C3730" t="s">
        <v>7804</v>
      </c>
      <c r="P3730">
        <v>36</v>
      </c>
      <c r="Q3730" t="s">
        <v>7805</v>
      </c>
    </row>
    <row r="3731" spans="1:17" x14ac:dyDescent="0.3">
      <c r="A3731" t="s">
        <v>4708</v>
      </c>
      <c r="B3731" t="str">
        <f>"200017"</f>
        <v>200017</v>
      </c>
      <c r="C3731" t="s">
        <v>7806</v>
      </c>
      <c r="P3731">
        <v>3</v>
      </c>
      <c r="Q3731" t="s">
        <v>7807</v>
      </c>
    </row>
    <row r="3732" spans="1:17" x14ac:dyDescent="0.3">
      <c r="A3732" t="s">
        <v>4708</v>
      </c>
      <c r="B3732" t="str">
        <f>"200018"</f>
        <v>200018</v>
      </c>
      <c r="C3732" t="s">
        <v>7808</v>
      </c>
      <c r="P3732">
        <v>13</v>
      </c>
      <c r="Q3732" t="s">
        <v>7809</v>
      </c>
    </row>
    <row r="3733" spans="1:17" x14ac:dyDescent="0.3">
      <c r="A3733" t="s">
        <v>4708</v>
      </c>
      <c r="B3733" t="str">
        <f>"200019"</f>
        <v>200019</v>
      </c>
      <c r="C3733" t="s">
        <v>7810</v>
      </c>
      <c r="P3733">
        <v>23</v>
      </c>
      <c r="Q3733" t="s">
        <v>7811</v>
      </c>
    </row>
    <row r="3734" spans="1:17" x14ac:dyDescent="0.3">
      <c r="A3734" t="s">
        <v>4708</v>
      </c>
      <c r="B3734" t="str">
        <f>"200020"</f>
        <v>200020</v>
      </c>
      <c r="C3734" t="s">
        <v>7812</v>
      </c>
      <c r="P3734">
        <v>6</v>
      </c>
      <c r="Q3734" t="s">
        <v>7813</v>
      </c>
    </row>
    <row r="3735" spans="1:17" x14ac:dyDescent="0.3">
      <c r="A3735" t="s">
        <v>4708</v>
      </c>
      <c r="B3735" t="str">
        <f>"200022"</f>
        <v>200022</v>
      </c>
      <c r="C3735" t="s">
        <v>7814</v>
      </c>
      <c r="P3735">
        <v>41</v>
      </c>
      <c r="Q3735" t="s">
        <v>7815</v>
      </c>
    </row>
    <row r="3736" spans="1:17" x14ac:dyDescent="0.3">
      <c r="A3736" t="s">
        <v>4708</v>
      </c>
      <c r="B3736" t="str">
        <f>"200024"</f>
        <v>200024</v>
      </c>
      <c r="C3736" t="s">
        <v>7816</v>
      </c>
      <c r="P3736">
        <v>0</v>
      </c>
      <c r="Q3736" t="s">
        <v>7817</v>
      </c>
    </row>
    <row r="3737" spans="1:17" x14ac:dyDescent="0.3">
      <c r="A3737" t="s">
        <v>4708</v>
      </c>
      <c r="B3737" t="str">
        <f>"200025"</f>
        <v>200025</v>
      </c>
      <c r="C3737" t="s">
        <v>7818</v>
      </c>
      <c r="P3737">
        <v>7</v>
      </c>
      <c r="Q3737" t="s">
        <v>7819</v>
      </c>
    </row>
    <row r="3738" spans="1:17" x14ac:dyDescent="0.3">
      <c r="A3738" t="s">
        <v>4708</v>
      </c>
      <c r="B3738" t="str">
        <f>"200026"</f>
        <v>200026</v>
      </c>
      <c r="C3738" t="s">
        <v>7820</v>
      </c>
      <c r="P3738">
        <v>52</v>
      </c>
      <c r="Q3738" t="s">
        <v>7821</v>
      </c>
    </row>
    <row r="3739" spans="1:17" x14ac:dyDescent="0.3">
      <c r="A3739" t="s">
        <v>4708</v>
      </c>
      <c r="B3739" t="str">
        <f>"200028"</f>
        <v>200028</v>
      </c>
      <c r="C3739" t="s">
        <v>7822</v>
      </c>
      <c r="P3739">
        <v>209</v>
      </c>
      <c r="Q3739" t="s">
        <v>7823</v>
      </c>
    </row>
    <row r="3740" spans="1:17" x14ac:dyDescent="0.3">
      <c r="A3740" t="s">
        <v>4708</v>
      </c>
      <c r="B3740" t="str">
        <f>"200029"</f>
        <v>200029</v>
      </c>
      <c r="C3740" t="s">
        <v>7824</v>
      </c>
      <c r="P3740">
        <v>18</v>
      </c>
      <c r="Q3740" t="s">
        <v>7825</v>
      </c>
    </row>
    <row r="3741" spans="1:17" x14ac:dyDescent="0.3">
      <c r="A3741" t="s">
        <v>4708</v>
      </c>
      <c r="B3741" t="str">
        <f>"200030"</f>
        <v>200030</v>
      </c>
      <c r="C3741" t="s">
        <v>7826</v>
      </c>
      <c r="P3741">
        <v>132</v>
      </c>
      <c r="Q3741" t="s">
        <v>7827</v>
      </c>
    </row>
    <row r="3742" spans="1:17" x14ac:dyDescent="0.3">
      <c r="A3742" t="s">
        <v>4708</v>
      </c>
      <c r="B3742" t="str">
        <f>"200037"</f>
        <v>200037</v>
      </c>
      <c r="C3742" t="s">
        <v>7828</v>
      </c>
      <c r="P3742">
        <v>9</v>
      </c>
      <c r="Q3742" t="s">
        <v>7829</v>
      </c>
    </row>
    <row r="3743" spans="1:17" x14ac:dyDescent="0.3">
      <c r="A3743" t="s">
        <v>4708</v>
      </c>
      <c r="B3743" t="str">
        <f>"200039"</f>
        <v>200039</v>
      </c>
      <c r="C3743" t="s">
        <v>7830</v>
      </c>
      <c r="P3743">
        <v>0</v>
      </c>
      <c r="Q3743" t="s">
        <v>7831</v>
      </c>
    </row>
    <row r="3744" spans="1:17" x14ac:dyDescent="0.3">
      <c r="A3744" t="s">
        <v>4708</v>
      </c>
      <c r="B3744" t="str">
        <f>"200045"</f>
        <v>200045</v>
      </c>
      <c r="C3744" t="s">
        <v>7832</v>
      </c>
      <c r="P3744">
        <v>6</v>
      </c>
      <c r="Q3744" t="s">
        <v>7833</v>
      </c>
    </row>
    <row r="3745" spans="1:17" x14ac:dyDescent="0.3">
      <c r="A3745" t="s">
        <v>4708</v>
      </c>
      <c r="B3745" t="str">
        <f>"200053"</f>
        <v>200053</v>
      </c>
      <c r="C3745" t="s">
        <v>7834</v>
      </c>
      <c r="P3745">
        <v>15</v>
      </c>
      <c r="Q3745" t="s">
        <v>7835</v>
      </c>
    </row>
    <row r="3746" spans="1:17" x14ac:dyDescent="0.3">
      <c r="A3746" t="s">
        <v>4708</v>
      </c>
      <c r="B3746" t="str">
        <f>"200054"</f>
        <v>200054</v>
      </c>
      <c r="C3746" t="s">
        <v>7836</v>
      </c>
      <c r="P3746">
        <v>7</v>
      </c>
      <c r="Q3746" t="s">
        <v>7837</v>
      </c>
    </row>
    <row r="3747" spans="1:17" x14ac:dyDescent="0.3">
      <c r="A3747" t="s">
        <v>4708</v>
      </c>
      <c r="B3747" t="str">
        <f>"200055"</f>
        <v>200055</v>
      </c>
      <c r="C3747" t="s">
        <v>7838</v>
      </c>
      <c r="P3747">
        <v>71</v>
      </c>
      <c r="Q3747" t="s">
        <v>7839</v>
      </c>
    </row>
    <row r="3748" spans="1:17" x14ac:dyDescent="0.3">
      <c r="A3748" t="s">
        <v>4708</v>
      </c>
      <c r="B3748" t="str">
        <f>"200056"</f>
        <v>200056</v>
      </c>
      <c r="C3748" t="s">
        <v>7840</v>
      </c>
      <c r="P3748">
        <v>13</v>
      </c>
      <c r="Q3748" t="s">
        <v>7841</v>
      </c>
    </row>
    <row r="3749" spans="1:17" x14ac:dyDescent="0.3">
      <c r="A3749" t="s">
        <v>4708</v>
      </c>
      <c r="B3749" t="str">
        <f>"200058"</f>
        <v>200058</v>
      </c>
      <c r="C3749" t="s">
        <v>7842</v>
      </c>
      <c r="P3749">
        <v>7</v>
      </c>
      <c r="Q3749" t="s">
        <v>7843</v>
      </c>
    </row>
    <row r="3750" spans="1:17" x14ac:dyDescent="0.3">
      <c r="A3750" t="s">
        <v>4708</v>
      </c>
      <c r="B3750" t="str">
        <f>"200152"</f>
        <v>200152</v>
      </c>
      <c r="C3750" t="s">
        <v>7844</v>
      </c>
      <c r="P3750">
        <v>112</v>
      </c>
      <c r="Q3750" t="s">
        <v>7845</v>
      </c>
    </row>
    <row r="3751" spans="1:17" x14ac:dyDescent="0.3">
      <c r="A3751" t="s">
        <v>4708</v>
      </c>
      <c r="B3751" t="str">
        <f>"200160"</f>
        <v>200160</v>
      </c>
      <c r="C3751" t="s">
        <v>7846</v>
      </c>
      <c r="P3751">
        <v>3</v>
      </c>
      <c r="Q3751" t="s">
        <v>7847</v>
      </c>
    </row>
    <row r="3752" spans="1:17" x14ac:dyDescent="0.3">
      <c r="A3752" t="s">
        <v>4708</v>
      </c>
      <c r="B3752" t="str">
        <f>"200168"</f>
        <v>200168</v>
      </c>
      <c r="C3752" t="s">
        <v>7848</v>
      </c>
      <c r="P3752">
        <v>3</v>
      </c>
      <c r="Q3752" t="s">
        <v>7849</v>
      </c>
    </row>
    <row r="3753" spans="1:17" x14ac:dyDescent="0.3">
      <c r="A3753" t="s">
        <v>4708</v>
      </c>
      <c r="B3753" t="str">
        <f>"200413"</f>
        <v>200413</v>
      </c>
      <c r="C3753" t="s">
        <v>7850</v>
      </c>
      <c r="P3753">
        <v>44</v>
      </c>
      <c r="Q3753" t="s">
        <v>7851</v>
      </c>
    </row>
    <row r="3754" spans="1:17" x14ac:dyDescent="0.3">
      <c r="A3754" t="s">
        <v>4708</v>
      </c>
      <c r="B3754" t="str">
        <f>"200418"</f>
        <v>200418</v>
      </c>
      <c r="C3754" t="s">
        <v>7852</v>
      </c>
      <c r="P3754">
        <v>89</v>
      </c>
      <c r="Q3754" t="s">
        <v>7853</v>
      </c>
    </row>
    <row r="3755" spans="1:17" x14ac:dyDescent="0.3">
      <c r="A3755" t="s">
        <v>4708</v>
      </c>
      <c r="B3755" t="str">
        <f>"200429"</f>
        <v>200429</v>
      </c>
      <c r="C3755" t="s">
        <v>7854</v>
      </c>
      <c r="P3755">
        <v>453</v>
      </c>
      <c r="Q3755" t="s">
        <v>7855</v>
      </c>
    </row>
    <row r="3756" spans="1:17" x14ac:dyDescent="0.3">
      <c r="A3756" t="s">
        <v>4708</v>
      </c>
      <c r="B3756" t="str">
        <f>"200468"</f>
        <v>200468</v>
      </c>
      <c r="C3756" t="s">
        <v>7856</v>
      </c>
      <c r="P3756">
        <v>4</v>
      </c>
      <c r="Q3756" t="s">
        <v>7857</v>
      </c>
    </row>
    <row r="3757" spans="1:17" x14ac:dyDescent="0.3">
      <c r="A3757" t="s">
        <v>4708</v>
      </c>
      <c r="B3757" t="str">
        <f>"200488"</f>
        <v>200488</v>
      </c>
      <c r="C3757" t="s">
        <v>7858</v>
      </c>
      <c r="P3757">
        <v>268</v>
      </c>
      <c r="Q3757" t="s">
        <v>7859</v>
      </c>
    </row>
    <row r="3758" spans="1:17" x14ac:dyDescent="0.3">
      <c r="A3758" t="s">
        <v>4708</v>
      </c>
      <c r="B3758" t="str">
        <f>"200505"</f>
        <v>200505</v>
      </c>
      <c r="C3758" t="s">
        <v>7860</v>
      </c>
      <c r="P3758">
        <v>16</v>
      </c>
      <c r="Q3758" t="s">
        <v>7861</v>
      </c>
    </row>
    <row r="3759" spans="1:17" x14ac:dyDescent="0.3">
      <c r="A3759" t="s">
        <v>4708</v>
      </c>
      <c r="B3759" t="str">
        <f>"200512"</f>
        <v>200512</v>
      </c>
      <c r="C3759" t="s">
        <v>7862</v>
      </c>
      <c r="P3759">
        <v>34</v>
      </c>
      <c r="Q3759" t="s">
        <v>7863</v>
      </c>
    </row>
    <row r="3760" spans="1:17" x14ac:dyDescent="0.3">
      <c r="A3760" t="s">
        <v>4708</v>
      </c>
      <c r="B3760" t="str">
        <f>"200513"</f>
        <v>200513</v>
      </c>
      <c r="C3760" t="s">
        <v>7864</v>
      </c>
      <c r="P3760">
        <v>1</v>
      </c>
      <c r="Q3760" t="s">
        <v>7865</v>
      </c>
    </row>
    <row r="3761" spans="1:17" x14ac:dyDescent="0.3">
      <c r="A3761" t="s">
        <v>4708</v>
      </c>
      <c r="B3761" t="str">
        <f>"200521"</f>
        <v>200521</v>
      </c>
      <c r="C3761" t="s">
        <v>7866</v>
      </c>
      <c r="P3761">
        <v>23</v>
      </c>
      <c r="Q3761" t="s">
        <v>7867</v>
      </c>
    </row>
    <row r="3762" spans="1:17" x14ac:dyDescent="0.3">
      <c r="A3762" t="s">
        <v>4708</v>
      </c>
      <c r="B3762" t="str">
        <f>"200530"</f>
        <v>200530</v>
      </c>
      <c r="C3762" t="s">
        <v>7868</v>
      </c>
      <c r="P3762">
        <v>25</v>
      </c>
      <c r="Q3762" t="s">
        <v>7869</v>
      </c>
    </row>
    <row r="3763" spans="1:17" x14ac:dyDescent="0.3">
      <c r="A3763" t="s">
        <v>4708</v>
      </c>
      <c r="B3763" t="str">
        <f>"200539"</f>
        <v>200539</v>
      </c>
      <c r="C3763" t="s">
        <v>7870</v>
      </c>
      <c r="P3763">
        <v>185</v>
      </c>
      <c r="Q3763" t="s">
        <v>7871</v>
      </c>
    </row>
    <row r="3764" spans="1:17" x14ac:dyDescent="0.3">
      <c r="A3764" t="s">
        <v>4708</v>
      </c>
      <c r="B3764" t="str">
        <f>"200541"</f>
        <v>200541</v>
      </c>
      <c r="C3764" t="s">
        <v>7872</v>
      </c>
      <c r="P3764">
        <v>119</v>
      </c>
      <c r="Q3764" t="s">
        <v>7873</v>
      </c>
    </row>
    <row r="3765" spans="1:17" x14ac:dyDescent="0.3">
      <c r="A3765" t="s">
        <v>4708</v>
      </c>
      <c r="B3765" t="str">
        <f>"200550"</f>
        <v>200550</v>
      </c>
      <c r="C3765" t="s">
        <v>7874</v>
      </c>
      <c r="P3765">
        <v>154</v>
      </c>
      <c r="Q3765" t="s">
        <v>7875</v>
      </c>
    </row>
    <row r="3766" spans="1:17" x14ac:dyDescent="0.3">
      <c r="A3766" t="s">
        <v>4708</v>
      </c>
      <c r="B3766" t="str">
        <f>"200553"</f>
        <v>200553</v>
      </c>
      <c r="C3766" t="s">
        <v>7876</v>
      </c>
      <c r="P3766">
        <v>58</v>
      </c>
      <c r="Q3766" t="s">
        <v>7877</v>
      </c>
    </row>
    <row r="3767" spans="1:17" x14ac:dyDescent="0.3">
      <c r="A3767" t="s">
        <v>4708</v>
      </c>
      <c r="B3767" t="str">
        <f>"200570"</f>
        <v>200570</v>
      </c>
      <c r="C3767" t="s">
        <v>7878</v>
      </c>
      <c r="P3767">
        <v>10</v>
      </c>
      <c r="Q3767" t="s">
        <v>7879</v>
      </c>
    </row>
    <row r="3768" spans="1:17" x14ac:dyDescent="0.3">
      <c r="A3768" t="s">
        <v>4708</v>
      </c>
      <c r="B3768" t="str">
        <f>"200581"</f>
        <v>200581</v>
      </c>
      <c r="C3768" t="s">
        <v>7880</v>
      </c>
      <c r="P3768">
        <v>448</v>
      </c>
      <c r="Q3768" t="s">
        <v>7881</v>
      </c>
    </row>
    <row r="3769" spans="1:17" x14ac:dyDescent="0.3">
      <c r="A3769" t="s">
        <v>4708</v>
      </c>
      <c r="B3769" t="str">
        <f>"200596"</f>
        <v>200596</v>
      </c>
      <c r="C3769" t="s">
        <v>7882</v>
      </c>
      <c r="P3769">
        <v>745</v>
      </c>
      <c r="Q3769" t="s">
        <v>7883</v>
      </c>
    </row>
    <row r="3770" spans="1:17" x14ac:dyDescent="0.3">
      <c r="A3770" t="s">
        <v>4708</v>
      </c>
      <c r="B3770" t="str">
        <f>"200613"</f>
        <v>200613</v>
      </c>
      <c r="C3770" t="s">
        <v>7884</v>
      </c>
      <c r="P3770">
        <v>4</v>
      </c>
      <c r="Q3770" t="s">
        <v>7885</v>
      </c>
    </row>
    <row r="3771" spans="1:17" x14ac:dyDescent="0.3">
      <c r="A3771" t="s">
        <v>4708</v>
      </c>
      <c r="B3771" t="str">
        <f>"200625"</f>
        <v>200625</v>
      </c>
      <c r="C3771" t="s">
        <v>7886</v>
      </c>
      <c r="P3771">
        <v>710</v>
      </c>
      <c r="Q3771" t="s">
        <v>7887</v>
      </c>
    </row>
    <row r="3772" spans="1:17" x14ac:dyDescent="0.3">
      <c r="A3772" t="s">
        <v>4708</v>
      </c>
      <c r="B3772" t="str">
        <f>"200706"</f>
        <v>200706</v>
      </c>
      <c r="C3772" t="s">
        <v>7888</v>
      </c>
      <c r="P3772">
        <v>7</v>
      </c>
      <c r="Q3772" t="s">
        <v>7889</v>
      </c>
    </row>
    <row r="3773" spans="1:17" x14ac:dyDescent="0.3">
      <c r="A3773" t="s">
        <v>4708</v>
      </c>
      <c r="B3773" t="str">
        <f>"200725"</f>
        <v>200725</v>
      </c>
      <c r="C3773" t="s">
        <v>7890</v>
      </c>
      <c r="P3773">
        <v>85</v>
      </c>
      <c r="Q3773" t="s">
        <v>7891</v>
      </c>
    </row>
    <row r="3774" spans="1:17" x14ac:dyDescent="0.3">
      <c r="A3774" t="s">
        <v>4708</v>
      </c>
      <c r="B3774" t="str">
        <f>"200726"</f>
        <v>200726</v>
      </c>
      <c r="C3774" t="s">
        <v>7892</v>
      </c>
      <c r="P3774">
        <v>329</v>
      </c>
      <c r="Q3774" t="s">
        <v>7893</v>
      </c>
    </row>
    <row r="3775" spans="1:17" x14ac:dyDescent="0.3">
      <c r="A3775" t="s">
        <v>4708</v>
      </c>
      <c r="B3775" t="str">
        <f>"200761"</f>
        <v>200761</v>
      </c>
      <c r="C3775" t="s">
        <v>7894</v>
      </c>
      <c r="P3775">
        <v>41</v>
      </c>
      <c r="Q3775" t="s">
        <v>7895</v>
      </c>
    </row>
    <row r="3776" spans="1:17" x14ac:dyDescent="0.3">
      <c r="A3776" t="s">
        <v>4708</v>
      </c>
      <c r="B3776" t="str">
        <f>"200770"</f>
        <v>200770</v>
      </c>
      <c r="C3776" t="s">
        <v>7896</v>
      </c>
      <c r="P3776">
        <v>0</v>
      </c>
      <c r="Q3776" t="s">
        <v>7897</v>
      </c>
    </row>
    <row r="3777" spans="1:17" x14ac:dyDescent="0.3">
      <c r="A3777" t="s">
        <v>4708</v>
      </c>
      <c r="B3777" t="str">
        <f>"200771"</f>
        <v>200771</v>
      </c>
      <c r="C3777" t="s">
        <v>7898</v>
      </c>
      <c r="P3777">
        <v>65</v>
      </c>
      <c r="Q3777" t="s">
        <v>7899</v>
      </c>
    </row>
    <row r="3778" spans="1:17" x14ac:dyDescent="0.3">
      <c r="A3778" t="s">
        <v>4708</v>
      </c>
      <c r="B3778" t="str">
        <f>"200869"</f>
        <v>200869</v>
      </c>
      <c r="C3778" t="s">
        <v>7900</v>
      </c>
      <c r="P3778">
        <v>348</v>
      </c>
      <c r="Q3778" t="s">
        <v>7901</v>
      </c>
    </row>
    <row r="3779" spans="1:17" x14ac:dyDescent="0.3">
      <c r="A3779" t="s">
        <v>4708</v>
      </c>
      <c r="B3779" t="str">
        <f>"200986"</f>
        <v>200986</v>
      </c>
      <c r="C3779" t="s">
        <v>7902</v>
      </c>
      <c r="P3779">
        <v>8</v>
      </c>
      <c r="Q3779" t="s">
        <v>7903</v>
      </c>
    </row>
    <row r="3780" spans="1:17" x14ac:dyDescent="0.3">
      <c r="A3780" t="s">
        <v>4708</v>
      </c>
      <c r="B3780" t="str">
        <f>"200992"</f>
        <v>200992</v>
      </c>
      <c r="C3780" t="s">
        <v>7904</v>
      </c>
      <c r="P3780">
        <v>22</v>
      </c>
      <c r="Q3780" t="s">
        <v>7905</v>
      </c>
    </row>
    <row r="3781" spans="1:17" x14ac:dyDescent="0.3">
      <c r="A3781" t="s">
        <v>4708</v>
      </c>
      <c r="B3781" t="str">
        <f>"201872"</f>
        <v>201872</v>
      </c>
      <c r="C3781" t="s">
        <v>7906</v>
      </c>
      <c r="P3781">
        <v>90</v>
      </c>
      <c r="Q3781" t="s">
        <v>7907</v>
      </c>
    </row>
    <row r="3782" spans="1:17" x14ac:dyDescent="0.3">
      <c r="A3782" t="s">
        <v>4708</v>
      </c>
      <c r="B3782" t="str">
        <f>"300001"</f>
        <v>300001</v>
      </c>
      <c r="C3782" t="s">
        <v>7908</v>
      </c>
      <c r="D3782" t="s">
        <v>210</v>
      </c>
      <c r="P3782">
        <v>530</v>
      </c>
      <c r="Q3782" t="s">
        <v>7909</v>
      </c>
    </row>
    <row r="3783" spans="1:17" x14ac:dyDescent="0.3">
      <c r="A3783" t="s">
        <v>4708</v>
      </c>
      <c r="B3783" t="str">
        <f>"300002"</f>
        <v>300002</v>
      </c>
      <c r="C3783" t="s">
        <v>7910</v>
      </c>
      <c r="D3783" t="s">
        <v>517</v>
      </c>
      <c r="P3783">
        <v>282</v>
      </c>
      <c r="Q3783" t="s">
        <v>7911</v>
      </c>
    </row>
    <row r="3784" spans="1:17" x14ac:dyDescent="0.3">
      <c r="A3784" t="s">
        <v>4708</v>
      </c>
      <c r="B3784" t="str">
        <f>"300003"</f>
        <v>300003</v>
      </c>
      <c r="C3784" t="s">
        <v>7912</v>
      </c>
      <c r="D3784" t="s">
        <v>1077</v>
      </c>
      <c r="P3784">
        <v>3268</v>
      </c>
      <c r="Q3784" t="s">
        <v>7913</v>
      </c>
    </row>
    <row r="3785" spans="1:17" x14ac:dyDescent="0.3">
      <c r="A3785" t="s">
        <v>4708</v>
      </c>
      <c r="B3785" t="str">
        <f>"300004"</f>
        <v>300004</v>
      </c>
      <c r="C3785" t="s">
        <v>7914</v>
      </c>
      <c r="D3785" t="s">
        <v>741</v>
      </c>
      <c r="P3785">
        <v>84</v>
      </c>
      <c r="Q3785" t="s">
        <v>7915</v>
      </c>
    </row>
    <row r="3786" spans="1:17" x14ac:dyDescent="0.3">
      <c r="A3786" t="s">
        <v>4708</v>
      </c>
      <c r="B3786" t="str">
        <f>"300005"</f>
        <v>300005</v>
      </c>
      <c r="C3786" t="s">
        <v>7916</v>
      </c>
      <c r="D3786" t="s">
        <v>3002</v>
      </c>
      <c r="P3786">
        <v>181</v>
      </c>
      <c r="Q3786" t="s">
        <v>7917</v>
      </c>
    </row>
    <row r="3787" spans="1:17" x14ac:dyDescent="0.3">
      <c r="A3787" t="s">
        <v>4708</v>
      </c>
      <c r="B3787" t="str">
        <f>"300006"</f>
        <v>300006</v>
      </c>
      <c r="C3787" t="s">
        <v>7918</v>
      </c>
      <c r="D3787" t="s">
        <v>143</v>
      </c>
      <c r="P3787">
        <v>136</v>
      </c>
      <c r="Q3787" t="s">
        <v>7919</v>
      </c>
    </row>
    <row r="3788" spans="1:17" x14ac:dyDescent="0.3">
      <c r="A3788" t="s">
        <v>4708</v>
      </c>
      <c r="B3788" t="str">
        <f>"300007"</f>
        <v>300007</v>
      </c>
      <c r="C3788" t="s">
        <v>7920</v>
      </c>
      <c r="D3788" t="s">
        <v>2557</v>
      </c>
      <c r="P3788">
        <v>314</v>
      </c>
      <c r="Q3788" t="s">
        <v>7921</v>
      </c>
    </row>
    <row r="3789" spans="1:17" x14ac:dyDescent="0.3">
      <c r="A3789" t="s">
        <v>4708</v>
      </c>
      <c r="B3789" t="str">
        <f>"300008"</f>
        <v>300008</v>
      </c>
      <c r="C3789" t="s">
        <v>7922</v>
      </c>
      <c r="D3789" t="s">
        <v>167</v>
      </c>
      <c r="P3789">
        <v>107</v>
      </c>
      <c r="Q3789" t="s">
        <v>7923</v>
      </c>
    </row>
    <row r="3790" spans="1:17" x14ac:dyDescent="0.3">
      <c r="A3790" t="s">
        <v>4708</v>
      </c>
      <c r="B3790" t="str">
        <f>"300009"</f>
        <v>300009</v>
      </c>
      <c r="C3790" t="s">
        <v>7924</v>
      </c>
      <c r="D3790" t="s">
        <v>1379</v>
      </c>
      <c r="P3790">
        <v>840</v>
      </c>
      <c r="Q3790" t="s">
        <v>7925</v>
      </c>
    </row>
    <row r="3791" spans="1:17" x14ac:dyDescent="0.3">
      <c r="A3791" t="s">
        <v>4708</v>
      </c>
      <c r="B3791" t="str">
        <f>"300010"</f>
        <v>300010</v>
      </c>
      <c r="C3791" t="s">
        <v>7926</v>
      </c>
      <c r="D3791" t="s">
        <v>1336</v>
      </c>
      <c r="P3791">
        <v>262</v>
      </c>
      <c r="Q3791" t="s">
        <v>7927</v>
      </c>
    </row>
    <row r="3792" spans="1:17" x14ac:dyDescent="0.3">
      <c r="A3792" t="s">
        <v>4708</v>
      </c>
      <c r="B3792" t="str">
        <f>"300011"</f>
        <v>300011</v>
      </c>
      <c r="C3792" t="s">
        <v>7928</v>
      </c>
      <c r="D3792" t="s">
        <v>1012</v>
      </c>
      <c r="P3792">
        <v>109</v>
      </c>
      <c r="Q3792" t="s">
        <v>7929</v>
      </c>
    </row>
    <row r="3793" spans="1:17" x14ac:dyDescent="0.3">
      <c r="A3793" t="s">
        <v>4708</v>
      </c>
      <c r="B3793" t="str">
        <f>"300012"</f>
        <v>300012</v>
      </c>
      <c r="C3793" t="s">
        <v>7930</v>
      </c>
      <c r="D3793" t="s">
        <v>2503</v>
      </c>
      <c r="P3793">
        <v>1300</v>
      </c>
      <c r="Q3793" t="s">
        <v>7931</v>
      </c>
    </row>
    <row r="3794" spans="1:17" x14ac:dyDescent="0.3">
      <c r="A3794" t="s">
        <v>4708</v>
      </c>
      <c r="B3794" t="str">
        <f>"300013"</f>
        <v>300013</v>
      </c>
      <c r="C3794" t="s">
        <v>7932</v>
      </c>
      <c r="D3794" t="s">
        <v>3110</v>
      </c>
      <c r="P3794">
        <v>70</v>
      </c>
      <c r="Q3794" t="s">
        <v>7933</v>
      </c>
    </row>
    <row r="3795" spans="1:17" x14ac:dyDescent="0.3">
      <c r="A3795" t="s">
        <v>4708</v>
      </c>
      <c r="B3795" t="str">
        <f>"300014"</f>
        <v>300014</v>
      </c>
      <c r="C3795" t="s">
        <v>7934</v>
      </c>
      <c r="D3795" t="s">
        <v>359</v>
      </c>
      <c r="P3795">
        <v>2493</v>
      </c>
      <c r="Q3795" t="s">
        <v>7935</v>
      </c>
    </row>
    <row r="3796" spans="1:17" x14ac:dyDescent="0.3">
      <c r="A3796" t="s">
        <v>4708</v>
      </c>
      <c r="B3796" t="str">
        <f>"300015"</f>
        <v>300015</v>
      </c>
      <c r="C3796" t="s">
        <v>7936</v>
      </c>
      <c r="D3796" t="s">
        <v>1147</v>
      </c>
      <c r="P3796">
        <v>11096</v>
      </c>
      <c r="Q3796" t="s">
        <v>7937</v>
      </c>
    </row>
    <row r="3797" spans="1:17" x14ac:dyDescent="0.3">
      <c r="A3797" t="s">
        <v>4708</v>
      </c>
      <c r="B3797" t="str">
        <f>"300016"</f>
        <v>300016</v>
      </c>
      <c r="C3797" t="s">
        <v>7938</v>
      </c>
      <c r="D3797" t="s">
        <v>143</v>
      </c>
      <c r="P3797">
        <v>305</v>
      </c>
      <c r="Q3797" t="s">
        <v>7939</v>
      </c>
    </row>
    <row r="3798" spans="1:17" x14ac:dyDescent="0.3">
      <c r="A3798" t="s">
        <v>4708</v>
      </c>
      <c r="B3798" t="str">
        <f>"300017"</f>
        <v>300017</v>
      </c>
      <c r="C3798" t="s">
        <v>7940</v>
      </c>
      <c r="D3798" t="s">
        <v>316</v>
      </c>
      <c r="P3798">
        <v>759</v>
      </c>
      <c r="Q3798" t="s">
        <v>7941</v>
      </c>
    </row>
    <row r="3799" spans="1:17" x14ac:dyDescent="0.3">
      <c r="A3799" t="s">
        <v>4708</v>
      </c>
      <c r="B3799" t="str">
        <f>"300018"</f>
        <v>300018</v>
      </c>
      <c r="C3799" t="s">
        <v>7942</v>
      </c>
      <c r="D3799" t="s">
        <v>610</v>
      </c>
      <c r="P3799">
        <v>127</v>
      </c>
      <c r="Q3799" t="s">
        <v>7943</v>
      </c>
    </row>
    <row r="3800" spans="1:17" x14ac:dyDescent="0.3">
      <c r="A3800" t="s">
        <v>4708</v>
      </c>
      <c r="B3800" t="str">
        <f>"300019"</f>
        <v>300019</v>
      </c>
      <c r="C3800" t="s">
        <v>7944</v>
      </c>
      <c r="D3800" t="s">
        <v>1205</v>
      </c>
      <c r="P3800">
        <v>295</v>
      </c>
      <c r="Q3800" t="s">
        <v>7945</v>
      </c>
    </row>
    <row r="3801" spans="1:17" x14ac:dyDescent="0.3">
      <c r="A3801" t="s">
        <v>4708</v>
      </c>
      <c r="B3801" t="str">
        <f>"300020"</f>
        <v>300020</v>
      </c>
      <c r="C3801" t="s">
        <v>7946</v>
      </c>
      <c r="D3801" t="s">
        <v>316</v>
      </c>
      <c r="P3801">
        <v>237</v>
      </c>
      <c r="Q3801" t="s">
        <v>7947</v>
      </c>
    </row>
    <row r="3802" spans="1:17" x14ac:dyDescent="0.3">
      <c r="A3802" t="s">
        <v>4708</v>
      </c>
      <c r="B3802" t="str">
        <f>"300021"</f>
        <v>300021</v>
      </c>
      <c r="C3802" t="s">
        <v>7948</v>
      </c>
      <c r="D3802" t="s">
        <v>6868</v>
      </c>
      <c r="P3802">
        <v>174</v>
      </c>
      <c r="Q3802" t="s">
        <v>7949</v>
      </c>
    </row>
    <row r="3803" spans="1:17" x14ac:dyDescent="0.3">
      <c r="A3803" t="s">
        <v>4708</v>
      </c>
      <c r="B3803" t="str">
        <f>"300022"</f>
        <v>300022</v>
      </c>
      <c r="C3803" t="s">
        <v>7950</v>
      </c>
      <c r="D3803" t="s">
        <v>295</v>
      </c>
      <c r="P3803">
        <v>63</v>
      </c>
      <c r="Q3803" t="s">
        <v>7951</v>
      </c>
    </row>
    <row r="3804" spans="1:17" x14ac:dyDescent="0.3">
      <c r="A3804" t="s">
        <v>4708</v>
      </c>
      <c r="B3804" t="str">
        <f>"300023"</f>
        <v>300023</v>
      </c>
      <c r="C3804" t="s">
        <v>7952</v>
      </c>
      <c r="D3804" t="s">
        <v>140</v>
      </c>
      <c r="P3804">
        <v>61</v>
      </c>
      <c r="Q3804" t="s">
        <v>7953</v>
      </c>
    </row>
    <row r="3805" spans="1:17" x14ac:dyDescent="0.3">
      <c r="A3805" t="s">
        <v>4708</v>
      </c>
      <c r="B3805" t="str">
        <f>"300024"</f>
        <v>300024</v>
      </c>
      <c r="C3805" t="s">
        <v>2923</v>
      </c>
      <c r="D3805" t="s">
        <v>2923</v>
      </c>
      <c r="P3805">
        <v>547</v>
      </c>
      <c r="Q3805" t="s">
        <v>7954</v>
      </c>
    </row>
    <row r="3806" spans="1:17" x14ac:dyDescent="0.3">
      <c r="A3806" t="s">
        <v>4708</v>
      </c>
      <c r="B3806" t="str">
        <f>"300025"</f>
        <v>300025</v>
      </c>
      <c r="C3806" t="s">
        <v>7955</v>
      </c>
      <c r="D3806" t="s">
        <v>654</v>
      </c>
      <c r="P3806">
        <v>223</v>
      </c>
      <c r="Q3806" t="s">
        <v>7956</v>
      </c>
    </row>
    <row r="3807" spans="1:17" x14ac:dyDescent="0.3">
      <c r="A3807" t="s">
        <v>4708</v>
      </c>
      <c r="B3807" t="str">
        <f>"300026"</f>
        <v>300026</v>
      </c>
      <c r="C3807" t="s">
        <v>7957</v>
      </c>
      <c r="D3807" t="s">
        <v>188</v>
      </c>
      <c r="P3807">
        <v>417</v>
      </c>
      <c r="Q3807" t="s">
        <v>7958</v>
      </c>
    </row>
    <row r="3808" spans="1:17" x14ac:dyDescent="0.3">
      <c r="A3808" t="s">
        <v>4708</v>
      </c>
      <c r="B3808" t="str">
        <f>"300027"</f>
        <v>300027</v>
      </c>
      <c r="C3808" t="s">
        <v>7959</v>
      </c>
      <c r="D3808" t="s">
        <v>113</v>
      </c>
      <c r="P3808">
        <v>475</v>
      </c>
      <c r="Q3808" t="s">
        <v>7960</v>
      </c>
    </row>
    <row r="3809" spans="1:17" x14ac:dyDescent="0.3">
      <c r="A3809" t="s">
        <v>4708</v>
      </c>
      <c r="B3809" t="str">
        <f>"300028"</f>
        <v>300028</v>
      </c>
      <c r="C3809" t="s">
        <v>7961</v>
      </c>
      <c r="P3809">
        <v>31</v>
      </c>
      <c r="Q3809" t="s">
        <v>7962</v>
      </c>
    </row>
    <row r="3810" spans="1:17" x14ac:dyDescent="0.3">
      <c r="A3810" t="s">
        <v>4708</v>
      </c>
      <c r="B3810" t="str">
        <f>"300029"</f>
        <v>300029</v>
      </c>
      <c r="C3810" t="s">
        <v>7963</v>
      </c>
      <c r="D3810" t="s">
        <v>2662</v>
      </c>
      <c r="P3810">
        <v>66</v>
      </c>
      <c r="Q3810" t="s">
        <v>7964</v>
      </c>
    </row>
    <row r="3811" spans="1:17" x14ac:dyDescent="0.3">
      <c r="A3811" t="s">
        <v>4708</v>
      </c>
      <c r="B3811" t="str">
        <f>"300030"</f>
        <v>300030</v>
      </c>
      <c r="C3811" t="s">
        <v>7965</v>
      </c>
      <c r="D3811" t="s">
        <v>122</v>
      </c>
      <c r="P3811">
        <v>182</v>
      </c>
      <c r="Q3811" t="s">
        <v>7966</v>
      </c>
    </row>
    <row r="3812" spans="1:17" x14ac:dyDescent="0.3">
      <c r="A3812" t="s">
        <v>4708</v>
      </c>
      <c r="B3812" t="str">
        <f>"300031"</f>
        <v>300031</v>
      </c>
      <c r="C3812" t="s">
        <v>7967</v>
      </c>
      <c r="D3812" t="s">
        <v>517</v>
      </c>
      <c r="P3812">
        <v>259</v>
      </c>
      <c r="Q3812" t="s">
        <v>7968</v>
      </c>
    </row>
    <row r="3813" spans="1:17" x14ac:dyDescent="0.3">
      <c r="A3813" t="s">
        <v>4708</v>
      </c>
      <c r="B3813" t="str">
        <f>"300032"</f>
        <v>300032</v>
      </c>
      <c r="C3813" t="s">
        <v>7969</v>
      </c>
      <c r="D3813" t="s">
        <v>313</v>
      </c>
      <c r="P3813">
        <v>152</v>
      </c>
      <c r="Q3813" t="s">
        <v>7970</v>
      </c>
    </row>
    <row r="3814" spans="1:17" x14ac:dyDescent="0.3">
      <c r="A3814" t="s">
        <v>4708</v>
      </c>
      <c r="B3814" t="str">
        <f>"300033"</f>
        <v>300033</v>
      </c>
      <c r="C3814" t="s">
        <v>7971</v>
      </c>
      <c r="D3814" t="s">
        <v>945</v>
      </c>
      <c r="P3814">
        <v>2726</v>
      </c>
      <c r="Q3814" t="s">
        <v>7972</v>
      </c>
    </row>
    <row r="3815" spans="1:17" x14ac:dyDescent="0.3">
      <c r="A3815" t="s">
        <v>4708</v>
      </c>
      <c r="B3815" t="str">
        <f>"300034"</f>
        <v>300034</v>
      </c>
      <c r="C3815" t="s">
        <v>7973</v>
      </c>
      <c r="D3815" t="s">
        <v>98</v>
      </c>
      <c r="P3815">
        <v>282</v>
      </c>
      <c r="Q3815" t="s">
        <v>7974</v>
      </c>
    </row>
    <row r="3816" spans="1:17" x14ac:dyDescent="0.3">
      <c r="A3816" t="s">
        <v>4708</v>
      </c>
      <c r="B3816" t="str">
        <f>"300035"</f>
        <v>300035</v>
      </c>
      <c r="C3816" t="s">
        <v>7975</v>
      </c>
      <c r="D3816" t="s">
        <v>1786</v>
      </c>
      <c r="P3816">
        <v>272</v>
      </c>
      <c r="Q3816" t="s">
        <v>7976</v>
      </c>
    </row>
    <row r="3817" spans="1:17" x14ac:dyDescent="0.3">
      <c r="A3817" t="s">
        <v>4708</v>
      </c>
      <c r="B3817" t="str">
        <f>"300036"</f>
        <v>300036</v>
      </c>
      <c r="C3817" t="s">
        <v>7977</v>
      </c>
      <c r="D3817" t="s">
        <v>1189</v>
      </c>
      <c r="P3817">
        <v>545</v>
      </c>
      <c r="Q3817" t="s">
        <v>7978</v>
      </c>
    </row>
    <row r="3818" spans="1:17" x14ac:dyDescent="0.3">
      <c r="A3818" t="s">
        <v>4708</v>
      </c>
      <c r="B3818" t="str">
        <f>"300037"</f>
        <v>300037</v>
      </c>
      <c r="C3818" t="s">
        <v>7979</v>
      </c>
      <c r="D3818" t="s">
        <v>1786</v>
      </c>
      <c r="P3818">
        <v>830</v>
      </c>
      <c r="Q3818" t="s">
        <v>7980</v>
      </c>
    </row>
    <row r="3819" spans="1:17" x14ac:dyDescent="0.3">
      <c r="A3819" t="s">
        <v>4708</v>
      </c>
      <c r="B3819" t="str">
        <f>"300038"</f>
        <v>300038</v>
      </c>
      <c r="C3819" t="s">
        <v>7981</v>
      </c>
      <c r="D3819" t="s">
        <v>207</v>
      </c>
      <c r="P3819">
        <v>263</v>
      </c>
      <c r="Q3819" t="s">
        <v>7982</v>
      </c>
    </row>
    <row r="3820" spans="1:17" x14ac:dyDescent="0.3">
      <c r="A3820" t="s">
        <v>4708</v>
      </c>
      <c r="B3820" t="str">
        <f>"300039"</f>
        <v>300039</v>
      </c>
      <c r="C3820" t="s">
        <v>7983</v>
      </c>
      <c r="D3820" t="s">
        <v>188</v>
      </c>
      <c r="P3820">
        <v>223</v>
      </c>
      <c r="Q3820" t="s">
        <v>7984</v>
      </c>
    </row>
    <row r="3821" spans="1:17" x14ac:dyDescent="0.3">
      <c r="A3821" t="s">
        <v>4708</v>
      </c>
      <c r="B3821" t="str">
        <f>"300040"</f>
        <v>300040</v>
      </c>
      <c r="C3821" t="s">
        <v>7985</v>
      </c>
      <c r="D3821" t="s">
        <v>610</v>
      </c>
      <c r="P3821">
        <v>214</v>
      </c>
      <c r="Q3821" t="s">
        <v>7986</v>
      </c>
    </row>
    <row r="3822" spans="1:17" x14ac:dyDescent="0.3">
      <c r="A3822" t="s">
        <v>4708</v>
      </c>
      <c r="B3822" t="str">
        <f>"300041"</f>
        <v>300041</v>
      </c>
      <c r="C3822" t="s">
        <v>7987</v>
      </c>
      <c r="D3822" t="s">
        <v>1205</v>
      </c>
      <c r="P3822">
        <v>253</v>
      </c>
      <c r="Q3822" t="s">
        <v>7988</v>
      </c>
    </row>
    <row r="3823" spans="1:17" x14ac:dyDescent="0.3">
      <c r="A3823" t="s">
        <v>4708</v>
      </c>
      <c r="B3823" t="str">
        <f>"300042"</f>
        <v>300042</v>
      </c>
      <c r="C3823" t="s">
        <v>7989</v>
      </c>
      <c r="D3823" t="s">
        <v>236</v>
      </c>
      <c r="P3823">
        <v>116</v>
      </c>
      <c r="Q3823" t="s">
        <v>7990</v>
      </c>
    </row>
    <row r="3824" spans="1:17" x14ac:dyDescent="0.3">
      <c r="A3824" t="s">
        <v>4708</v>
      </c>
      <c r="B3824" t="str">
        <f>"300043"</f>
        <v>300043</v>
      </c>
      <c r="C3824" t="s">
        <v>7991</v>
      </c>
      <c r="D3824" t="s">
        <v>517</v>
      </c>
      <c r="P3824">
        <v>183</v>
      </c>
      <c r="Q3824" t="s">
        <v>7992</v>
      </c>
    </row>
    <row r="3825" spans="1:17" x14ac:dyDescent="0.3">
      <c r="A3825" t="s">
        <v>4708</v>
      </c>
      <c r="B3825" t="str">
        <f>"300044"</f>
        <v>300044</v>
      </c>
      <c r="C3825" t="s">
        <v>7993</v>
      </c>
      <c r="D3825" t="s">
        <v>316</v>
      </c>
      <c r="P3825">
        <v>289</v>
      </c>
      <c r="Q3825" t="s">
        <v>7994</v>
      </c>
    </row>
    <row r="3826" spans="1:17" x14ac:dyDescent="0.3">
      <c r="A3826" t="s">
        <v>4708</v>
      </c>
      <c r="B3826" t="str">
        <f>"300045"</f>
        <v>300045</v>
      </c>
      <c r="C3826" t="s">
        <v>7995</v>
      </c>
      <c r="D3826" t="s">
        <v>1136</v>
      </c>
      <c r="P3826">
        <v>158</v>
      </c>
      <c r="Q3826" t="s">
        <v>7996</v>
      </c>
    </row>
    <row r="3827" spans="1:17" x14ac:dyDescent="0.3">
      <c r="A3827" t="s">
        <v>4708</v>
      </c>
      <c r="B3827" t="str">
        <f>"300046"</f>
        <v>300046</v>
      </c>
      <c r="C3827" t="s">
        <v>7997</v>
      </c>
      <c r="D3827" t="s">
        <v>795</v>
      </c>
      <c r="P3827">
        <v>225</v>
      </c>
      <c r="Q3827" t="s">
        <v>7998</v>
      </c>
    </row>
    <row r="3828" spans="1:17" x14ac:dyDescent="0.3">
      <c r="A3828" t="s">
        <v>4708</v>
      </c>
      <c r="B3828" t="str">
        <f>"300047"</f>
        <v>300047</v>
      </c>
      <c r="C3828" t="s">
        <v>7999</v>
      </c>
      <c r="D3828" t="s">
        <v>945</v>
      </c>
      <c r="P3828">
        <v>338</v>
      </c>
      <c r="Q3828" t="s">
        <v>8000</v>
      </c>
    </row>
    <row r="3829" spans="1:17" x14ac:dyDescent="0.3">
      <c r="A3829" t="s">
        <v>4708</v>
      </c>
      <c r="B3829" t="str">
        <f>"300048"</f>
        <v>300048</v>
      </c>
      <c r="C3829" t="s">
        <v>8001</v>
      </c>
      <c r="D3829" t="s">
        <v>2425</v>
      </c>
      <c r="P3829">
        <v>119</v>
      </c>
      <c r="Q3829" t="s">
        <v>8002</v>
      </c>
    </row>
    <row r="3830" spans="1:17" x14ac:dyDescent="0.3">
      <c r="A3830" t="s">
        <v>4708</v>
      </c>
      <c r="B3830" t="str">
        <f>"300049"</f>
        <v>300049</v>
      </c>
      <c r="C3830" t="s">
        <v>8003</v>
      </c>
      <c r="D3830" t="s">
        <v>122</v>
      </c>
      <c r="P3830">
        <v>144</v>
      </c>
      <c r="Q3830" t="s">
        <v>8004</v>
      </c>
    </row>
    <row r="3831" spans="1:17" x14ac:dyDescent="0.3">
      <c r="A3831" t="s">
        <v>4708</v>
      </c>
      <c r="B3831" t="str">
        <f>"300050"</f>
        <v>300050</v>
      </c>
      <c r="C3831" t="s">
        <v>8005</v>
      </c>
      <c r="D3831" t="s">
        <v>654</v>
      </c>
      <c r="P3831">
        <v>164</v>
      </c>
      <c r="Q3831" t="s">
        <v>8006</v>
      </c>
    </row>
    <row r="3832" spans="1:17" x14ac:dyDescent="0.3">
      <c r="A3832" t="s">
        <v>4708</v>
      </c>
      <c r="B3832" t="str">
        <f>"300051"</f>
        <v>300051</v>
      </c>
      <c r="C3832" t="s">
        <v>8007</v>
      </c>
      <c r="D3832" t="s">
        <v>517</v>
      </c>
      <c r="P3832">
        <v>104</v>
      </c>
      <c r="Q3832" t="s">
        <v>8008</v>
      </c>
    </row>
    <row r="3833" spans="1:17" x14ac:dyDescent="0.3">
      <c r="A3833" t="s">
        <v>4708</v>
      </c>
      <c r="B3833" t="str">
        <f>"300052"</f>
        <v>300052</v>
      </c>
      <c r="C3833" t="s">
        <v>8009</v>
      </c>
      <c r="D3833" t="s">
        <v>517</v>
      </c>
      <c r="P3833">
        <v>219</v>
      </c>
      <c r="Q3833" t="s">
        <v>8010</v>
      </c>
    </row>
    <row r="3834" spans="1:17" x14ac:dyDescent="0.3">
      <c r="A3834" t="s">
        <v>4708</v>
      </c>
      <c r="B3834" t="str">
        <f>"300053"</f>
        <v>300053</v>
      </c>
      <c r="C3834" t="s">
        <v>8011</v>
      </c>
      <c r="D3834" t="s">
        <v>461</v>
      </c>
      <c r="P3834">
        <v>264</v>
      </c>
      <c r="Q3834" t="s">
        <v>8012</v>
      </c>
    </row>
    <row r="3835" spans="1:17" x14ac:dyDescent="0.3">
      <c r="A3835" t="s">
        <v>4708</v>
      </c>
      <c r="B3835" t="str">
        <f>"300054"</f>
        <v>300054</v>
      </c>
      <c r="C3835" t="s">
        <v>8013</v>
      </c>
      <c r="D3835" t="s">
        <v>2401</v>
      </c>
      <c r="P3835">
        <v>367</v>
      </c>
      <c r="Q3835" t="s">
        <v>8014</v>
      </c>
    </row>
    <row r="3836" spans="1:17" x14ac:dyDescent="0.3">
      <c r="A3836" t="s">
        <v>4708</v>
      </c>
      <c r="B3836" t="str">
        <f>"300055"</f>
        <v>300055</v>
      </c>
      <c r="C3836" t="s">
        <v>8015</v>
      </c>
      <c r="D3836" t="s">
        <v>33</v>
      </c>
      <c r="P3836">
        <v>163</v>
      </c>
      <c r="Q3836" t="s">
        <v>8016</v>
      </c>
    </row>
    <row r="3837" spans="1:17" x14ac:dyDescent="0.3">
      <c r="A3837" t="s">
        <v>4708</v>
      </c>
      <c r="B3837" t="str">
        <f>"300056"</f>
        <v>300056</v>
      </c>
      <c r="C3837" t="s">
        <v>8017</v>
      </c>
      <c r="D3837" t="s">
        <v>663</v>
      </c>
      <c r="P3837">
        <v>87</v>
      </c>
      <c r="Q3837" t="s">
        <v>8018</v>
      </c>
    </row>
    <row r="3838" spans="1:17" x14ac:dyDescent="0.3">
      <c r="A3838" t="s">
        <v>4708</v>
      </c>
      <c r="B3838" t="str">
        <f>"300057"</f>
        <v>300057</v>
      </c>
      <c r="C3838" t="s">
        <v>8019</v>
      </c>
      <c r="D3838" t="s">
        <v>504</v>
      </c>
      <c r="P3838">
        <v>438</v>
      </c>
      <c r="Q3838" t="s">
        <v>8020</v>
      </c>
    </row>
    <row r="3839" spans="1:17" x14ac:dyDescent="0.3">
      <c r="A3839" t="s">
        <v>4708</v>
      </c>
      <c r="B3839" t="str">
        <f>"300058"</f>
        <v>300058</v>
      </c>
      <c r="C3839" t="s">
        <v>8021</v>
      </c>
      <c r="D3839" t="s">
        <v>207</v>
      </c>
      <c r="P3839">
        <v>457</v>
      </c>
      <c r="Q3839" t="s">
        <v>8022</v>
      </c>
    </row>
    <row r="3840" spans="1:17" x14ac:dyDescent="0.3">
      <c r="A3840" t="s">
        <v>4708</v>
      </c>
      <c r="B3840" t="str">
        <f>"300059"</f>
        <v>300059</v>
      </c>
      <c r="C3840" t="s">
        <v>8023</v>
      </c>
      <c r="D3840" t="s">
        <v>80</v>
      </c>
      <c r="P3840">
        <v>5893</v>
      </c>
      <c r="Q3840" t="s">
        <v>8024</v>
      </c>
    </row>
    <row r="3841" spans="1:17" x14ac:dyDescent="0.3">
      <c r="A3841" t="s">
        <v>4708</v>
      </c>
      <c r="B3841" t="str">
        <f>"300061"</f>
        <v>300061</v>
      </c>
      <c r="C3841" t="s">
        <v>8025</v>
      </c>
      <c r="D3841" t="s">
        <v>207</v>
      </c>
      <c r="P3841">
        <v>120</v>
      </c>
      <c r="Q3841" t="s">
        <v>8026</v>
      </c>
    </row>
    <row r="3842" spans="1:17" x14ac:dyDescent="0.3">
      <c r="A3842" t="s">
        <v>4708</v>
      </c>
      <c r="B3842" t="str">
        <f>"300062"</f>
        <v>300062</v>
      </c>
      <c r="C3842" t="s">
        <v>8027</v>
      </c>
      <c r="D3842" t="s">
        <v>210</v>
      </c>
      <c r="P3842">
        <v>125</v>
      </c>
      <c r="Q3842" t="s">
        <v>8028</v>
      </c>
    </row>
    <row r="3843" spans="1:17" x14ac:dyDescent="0.3">
      <c r="A3843" t="s">
        <v>4708</v>
      </c>
      <c r="B3843" t="str">
        <f>"300063"</f>
        <v>300063</v>
      </c>
      <c r="C3843" t="s">
        <v>8029</v>
      </c>
      <c r="D3843" t="s">
        <v>207</v>
      </c>
      <c r="P3843">
        <v>109</v>
      </c>
      <c r="Q3843" t="s">
        <v>8030</v>
      </c>
    </row>
    <row r="3844" spans="1:17" x14ac:dyDescent="0.3">
      <c r="A3844" t="s">
        <v>4708</v>
      </c>
      <c r="B3844" t="str">
        <f>"300064"</f>
        <v>300064</v>
      </c>
      <c r="C3844" t="s">
        <v>8031</v>
      </c>
      <c r="D3844" t="s">
        <v>404</v>
      </c>
      <c r="P3844">
        <v>77</v>
      </c>
      <c r="Q3844" t="s">
        <v>8032</v>
      </c>
    </row>
    <row r="3845" spans="1:17" x14ac:dyDescent="0.3">
      <c r="A3845" t="s">
        <v>4708</v>
      </c>
      <c r="B3845" t="str">
        <f>"300065"</f>
        <v>300065</v>
      </c>
      <c r="C3845" t="s">
        <v>8033</v>
      </c>
      <c r="D3845" t="s">
        <v>167</v>
      </c>
      <c r="P3845">
        <v>152</v>
      </c>
      <c r="Q3845" t="s">
        <v>8034</v>
      </c>
    </row>
    <row r="3846" spans="1:17" x14ac:dyDescent="0.3">
      <c r="A3846" t="s">
        <v>4708</v>
      </c>
      <c r="B3846" t="str">
        <f>"300066"</f>
        <v>300066</v>
      </c>
      <c r="C3846" t="s">
        <v>8035</v>
      </c>
      <c r="D3846" t="s">
        <v>2557</v>
      </c>
      <c r="P3846">
        <v>190</v>
      </c>
      <c r="Q3846" t="s">
        <v>8036</v>
      </c>
    </row>
    <row r="3847" spans="1:17" x14ac:dyDescent="0.3">
      <c r="A3847" t="s">
        <v>4708</v>
      </c>
      <c r="B3847" t="str">
        <f>"300067"</f>
        <v>300067</v>
      </c>
      <c r="C3847" t="s">
        <v>8037</v>
      </c>
      <c r="D3847" t="s">
        <v>779</v>
      </c>
      <c r="P3847">
        <v>100</v>
      </c>
      <c r="Q3847" t="s">
        <v>8038</v>
      </c>
    </row>
    <row r="3848" spans="1:17" x14ac:dyDescent="0.3">
      <c r="A3848" t="s">
        <v>4708</v>
      </c>
      <c r="B3848" t="str">
        <f>"300068"</f>
        <v>300068</v>
      </c>
      <c r="C3848" t="s">
        <v>8039</v>
      </c>
      <c r="D3848" t="s">
        <v>555</v>
      </c>
      <c r="P3848">
        <v>305</v>
      </c>
      <c r="Q3848" t="s">
        <v>8040</v>
      </c>
    </row>
    <row r="3849" spans="1:17" x14ac:dyDescent="0.3">
      <c r="A3849" t="s">
        <v>4708</v>
      </c>
      <c r="B3849" t="str">
        <f>"300069"</f>
        <v>300069</v>
      </c>
      <c r="C3849" t="s">
        <v>8041</v>
      </c>
      <c r="D3849" t="s">
        <v>1164</v>
      </c>
      <c r="P3849">
        <v>57</v>
      </c>
      <c r="Q3849" t="s">
        <v>8042</v>
      </c>
    </row>
    <row r="3850" spans="1:17" x14ac:dyDescent="0.3">
      <c r="A3850" t="s">
        <v>4708</v>
      </c>
      <c r="B3850" t="str">
        <f>"300070"</f>
        <v>300070</v>
      </c>
      <c r="C3850" t="s">
        <v>8043</v>
      </c>
      <c r="D3850" t="s">
        <v>33</v>
      </c>
      <c r="P3850">
        <v>1163</v>
      </c>
      <c r="Q3850" t="s">
        <v>8044</v>
      </c>
    </row>
    <row r="3851" spans="1:17" x14ac:dyDescent="0.3">
      <c r="A3851" t="s">
        <v>4708</v>
      </c>
      <c r="B3851" t="str">
        <f>"300071"</f>
        <v>300071</v>
      </c>
      <c r="C3851" t="s">
        <v>8045</v>
      </c>
      <c r="D3851" t="s">
        <v>207</v>
      </c>
      <c r="P3851">
        <v>84</v>
      </c>
      <c r="Q3851" t="s">
        <v>8046</v>
      </c>
    </row>
    <row r="3852" spans="1:17" x14ac:dyDescent="0.3">
      <c r="A3852" t="s">
        <v>4708</v>
      </c>
      <c r="B3852" t="str">
        <f>"300072"</f>
        <v>300072</v>
      </c>
      <c r="C3852" t="s">
        <v>8047</v>
      </c>
      <c r="D3852" t="s">
        <v>663</v>
      </c>
      <c r="P3852">
        <v>1138</v>
      </c>
      <c r="Q3852" t="s">
        <v>8048</v>
      </c>
    </row>
    <row r="3853" spans="1:17" x14ac:dyDescent="0.3">
      <c r="A3853" t="s">
        <v>4708</v>
      </c>
      <c r="B3853" t="str">
        <f>"300073"</f>
        <v>300073</v>
      </c>
      <c r="C3853" t="s">
        <v>8049</v>
      </c>
      <c r="D3853" t="s">
        <v>1786</v>
      </c>
      <c r="P3853">
        <v>826</v>
      </c>
      <c r="Q3853" t="s">
        <v>8050</v>
      </c>
    </row>
    <row r="3854" spans="1:17" x14ac:dyDescent="0.3">
      <c r="A3854" t="s">
        <v>4708</v>
      </c>
      <c r="B3854" t="str">
        <f>"300074"</f>
        <v>300074</v>
      </c>
      <c r="C3854" t="s">
        <v>8051</v>
      </c>
      <c r="D3854" t="s">
        <v>945</v>
      </c>
      <c r="P3854">
        <v>162</v>
      </c>
      <c r="Q3854" t="s">
        <v>8052</v>
      </c>
    </row>
    <row r="3855" spans="1:17" x14ac:dyDescent="0.3">
      <c r="A3855" t="s">
        <v>4708</v>
      </c>
      <c r="B3855" t="str">
        <f>"300075"</f>
        <v>300075</v>
      </c>
      <c r="C3855" t="s">
        <v>8053</v>
      </c>
      <c r="D3855" t="s">
        <v>945</v>
      </c>
      <c r="P3855">
        <v>258</v>
      </c>
      <c r="Q3855" t="s">
        <v>8054</v>
      </c>
    </row>
    <row r="3856" spans="1:17" x14ac:dyDescent="0.3">
      <c r="A3856" t="s">
        <v>4708</v>
      </c>
      <c r="B3856" t="str">
        <f>"300076"</f>
        <v>300076</v>
      </c>
      <c r="C3856" t="s">
        <v>8055</v>
      </c>
      <c r="D3856" t="s">
        <v>1117</v>
      </c>
      <c r="P3856">
        <v>93</v>
      </c>
      <c r="Q3856" t="s">
        <v>8056</v>
      </c>
    </row>
    <row r="3857" spans="1:17" x14ac:dyDescent="0.3">
      <c r="A3857" t="s">
        <v>4708</v>
      </c>
      <c r="B3857" t="str">
        <f>"300077"</f>
        <v>300077</v>
      </c>
      <c r="C3857" t="s">
        <v>8057</v>
      </c>
      <c r="D3857" t="s">
        <v>461</v>
      </c>
      <c r="P3857">
        <v>3150</v>
      </c>
      <c r="Q3857" t="s">
        <v>8058</v>
      </c>
    </row>
    <row r="3858" spans="1:17" x14ac:dyDescent="0.3">
      <c r="A3858" t="s">
        <v>4708</v>
      </c>
      <c r="B3858" t="str">
        <f>"300078"</f>
        <v>300078</v>
      </c>
      <c r="C3858" t="s">
        <v>8059</v>
      </c>
      <c r="D3858" t="s">
        <v>316</v>
      </c>
      <c r="P3858">
        <v>296</v>
      </c>
      <c r="Q3858" t="s">
        <v>8060</v>
      </c>
    </row>
    <row r="3859" spans="1:17" x14ac:dyDescent="0.3">
      <c r="A3859" t="s">
        <v>4708</v>
      </c>
      <c r="B3859" t="str">
        <f>"300079"</f>
        <v>300079</v>
      </c>
      <c r="C3859" t="s">
        <v>8061</v>
      </c>
      <c r="D3859" t="s">
        <v>316</v>
      </c>
      <c r="P3859">
        <v>261</v>
      </c>
      <c r="Q3859" t="s">
        <v>8062</v>
      </c>
    </row>
    <row r="3860" spans="1:17" x14ac:dyDescent="0.3">
      <c r="A3860" t="s">
        <v>4708</v>
      </c>
      <c r="B3860" t="str">
        <f>"300080"</f>
        <v>300080</v>
      </c>
      <c r="C3860" t="s">
        <v>8063</v>
      </c>
      <c r="D3860" t="s">
        <v>404</v>
      </c>
      <c r="P3860">
        <v>111</v>
      </c>
      <c r="Q3860" t="s">
        <v>8064</v>
      </c>
    </row>
    <row r="3861" spans="1:17" x14ac:dyDescent="0.3">
      <c r="A3861" t="s">
        <v>4708</v>
      </c>
      <c r="B3861" t="str">
        <f>"300081"</f>
        <v>300081</v>
      </c>
      <c r="C3861" t="s">
        <v>8065</v>
      </c>
      <c r="D3861" t="s">
        <v>5641</v>
      </c>
      <c r="P3861">
        <v>160</v>
      </c>
      <c r="Q3861" t="s">
        <v>8066</v>
      </c>
    </row>
    <row r="3862" spans="1:17" x14ac:dyDescent="0.3">
      <c r="A3862" t="s">
        <v>4708</v>
      </c>
      <c r="B3862" t="str">
        <f>"300082"</f>
        <v>300082</v>
      </c>
      <c r="C3862" t="s">
        <v>8067</v>
      </c>
      <c r="D3862" t="s">
        <v>1233</v>
      </c>
      <c r="P3862">
        <v>176</v>
      </c>
      <c r="Q3862" t="s">
        <v>8068</v>
      </c>
    </row>
    <row r="3863" spans="1:17" x14ac:dyDescent="0.3">
      <c r="A3863" t="s">
        <v>4708</v>
      </c>
      <c r="B3863" t="str">
        <f>"300083"</f>
        <v>300083</v>
      </c>
      <c r="C3863" t="s">
        <v>8069</v>
      </c>
      <c r="D3863" t="s">
        <v>2425</v>
      </c>
      <c r="P3863">
        <v>487</v>
      </c>
      <c r="Q3863" t="s">
        <v>8070</v>
      </c>
    </row>
    <row r="3864" spans="1:17" x14ac:dyDescent="0.3">
      <c r="A3864" t="s">
        <v>4708</v>
      </c>
      <c r="B3864" t="str">
        <f>"300084"</f>
        <v>300084</v>
      </c>
      <c r="C3864" t="s">
        <v>8071</v>
      </c>
      <c r="D3864" t="s">
        <v>395</v>
      </c>
      <c r="P3864">
        <v>69</v>
      </c>
      <c r="Q3864" t="s">
        <v>8072</v>
      </c>
    </row>
    <row r="3865" spans="1:17" x14ac:dyDescent="0.3">
      <c r="A3865" t="s">
        <v>4708</v>
      </c>
      <c r="B3865" t="str">
        <f>"300085"</f>
        <v>300085</v>
      </c>
      <c r="C3865" t="s">
        <v>8073</v>
      </c>
      <c r="D3865" t="s">
        <v>945</v>
      </c>
      <c r="P3865">
        <v>255</v>
      </c>
      <c r="Q3865" t="s">
        <v>8074</v>
      </c>
    </row>
    <row r="3866" spans="1:17" x14ac:dyDescent="0.3">
      <c r="A3866" t="s">
        <v>4708</v>
      </c>
      <c r="B3866" t="str">
        <f>"300086"</f>
        <v>300086</v>
      </c>
      <c r="C3866" t="s">
        <v>8075</v>
      </c>
      <c r="D3866" t="s">
        <v>143</v>
      </c>
      <c r="P3866">
        <v>106</v>
      </c>
      <c r="Q3866" t="s">
        <v>8076</v>
      </c>
    </row>
    <row r="3867" spans="1:17" x14ac:dyDescent="0.3">
      <c r="A3867" t="s">
        <v>4708</v>
      </c>
      <c r="B3867" t="str">
        <f>"300087"</f>
        <v>300087</v>
      </c>
      <c r="C3867" t="s">
        <v>8077</v>
      </c>
      <c r="D3867" t="s">
        <v>706</v>
      </c>
      <c r="P3867">
        <v>231</v>
      </c>
      <c r="Q3867" t="s">
        <v>8078</v>
      </c>
    </row>
    <row r="3868" spans="1:17" x14ac:dyDescent="0.3">
      <c r="A3868" t="s">
        <v>4708</v>
      </c>
      <c r="B3868" t="str">
        <f>"300088"</f>
        <v>300088</v>
      </c>
      <c r="C3868" t="s">
        <v>8079</v>
      </c>
      <c r="D3868" t="s">
        <v>1117</v>
      </c>
      <c r="P3868">
        <v>950</v>
      </c>
      <c r="Q3868" t="s">
        <v>8080</v>
      </c>
    </row>
    <row r="3869" spans="1:17" x14ac:dyDescent="0.3">
      <c r="A3869" t="s">
        <v>4708</v>
      </c>
      <c r="B3869" t="str">
        <f>"300089"</f>
        <v>300089</v>
      </c>
      <c r="C3869" t="s">
        <v>8081</v>
      </c>
      <c r="D3869" t="s">
        <v>1336</v>
      </c>
      <c r="P3869">
        <v>101</v>
      </c>
      <c r="Q3869" t="s">
        <v>8082</v>
      </c>
    </row>
    <row r="3870" spans="1:17" x14ac:dyDescent="0.3">
      <c r="A3870" t="s">
        <v>4708</v>
      </c>
      <c r="B3870" t="str">
        <f>"300090"</f>
        <v>300090</v>
      </c>
      <c r="C3870" t="s">
        <v>8083</v>
      </c>
      <c r="P3870">
        <v>72</v>
      </c>
      <c r="Q3870" t="s">
        <v>8084</v>
      </c>
    </row>
    <row r="3871" spans="1:17" x14ac:dyDescent="0.3">
      <c r="A3871" t="s">
        <v>4708</v>
      </c>
      <c r="B3871" t="str">
        <f>"300091"</f>
        <v>300091</v>
      </c>
      <c r="C3871" t="s">
        <v>8085</v>
      </c>
      <c r="D3871" t="s">
        <v>560</v>
      </c>
      <c r="P3871">
        <v>101</v>
      </c>
      <c r="Q3871" t="s">
        <v>8086</v>
      </c>
    </row>
    <row r="3872" spans="1:17" x14ac:dyDescent="0.3">
      <c r="A3872" t="s">
        <v>4708</v>
      </c>
      <c r="B3872" t="str">
        <f>"300092"</f>
        <v>300092</v>
      </c>
      <c r="C3872" t="s">
        <v>8087</v>
      </c>
      <c r="D3872" t="s">
        <v>274</v>
      </c>
      <c r="P3872">
        <v>81</v>
      </c>
      <c r="Q3872" t="s">
        <v>8088</v>
      </c>
    </row>
    <row r="3873" spans="1:17" x14ac:dyDescent="0.3">
      <c r="A3873" t="s">
        <v>4708</v>
      </c>
      <c r="B3873" t="str">
        <f>"300093"</f>
        <v>300093</v>
      </c>
      <c r="C3873" t="s">
        <v>8089</v>
      </c>
      <c r="D3873" t="s">
        <v>666</v>
      </c>
      <c r="P3873">
        <v>80</v>
      </c>
      <c r="Q3873" t="s">
        <v>8090</v>
      </c>
    </row>
    <row r="3874" spans="1:17" x14ac:dyDescent="0.3">
      <c r="A3874" t="s">
        <v>4708</v>
      </c>
      <c r="B3874" t="str">
        <f>"300094"</f>
        <v>300094</v>
      </c>
      <c r="C3874" t="s">
        <v>8091</v>
      </c>
      <c r="D3874" t="s">
        <v>587</v>
      </c>
      <c r="P3874">
        <v>123</v>
      </c>
      <c r="Q3874" t="s">
        <v>8092</v>
      </c>
    </row>
    <row r="3875" spans="1:17" x14ac:dyDescent="0.3">
      <c r="A3875" t="s">
        <v>4708</v>
      </c>
      <c r="B3875" t="str">
        <f>"300095"</f>
        <v>300095</v>
      </c>
      <c r="C3875" t="s">
        <v>8093</v>
      </c>
      <c r="D3875" t="s">
        <v>274</v>
      </c>
      <c r="P3875">
        <v>128</v>
      </c>
      <c r="Q3875" t="s">
        <v>8094</v>
      </c>
    </row>
    <row r="3876" spans="1:17" x14ac:dyDescent="0.3">
      <c r="A3876" t="s">
        <v>4708</v>
      </c>
      <c r="B3876" t="str">
        <f>"300096"</f>
        <v>300096</v>
      </c>
      <c r="C3876" t="s">
        <v>8095</v>
      </c>
      <c r="D3876" t="s">
        <v>316</v>
      </c>
      <c r="P3876">
        <v>169</v>
      </c>
      <c r="Q3876" t="s">
        <v>8096</v>
      </c>
    </row>
    <row r="3877" spans="1:17" x14ac:dyDescent="0.3">
      <c r="A3877" t="s">
        <v>4708</v>
      </c>
      <c r="B3877" t="str">
        <f>"300097"</f>
        <v>300097</v>
      </c>
      <c r="C3877" t="s">
        <v>8097</v>
      </c>
      <c r="D3877" t="s">
        <v>3462</v>
      </c>
      <c r="P3877">
        <v>203</v>
      </c>
      <c r="Q3877" t="s">
        <v>8098</v>
      </c>
    </row>
    <row r="3878" spans="1:17" x14ac:dyDescent="0.3">
      <c r="A3878" t="s">
        <v>4708</v>
      </c>
      <c r="B3878" t="str">
        <f>"300098"</f>
        <v>300098</v>
      </c>
      <c r="C3878" t="s">
        <v>8099</v>
      </c>
      <c r="D3878" t="s">
        <v>945</v>
      </c>
      <c r="P3878">
        <v>368</v>
      </c>
      <c r="Q3878" t="s">
        <v>8100</v>
      </c>
    </row>
    <row r="3879" spans="1:17" x14ac:dyDescent="0.3">
      <c r="A3879" t="s">
        <v>4708</v>
      </c>
      <c r="B3879" t="str">
        <f>"300099"</f>
        <v>300099</v>
      </c>
      <c r="C3879" t="s">
        <v>8101</v>
      </c>
      <c r="D3879" t="s">
        <v>395</v>
      </c>
      <c r="P3879">
        <v>134</v>
      </c>
      <c r="Q3879" t="s">
        <v>8102</v>
      </c>
    </row>
    <row r="3880" spans="1:17" x14ac:dyDescent="0.3">
      <c r="A3880" t="s">
        <v>4708</v>
      </c>
      <c r="B3880" t="str">
        <f>"300100"</f>
        <v>300100</v>
      </c>
      <c r="C3880" t="s">
        <v>8103</v>
      </c>
      <c r="D3880" t="s">
        <v>191</v>
      </c>
      <c r="P3880">
        <v>129</v>
      </c>
      <c r="Q3880" t="s">
        <v>8104</v>
      </c>
    </row>
    <row r="3881" spans="1:17" x14ac:dyDescent="0.3">
      <c r="A3881" t="s">
        <v>4708</v>
      </c>
      <c r="B3881" t="str">
        <f>"300101"</f>
        <v>300101</v>
      </c>
      <c r="C3881" t="s">
        <v>8105</v>
      </c>
      <c r="D3881" t="s">
        <v>1136</v>
      </c>
      <c r="P3881">
        <v>3120</v>
      </c>
      <c r="Q3881" t="s">
        <v>8106</v>
      </c>
    </row>
    <row r="3882" spans="1:17" x14ac:dyDescent="0.3">
      <c r="A3882" t="s">
        <v>4708</v>
      </c>
      <c r="B3882" t="str">
        <f>"300102"</f>
        <v>300102</v>
      </c>
      <c r="C3882" t="s">
        <v>8107</v>
      </c>
      <c r="D3882" t="s">
        <v>803</v>
      </c>
      <c r="P3882">
        <v>158</v>
      </c>
      <c r="Q3882" t="s">
        <v>8108</v>
      </c>
    </row>
    <row r="3883" spans="1:17" x14ac:dyDescent="0.3">
      <c r="A3883" t="s">
        <v>4708</v>
      </c>
      <c r="B3883" t="str">
        <f>"300103"</f>
        <v>300103</v>
      </c>
      <c r="C3883" t="s">
        <v>8109</v>
      </c>
      <c r="D3883" t="s">
        <v>741</v>
      </c>
      <c r="P3883">
        <v>53</v>
      </c>
      <c r="Q3883" t="s">
        <v>8110</v>
      </c>
    </row>
    <row r="3884" spans="1:17" x14ac:dyDescent="0.3">
      <c r="A3884" t="s">
        <v>4708</v>
      </c>
      <c r="B3884" t="str">
        <f>"300104"</f>
        <v>300104</v>
      </c>
      <c r="C3884" t="s">
        <v>8111</v>
      </c>
      <c r="P3884">
        <v>205</v>
      </c>
      <c r="Q3884" t="s">
        <v>8112</v>
      </c>
    </row>
    <row r="3885" spans="1:17" x14ac:dyDescent="0.3">
      <c r="A3885" t="s">
        <v>4708</v>
      </c>
      <c r="B3885" t="str">
        <f>"300105"</f>
        <v>300105</v>
      </c>
      <c r="C3885" t="s">
        <v>8113</v>
      </c>
      <c r="D3885" t="s">
        <v>470</v>
      </c>
      <c r="P3885">
        <v>56</v>
      </c>
      <c r="Q3885" t="s">
        <v>8114</v>
      </c>
    </row>
    <row r="3886" spans="1:17" x14ac:dyDescent="0.3">
      <c r="A3886" t="s">
        <v>4708</v>
      </c>
      <c r="B3886" t="str">
        <f>"300106"</f>
        <v>300106</v>
      </c>
      <c r="C3886" t="s">
        <v>8115</v>
      </c>
      <c r="D3886" t="s">
        <v>900</v>
      </c>
      <c r="P3886">
        <v>124</v>
      </c>
      <c r="Q3886" t="s">
        <v>8116</v>
      </c>
    </row>
    <row r="3887" spans="1:17" x14ac:dyDescent="0.3">
      <c r="A3887" t="s">
        <v>4708</v>
      </c>
      <c r="B3887" t="str">
        <f>"300107"</f>
        <v>300107</v>
      </c>
      <c r="C3887" t="s">
        <v>8117</v>
      </c>
      <c r="D3887" t="s">
        <v>779</v>
      </c>
      <c r="P3887">
        <v>239</v>
      </c>
      <c r="Q3887" t="s">
        <v>8118</v>
      </c>
    </row>
    <row r="3888" spans="1:17" x14ac:dyDescent="0.3">
      <c r="A3888" t="s">
        <v>4708</v>
      </c>
      <c r="B3888" t="str">
        <f>"300108"</f>
        <v>300108</v>
      </c>
      <c r="C3888" t="s">
        <v>8119</v>
      </c>
      <c r="D3888" t="s">
        <v>188</v>
      </c>
      <c r="P3888">
        <v>121</v>
      </c>
      <c r="Q3888" t="s">
        <v>8120</v>
      </c>
    </row>
    <row r="3889" spans="1:17" x14ac:dyDescent="0.3">
      <c r="A3889" t="s">
        <v>4708</v>
      </c>
      <c r="B3889" t="str">
        <f>"300109"</f>
        <v>300109</v>
      </c>
      <c r="C3889" t="s">
        <v>8121</v>
      </c>
      <c r="D3889" t="s">
        <v>386</v>
      </c>
      <c r="P3889">
        <v>122</v>
      </c>
      <c r="Q3889" t="s">
        <v>8122</v>
      </c>
    </row>
    <row r="3890" spans="1:17" x14ac:dyDescent="0.3">
      <c r="A3890" t="s">
        <v>4708</v>
      </c>
      <c r="B3890" t="str">
        <f>"300110"</f>
        <v>300110</v>
      </c>
      <c r="C3890" t="s">
        <v>8123</v>
      </c>
      <c r="D3890" t="s">
        <v>143</v>
      </c>
      <c r="P3890">
        <v>126</v>
      </c>
      <c r="Q3890" t="s">
        <v>8124</v>
      </c>
    </row>
    <row r="3891" spans="1:17" x14ac:dyDescent="0.3">
      <c r="A3891" t="s">
        <v>4708</v>
      </c>
      <c r="B3891" t="str">
        <f>"300111"</f>
        <v>300111</v>
      </c>
      <c r="C3891" t="s">
        <v>8125</v>
      </c>
      <c r="D3891" t="s">
        <v>356</v>
      </c>
      <c r="P3891">
        <v>124</v>
      </c>
      <c r="Q3891" t="s">
        <v>8126</v>
      </c>
    </row>
    <row r="3892" spans="1:17" x14ac:dyDescent="0.3">
      <c r="A3892" t="s">
        <v>4708</v>
      </c>
      <c r="B3892" t="str">
        <f>"300112"</f>
        <v>300112</v>
      </c>
      <c r="C3892" t="s">
        <v>8127</v>
      </c>
      <c r="D3892" t="s">
        <v>2557</v>
      </c>
      <c r="P3892">
        <v>123</v>
      </c>
      <c r="Q3892" t="s">
        <v>8128</v>
      </c>
    </row>
    <row r="3893" spans="1:17" x14ac:dyDescent="0.3">
      <c r="A3893" t="s">
        <v>4708</v>
      </c>
      <c r="B3893" t="str">
        <f>"300113"</f>
        <v>300113</v>
      </c>
      <c r="C3893" t="s">
        <v>8129</v>
      </c>
      <c r="D3893" t="s">
        <v>517</v>
      </c>
      <c r="P3893">
        <v>481</v>
      </c>
      <c r="Q3893" t="s">
        <v>8130</v>
      </c>
    </row>
    <row r="3894" spans="1:17" x14ac:dyDescent="0.3">
      <c r="A3894" t="s">
        <v>4708</v>
      </c>
      <c r="B3894" t="str">
        <f>"300114"</f>
        <v>300114</v>
      </c>
      <c r="C3894" t="s">
        <v>8131</v>
      </c>
      <c r="D3894" t="s">
        <v>1136</v>
      </c>
      <c r="P3894">
        <v>258</v>
      </c>
      <c r="Q3894" t="s">
        <v>8132</v>
      </c>
    </row>
    <row r="3895" spans="1:17" x14ac:dyDescent="0.3">
      <c r="A3895" t="s">
        <v>4708</v>
      </c>
      <c r="B3895" t="str">
        <f>"300115"</f>
        <v>300115</v>
      </c>
      <c r="C3895" t="s">
        <v>8133</v>
      </c>
      <c r="D3895" t="s">
        <v>313</v>
      </c>
      <c r="P3895">
        <v>870</v>
      </c>
      <c r="Q3895" t="s">
        <v>8134</v>
      </c>
    </row>
    <row r="3896" spans="1:17" x14ac:dyDescent="0.3">
      <c r="A3896" t="s">
        <v>4708</v>
      </c>
      <c r="B3896" t="str">
        <f>"300116"</f>
        <v>300116</v>
      </c>
      <c r="C3896" t="s">
        <v>8135</v>
      </c>
      <c r="D3896" t="s">
        <v>359</v>
      </c>
      <c r="P3896">
        <v>173</v>
      </c>
      <c r="Q3896" t="s">
        <v>8136</v>
      </c>
    </row>
    <row r="3897" spans="1:17" x14ac:dyDescent="0.3">
      <c r="A3897" t="s">
        <v>4708</v>
      </c>
      <c r="B3897" t="str">
        <f>"300117"</f>
        <v>300117</v>
      </c>
      <c r="C3897" t="s">
        <v>8137</v>
      </c>
      <c r="D3897" t="s">
        <v>1988</v>
      </c>
      <c r="P3897">
        <v>179</v>
      </c>
      <c r="Q3897" t="s">
        <v>8138</v>
      </c>
    </row>
    <row r="3898" spans="1:17" x14ac:dyDescent="0.3">
      <c r="A3898" t="s">
        <v>4708</v>
      </c>
      <c r="B3898" t="str">
        <f>"300118"</f>
        <v>300118</v>
      </c>
      <c r="C3898" t="s">
        <v>8139</v>
      </c>
      <c r="D3898" t="s">
        <v>356</v>
      </c>
      <c r="P3898">
        <v>443</v>
      </c>
      <c r="Q3898" t="s">
        <v>8140</v>
      </c>
    </row>
    <row r="3899" spans="1:17" x14ac:dyDescent="0.3">
      <c r="A3899" t="s">
        <v>4708</v>
      </c>
      <c r="B3899" t="str">
        <f>"300119"</f>
        <v>300119</v>
      </c>
      <c r="C3899" t="s">
        <v>8141</v>
      </c>
      <c r="D3899" t="s">
        <v>453</v>
      </c>
      <c r="P3899">
        <v>388</v>
      </c>
      <c r="Q3899" t="s">
        <v>8142</v>
      </c>
    </row>
    <row r="3900" spans="1:17" x14ac:dyDescent="0.3">
      <c r="A3900" t="s">
        <v>4708</v>
      </c>
      <c r="B3900" t="str">
        <f>"300120"</f>
        <v>300120</v>
      </c>
      <c r="C3900" t="s">
        <v>8143</v>
      </c>
      <c r="D3900" t="s">
        <v>1117</v>
      </c>
      <c r="P3900">
        <v>105</v>
      </c>
      <c r="Q3900" t="s">
        <v>8144</v>
      </c>
    </row>
    <row r="3901" spans="1:17" x14ac:dyDescent="0.3">
      <c r="A3901" t="s">
        <v>4708</v>
      </c>
      <c r="B3901" t="str">
        <f>"300121"</f>
        <v>300121</v>
      </c>
      <c r="C3901" t="s">
        <v>8145</v>
      </c>
      <c r="D3901" t="s">
        <v>3113</v>
      </c>
      <c r="P3901">
        <v>353</v>
      </c>
      <c r="Q3901" t="s">
        <v>8146</v>
      </c>
    </row>
    <row r="3902" spans="1:17" x14ac:dyDescent="0.3">
      <c r="A3902" t="s">
        <v>4708</v>
      </c>
      <c r="B3902" t="str">
        <f>"300122"</f>
        <v>300122</v>
      </c>
      <c r="C3902" t="s">
        <v>8147</v>
      </c>
      <c r="D3902" t="s">
        <v>1499</v>
      </c>
      <c r="P3902">
        <v>3426</v>
      </c>
      <c r="Q3902" t="s">
        <v>8148</v>
      </c>
    </row>
    <row r="3903" spans="1:17" x14ac:dyDescent="0.3">
      <c r="A3903" t="s">
        <v>4708</v>
      </c>
      <c r="B3903" t="str">
        <f>"300123"</f>
        <v>300123</v>
      </c>
      <c r="C3903" t="s">
        <v>8149</v>
      </c>
      <c r="D3903" t="s">
        <v>1136</v>
      </c>
      <c r="P3903">
        <v>232</v>
      </c>
      <c r="Q3903" t="s">
        <v>8150</v>
      </c>
    </row>
    <row r="3904" spans="1:17" x14ac:dyDescent="0.3">
      <c r="A3904" t="s">
        <v>4708</v>
      </c>
      <c r="B3904" t="str">
        <f>"300124"</f>
        <v>300124</v>
      </c>
      <c r="C3904" t="s">
        <v>8151</v>
      </c>
      <c r="D3904" t="s">
        <v>2425</v>
      </c>
      <c r="P3904">
        <v>2412</v>
      </c>
      <c r="Q3904" t="s">
        <v>8152</v>
      </c>
    </row>
    <row r="3905" spans="1:17" x14ac:dyDescent="0.3">
      <c r="A3905" t="s">
        <v>4708</v>
      </c>
      <c r="B3905" t="str">
        <f>"300125"</f>
        <v>300125</v>
      </c>
      <c r="C3905" t="s">
        <v>8153</v>
      </c>
      <c r="D3905" t="s">
        <v>86</v>
      </c>
      <c r="P3905">
        <v>59</v>
      </c>
      <c r="Q3905" t="s">
        <v>8154</v>
      </c>
    </row>
    <row r="3906" spans="1:17" x14ac:dyDescent="0.3">
      <c r="A3906" t="s">
        <v>4708</v>
      </c>
      <c r="B3906" t="str">
        <f>"300126"</f>
        <v>300126</v>
      </c>
      <c r="C3906" t="s">
        <v>8155</v>
      </c>
      <c r="D3906" t="s">
        <v>560</v>
      </c>
      <c r="P3906">
        <v>50</v>
      </c>
      <c r="Q3906" t="s">
        <v>8156</v>
      </c>
    </row>
    <row r="3907" spans="1:17" x14ac:dyDescent="0.3">
      <c r="A3907" t="s">
        <v>4708</v>
      </c>
      <c r="B3907" t="str">
        <f>"300127"</f>
        <v>300127</v>
      </c>
      <c r="C3907" t="s">
        <v>8157</v>
      </c>
      <c r="D3907" t="s">
        <v>808</v>
      </c>
      <c r="P3907">
        <v>205</v>
      </c>
      <c r="Q3907" t="s">
        <v>8158</v>
      </c>
    </row>
    <row r="3908" spans="1:17" x14ac:dyDescent="0.3">
      <c r="A3908" t="s">
        <v>4708</v>
      </c>
      <c r="B3908" t="str">
        <f>"300128"</f>
        <v>300128</v>
      </c>
      <c r="C3908" t="s">
        <v>8159</v>
      </c>
      <c r="D3908" t="s">
        <v>1117</v>
      </c>
      <c r="P3908">
        <v>145</v>
      </c>
      <c r="Q3908" t="s">
        <v>8160</v>
      </c>
    </row>
    <row r="3909" spans="1:17" x14ac:dyDescent="0.3">
      <c r="A3909" t="s">
        <v>4708</v>
      </c>
      <c r="B3909" t="str">
        <f>"300129"</f>
        <v>300129</v>
      </c>
      <c r="C3909" t="s">
        <v>8161</v>
      </c>
      <c r="D3909" t="s">
        <v>950</v>
      </c>
      <c r="P3909">
        <v>183</v>
      </c>
      <c r="Q3909" t="s">
        <v>8162</v>
      </c>
    </row>
    <row r="3910" spans="1:17" x14ac:dyDescent="0.3">
      <c r="A3910" t="s">
        <v>4708</v>
      </c>
      <c r="B3910" t="str">
        <f>"300130"</f>
        <v>300130</v>
      </c>
      <c r="C3910" t="s">
        <v>8163</v>
      </c>
      <c r="D3910" t="s">
        <v>236</v>
      </c>
      <c r="P3910">
        <v>202</v>
      </c>
      <c r="Q3910" t="s">
        <v>8164</v>
      </c>
    </row>
    <row r="3911" spans="1:17" x14ac:dyDescent="0.3">
      <c r="A3911" t="s">
        <v>4708</v>
      </c>
      <c r="B3911" t="str">
        <f>"300131"</f>
        <v>300131</v>
      </c>
      <c r="C3911" t="s">
        <v>8165</v>
      </c>
      <c r="D3911" t="s">
        <v>313</v>
      </c>
      <c r="P3911">
        <v>207</v>
      </c>
      <c r="Q3911" t="s">
        <v>8166</v>
      </c>
    </row>
    <row r="3912" spans="1:17" x14ac:dyDescent="0.3">
      <c r="A3912" t="s">
        <v>4708</v>
      </c>
      <c r="B3912" t="str">
        <f>"300132"</f>
        <v>300132</v>
      </c>
      <c r="C3912" t="s">
        <v>8167</v>
      </c>
      <c r="D3912" t="s">
        <v>5944</v>
      </c>
      <c r="P3912">
        <v>399</v>
      </c>
      <c r="Q3912" t="s">
        <v>8168</v>
      </c>
    </row>
    <row r="3913" spans="1:17" x14ac:dyDescent="0.3">
      <c r="A3913" t="s">
        <v>4708</v>
      </c>
      <c r="B3913" t="str">
        <f>"300133"</f>
        <v>300133</v>
      </c>
      <c r="C3913" t="s">
        <v>8169</v>
      </c>
      <c r="D3913" t="s">
        <v>113</v>
      </c>
      <c r="P3913">
        <v>349</v>
      </c>
      <c r="Q3913" t="s">
        <v>8170</v>
      </c>
    </row>
    <row r="3914" spans="1:17" x14ac:dyDescent="0.3">
      <c r="A3914" t="s">
        <v>4708</v>
      </c>
      <c r="B3914" t="str">
        <f>"300134"</f>
        <v>300134</v>
      </c>
      <c r="C3914" t="s">
        <v>8171</v>
      </c>
      <c r="D3914" t="s">
        <v>1019</v>
      </c>
      <c r="P3914">
        <v>342</v>
      </c>
      <c r="Q3914" t="s">
        <v>8172</v>
      </c>
    </row>
    <row r="3915" spans="1:17" x14ac:dyDescent="0.3">
      <c r="A3915" t="s">
        <v>4708</v>
      </c>
      <c r="B3915" t="str">
        <f>"300135"</f>
        <v>300135</v>
      </c>
      <c r="C3915" t="s">
        <v>8173</v>
      </c>
      <c r="D3915" t="s">
        <v>1615</v>
      </c>
      <c r="P3915">
        <v>49</v>
      </c>
      <c r="Q3915" t="s">
        <v>8174</v>
      </c>
    </row>
    <row r="3916" spans="1:17" x14ac:dyDescent="0.3">
      <c r="A3916" t="s">
        <v>4708</v>
      </c>
      <c r="B3916" t="str">
        <f>"300136"</f>
        <v>300136</v>
      </c>
      <c r="C3916" t="s">
        <v>8175</v>
      </c>
      <c r="D3916" t="s">
        <v>313</v>
      </c>
      <c r="P3916">
        <v>2618</v>
      </c>
      <c r="Q3916" t="s">
        <v>8176</v>
      </c>
    </row>
    <row r="3917" spans="1:17" x14ac:dyDescent="0.3">
      <c r="A3917" t="s">
        <v>4708</v>
      </c>
      <c r="B3917" t="str">
        <f>"300137"</f>
        <v>300137</v>
      </c>
      <c r="C3917" t="s">
        <v>8177</v>
      </c>
      <c r="D3917" t="s">
        <v>1070</v>
      </c>
      <c r="P3917">
        <v>253</v>
      </c>
      <c r="Q3917" t="s">
        <v>8178</v>
      </c>
    </row>
    <row r="3918" spans="1:17" x14ac:dyDescent="0.3">
      <c r="A3918" t="s">
        <v>4708</v>
      </c>
      <c r="B3918" t="str">
        <f>"300138"</f>
        <v>300138</v>
      </c>
      <c r="C3918" t="s">
        <v>8179</v>
      </c>
      <c r="D3918" t="s">
        <v>445</v>
      </c>
      <c r="P3918">
        <v>264</v>
      </c>
      <c r="Q3918" t="s">
        <v>8180</v>
      </c>
    </row>
    <row r="3919" spans="1:17" x14ac:dyDescent="0.3">
      <c r="A3919" t="s">
        <v>4708</v>
      </c>
      <c r="B3919" t="str">
        <f>"300139"</f>
        <v>300139</v>
      </c>
      <c r="C3919" t="s">
        <v>8181</v>
      </c>
      <c r="D3919" t="s">
        <v>86</v>
      </c>
      <c r="P3919">
        <v>147</v>
      </c>
      <c r="Q3919" t="s">
        <v>8182</v>
      </c>
    </row>
    <row r="3920" spans="1:17" x14ac:dyDescent="0.3">
      <c r="A3920" t="s">
        <v>4708</v>
      </c>
      <c r="B3920" t="str">
        <f>"300140"</f>
        <v>300140</v>
      </c>
      <c r="C3920" t="s">
        <v>8183</v>
      </c>
      <c r="D3920" t="s">
        <v>1070</v>
      </c>
      <c r="P3920">
        <v>103</v>
      </c>
      <c r="Q3920" t="s">
        <v>8184</v>
      </c>
    </row>
    <row r="3921" spans="1:17" x14ac:dyDescent="0.3">
      <c r="A3921" t="s">
        <v>4708</v>
      </c>
      <c r="B3921" t="str">
        <f>"300141"</f>
        <v>300141</v>
      </c>
      <c r="C3921" t="s">
        <v>8185</v>
      </c>
      <c r="D3921" t="s">
        <v>657</v>
      </c>
      <c r="P3921">
        <v>91</v>
      </c>
      <c r="Q3921" t="s">
        <v>8186</v>
      </c>
    </row>
    <row r="3922" spans="1:17" x14ac:dyDescent="0.3">
      <c r="A3922" t="s">
        <v>4708</v>
      </c>
      <c r="B3922" t="str">
        <f>"300142"</f>
        <v>300142</v>
      </c>
      <c r="C3922" t="s">
        <v>8187</v>
      </c>
      <c r="D3922" t="s">
        <v>1499</v>
      </c>
      <c r="P3922">
        <v>1230</v>
      </c>
      <c r="Q3922" t="s">
        <v>8188</v>
      </c>
    </row>
    <row r="3923" spans="1:17" x14ac:dyDescent="0.3">
      <c r="A3923" t="s">
        <v>4708</v>
      </c>
      <c r="B3923" t="str">
        <f>"300143"</f>
        <v>300143</v>
      </c>
      <c r="C3923" t="s">
        <v>8189</v>
      </c>
      <c r="D3923" t="s">
        <v>1147</v>
      </c>
      <c r="P3923">
        <v>150</v>
      </c>
      <c r="Q3923" t="s">
        <v>8190</v>
      </c>
    </row>
    <row r="3924" spans="1:17" x14ac:dyDescent="0.3">
      <c r="A3924" t="s">
        <v>4708</v>
      </c>
      <c r="B3924" t="str">
        <f>"300144"</f>
        <v>300144</v>
      </c>
      <c r="C3924" t="s">
        <v>8191</v>
      </c>
      <c r="D3924" t="s">
        <v>333</v>
      </c>
      <c r="P3924">
        <v>3022</v>
      </c>
      <c r="Q3924" t="s">
        <v>8192</v>
      </c>
    </row>
    <row r="3925" spans="1:17" x14ac:dyDescent="0.3">
      <c r="A3925" t="s">
        <v>4708</v>
      </c>
      <c r="B3925" t="str">
        <f>"300145"</f>
        <v>300145</v>
      </c>
      <c r="C3925" t="s">
        <v>8193</v>
      </c>
      <c r="D3925" t="s">
        <v>560</v>
      </c>
      <c r="P3925">
        <v>281</v>
      </c>
      <c r="Q3925" t="s">
        <v>8194</v>
      </c>
    </row>
    <row r="3926" spans="1:17" x14ac:dyDescent="0.3">
      <c r="A3926" t="s">
        <v>4708</v>
      </c>
      <c r="B3926" t="str">
        <f>"300146"</f>
        <v>300146</v>
      </c>
      <c r="C3926" t="s">
        <v>8195</v>
      </c>
      <c r="D3926" t="s">
        <v>838</v>
      </c>
      <c r="P3926">
        <v>2832</v>
      </c>
      <c r="Q3926" t="s">
        <v>8196</v>
      </c>
    </row>
    <row r="3927" spans="1:17" x14ac:dyDescent="0.3">
      <c r="A3927" t="s">
        <v>4708</v>
      </c>
      <c r="B3927" t="str">
        <f>"300147"</f>
        <v>300147</v>
      </c>
      <c r="C3927" t="s">
        <v>8197</v>
      </c>
      <c r="D3927" t="s">
        <v>188</v>
      </c>
      <c r="P3927">
        <v>166</v>
      </c>
      <c r="Q3927" t="s">
        <v>8198</v>
      </c>
    </row>
    <row r="3928" spans="1:17" x14ac:dyDescent="0.3">
      <c r="A3928" t="s">
        <v>4708</v>
      </c>
      <c r="B3928" t="str">
        <f>"300148"</f>
        <v>300148</v>
      </c>
      <c r="C3928" t="s">
        <v>8199</v>
      </c>
      <c r="D3928" t="s">
        <v>517</v>
      </c>
      <c r="P3928">
        <v>99</v>
      </c>
      <c r="Q3928" t="s">
        <v>8200</v>
      </c>
    </row>
    <row r="3929" spans="1:17" x14ac:dyDescent="0.3">
      <c r="A3929" t="s">
        <v>4708</v>
      </c>
      <c r="B3929" t="str">
        <f>"300149"</f>
        <v>300149</v>
      </c>
      <c r="C3929" t="s">
        <v>8201</v>
      </c>
      <c r="D3929" t="s">
        <v>1461</v>
      </c>
      <c r="P3929">
        <v>193</v>
      </c>
      <c r="Q3929" t="s">
        <v>8202</v>
      </c>
    </row>
    <row r="3930" spans="1:17" x14ac:dyDescent="0.3">
      <c r="A3930" t="s">
        <v>4708</v>
      </c>
      <c r="B3930" t="str">
        <f>"300150"</f>
        <v>300150</v>
      </c>
      <c r="C3930" t="s">
        <v>8203</v>
      </c>
      <c r="D3930" t="s">
        <v>316</v>
      </c>
      <c r="P3930">
        <v>121</v>
      </c>
      <c r="Q3930" t="s">
        <v>8204</v>
      </c>
    </row>
    <row r="3931" spans="1:17" x14ac:dyDescent="0.3">
      <c r="A3931" t="s">
        <v>4708</v>
      </c>
      <c r="B3931" t="str">
        <f>"300151"</f>
        <v>300151</v>
      </c>
      <c r="C3931" t="s">
        <v>8205</v>
      </c>
      <c r="D3931" t="s">
        <v>741</v>
      </c>
      <c r="P3931">
        <v>155</v>
      </c>
      <c r="Q3931" t="s">
        <v>8206</v>
      </c>
    </row>
    <row r="3932" spans="1:17" x14ac:dyDescent="0.3">
      <c r="A3932" t="s">
        <v>4708</v>
      </c>
      <c r="B3932" t="str">
        <f>"300152"</f>
        <v>300152</v>
      </c>
      <c r="C3932" t="s">
        <v>8207</v>
      </c>
      <c r="D3932" t="s">
        <v>3560</v>
      </c>
      <c r="P3932">
        <v>92</v>
      </c>
      <c r="Q3932" t="s">
        <v>8208</v>
      </c>
    </row>
    <row r="3933" spans="1:17" x14ac:dyDescent="0.3">
      <c r="A3933" t="s">
        <v>4708</v>
      </c>
      <c r="B3933" t="str">
        <f>"300153"</f>
        <v>300153</v>
      </c>
      <c r="C3933" t="s">
        <v>8209</v>
      </c>
      <c r="D3933" t="s">
        <v>880</v>
      </c>
      <c r="P3933">
        <v>108</v>
      </c>
      <c r="Q3933" t="s">
        <v>8210</v>
      </c>
    </row>
    <row r="3934" spans="1:17" x14ac:dyDescent="0.3">
      <c r="A3934" t="s">
        <v>4708</v>
      </c>
      <c r="B3934" t="str">
        <f>"300154"</f>
        <v>300154</v>
      </c>
      <c r="C3934" t="s">
        <v>8211</v>
      </c>
      <c r="D3934" t="s">
        <v>560</v>
      </c>
      <c r="P3934">
        <v>82</v>
      </c>
      <c r="Q3934" t="s">
        <v>8212</v>
      </c>
    </row>
    <row r="3935" spans="1:17" x14ac:dyDescent="0.3">
      <c r="A3935" t="s">
        <v>4708</v>
      </c>
      <c r="B3935" t="str">
        <f>"300155"</f>
        <v>300155</v>
      </c>
      <c r="C3935" t="s">
        <v>8213</v>
      </c>
      <c r="D3935" t="s">
        <v>2965</v>
      </c>
      <c r="P3935">
        <v>68</v>
      </c>
      <c r="Q3935" t="s">
        <v>8214</v>
      </c>
    </row>
    <row r="3936" spans="1:17" x14ac:dyDescent="0.3">
      <c r="A3936" t="s">
        <v>4708</v>
      </c>
      <c r="B3936" t="str">
        <f>"300156"</f>
        <v>300156</v>
      </c>
      <c r="C3936" t="s">
        <v>8215</v>
      </c>
      <c r="P3936">
        <v>300</v>
      </c>
      <c r="Q3936" t="s">
        <v>8216</v>
      </c>
    </row>
    <row r="3937" spans="1:17" x14ac:dyDescent="0.3">
      <c r="A3937" t="s">
        <v>4708</v>
      </c>
      <c r="B3937" t="str">
        <f>"300157"</f>
        <v>300157</v>
      </c>
      <c r="C3937" t="s">
        <v>8217</v>
      </c>
      <c r="D3937" t="s">
        <v>762</v>
      </c>
      <c r="P3937">
        <v>76</v>
      </c>
      <c r="Q3937" t="s">
        <v>8218</v>
      </c>
    </row>
    <row r="3938" spans="1:17" x14ac:dyDescent="0.3">
      <c r="A3938" t="s">
        <v>4708</v>
      </c>
      <c r="B3938" t="str">
        <f>"300158"</f>
        <v>300158</v>
      </c>
      <c r="C3938" t="s">
        <v>8219</v>
      </c>
      <c r="D3938" t="s">
        <v>143</v>
      </c>
      <c r="P3938">
        <v>176</v>
      </c>
      <c r="Q3938" t="s">
        <v>8220</v>
      </c>
    </row>
    <row r="3939" spans="1:17" x14ac:dyDescent="0.3">
      <c r="A3939" t="s">
        <v>4708</v>
      </c>
      <c r="B3939" t="str">
        <f>"300159"</f>
        <v>300159</v>
      </c>
      <c r="C3939" t="s">
        <v>8221</v>
      </c>
      <c r="D3939" t="s">
        <v>98</v>
      </c>
      <c r="P3939">
        <v>126</v>
      </c>
      <c r="Q3939" t="s">
        <v>8222</v>
      </c>
    </row>
    <row r="3940" spans="1:17" x14ac:dyDescent="0.3">
      <c r="A3940" t="s">
        <v>4708</v>
      </c>
      <c r="B3940" t="str">
        <f>"300160"</f>
        <v>300160</v>
      </c>
      <c r="C3940" t="s">
        <v>8223</v>
      </c>
      <c r="D3940" t="s">
        <v>1253</v>
      </c>
      <c r="P3940">
        <v>150</v>
      </c>
      <c r="Q3940" t="s">
        <v>8224</v>
      </c>
    </row>
    <row r="3941" spans="1:17" x14ac:dyDescent="0.3">
      <c r="A3941" t="s">
        <v>4708</v>
      </c>
      <c r="B3941" t="str">
        <f>"300161"</f>
        <v>300161</v>
      </c>
      <c r="C3941" t="s">
        <v>8225</v>
      </c>
      <c r="D3941" t="s">
        <v>2314</v>
      </c>
      <c r="P3941">
        <v>159</v>
      </c>
      <c r="Q3941" t="s">
        <v>8226</v>
      </c>
    </row>
    <row r="3942" spans="1:17" x14ac:dyDescent="0.3">
      <c r="A3942" t="s">
        <v>4708</v>
      </c>
      <c r="B3942" t="str">
        <f>"300162"</f>
        <v>300162</v>
      </c>
      <c r="C3942" t="s">
        <v>8227</v>
      </c>
      <c r="D3942" t="s">
        <v>803</v>
      </c>
      <c r="P3942">
        <v>76</v>
      </c>
      <c r="Q3942" t="s">
        <v>8228</v>
      </c>
    </row>
    <row r="3943" spans="1:17" x14ac:dyDescent="0.3">
      <c r="A3943" t="s">
        <v>4708</v>
      </c>
      <c r="B3943" t="str">
        <f>"300163"</f>
        <v>300163</v>
      </c>
      <c r="C3943" t="s">
        <v>8229</v>
      </c>
      <c r="D3943" t="s">
        <v>386</v>
      </c>
      <c r="P3943">
        <v>75</v>
      </c>
      <c r="Q3943" t="s">
        <v>8230</v>
      </c>
    </row>
    <row r="3944" spans="1:17" x14ac:dyDescent="0.3">
      <c r="A3944" t="s">
        <v>4708</v>
      </c>
      <c r="B3944" t="str">
        <f>"300164"</f>
        <v>300164</v>
      </c>
      <c r="C3944" t="s">
        <v>8231</v>
      </c>
      <c r="D3944" t="s">
        <v>762</v>
      </c>
      <c r="P3944">
        <v>82</v>
      </c>
      <c r="Q3944" t="s">
        <v>8232</v>
      </c>
    </row>
    <row r="3945" spans="1:17" x14ac:dyDescent="0.3">
      <c r="A3945" t="s">
        <v>4708</v>
      </c>
      <c r="B3945" t="str">
        <f>"300165"</f>
        <v>300165</v>
      </c>
      <c r="C3945" t="s">
        <v>8233</v>
      </c>
      <c r="D3945" t="s">
        <v>2557</v>
      </c>
      <c r="P3945">
        <v>103</v>
      </c>
      <c r="Q3945" t="s">
        <v>8234</v>
      </c>
    </row>
    <row r="3946" spans="1:17" x14ac:dyDescent="0.3">
      <c r="A3946" t="s">
        <v>4708</v>
      </c>
      <c r="B3946" t="str">
        <f>"300166"</f>
        <v>300166</v>
      </c>
      <c r="C3946" t="s">
        <v>8235</v>
      </c>
      <c r="D3946" t="s">
        <v>316</v>
      </c>
      <c r="P3946">
        <v>461</v>
      </c>
      <c r="Q3946" t="s">
        <v>8236</v>
      </c>
    </row>
    <row r="3947" spans="1:17" x14ac:dyDescent="0.3">
      <c r="A3947" t="s">
        <v>4708</v>
      </c>
      <c r="B3947" t="str">
        <f>"300167"</f>
        <v>300167</v>
      </c>
      <c r="C3947" t="s">
        <v>8237</v>
      </c>
      <c r="D3947" t="s">
        <v>316</v>
      </c>
      <c r="P3947">
        <v>131</v>
      </c>
      <c r="Q3947" t="s">
        <v>8238</v>
      </c>
    </row>
    <row r="3948" spans="1:17" x14ac:dyDescent="0.3">
      <c r="A3948" t="s">
        <v>4708</v>
      </c>
      <c r="B3948" t="str">
        <f>"300168"</f>
        <v>300168</v>
      </c>
      <c r="C3948" t="s">
        <v>8239</v>
      </c>
      <c r="D3948" t="s">
        <v>316</v>
      </c>
      <c r="P3948">
        <v>368</v>
      </c>
      <c r="Q3948" t="s">
        <v>8240</v>
      </c>
    </row>
    <row r="3949" spans="1:17" x14ac:dyDescent="0.3">
      <c r="A3949" t="s">
        <v>4708</v>
      </c>
      <c r="B3949" t="str">
        <f>"300169"</f>
        <v>300169</v>
      </c>
      <c r="C3949" t="s">
        <v>8241</v>
      </c>
      <c r="D3949" t="s">
        <v>386</v>
      </c>
      <c r="P3949">
        <v>68</v>
      </c>
      <c r="Q3949" t="s">
        <v>8242</v>
      </c>
    </row>
    <row r="3950" spans="1:17" x14ac:dyDescent="0.3">
      <c r="A3950" t="s">
        <v>4708</v>
      </c>
      <c r="B3950" t="str">
        <f>"300170"</f>
        <v>300170</v>
      </c>
      <c r="C3950" t="s">
        <v>8243</v>
      </c>
      <c r="D3950" t="s">
        <v>316</v>
      </c>
      <c r="P3950">
        <v>3198</v>
      </c>
      <c r="Q3950" t="s">
        <v>8244</v>
      </c>
    </row>
    <row r="3951" spans="1:17" x14ac:dyDescent="0.3">
      <c r="A3951" t="s">
        <v>4708</v>
      </c>
      <c r="B3951" t="str">
        <f>"300171"</f>
        <v>300171</v>
      </c>
      <c r="C3951" t="s">
        <v>8245</v>
      </c>
      <c r="D3951" t="s">
        <v>122</v>
      </c>
      <c r="P3951">
        <v>248</v>
      </c>
      <c r="Q3951" t="s">
        <v>8246</v>
      </c>
    </row>
    <row r="3952" spans="1:17" x14ac:dyDescent="0.3">
      <c r="A3952" t="s">
        <v>4708</v>
      </c>
      <c r="B3952" t="str">
        <f>"300172"</f>
        <v>300172</v>
      </c>
      <c r="C3952" t="s">
        <v>8247</v>
      </c>
      <c r="D3952" t="s">
        <v>33</v>
      </c>
      <c r="P3952">
        <v>110</v>
      </c>
      <c r="Q3952" t="s">
        <v>8248</v>
      </c>
    </row>
    <row r="3953" spans="1:17" x14ac:dyDescent="0.3">
      <c r="A3953" t="s">
        <v>4708</v>
      </c>
      <c r="B3953" t="str">
        <f>"300173"</f>
        <v>300173</v>
      </c>
      <c r="C3953" t="s">
        <v>8249</v>
      </c>
      <c r="D3953" t="s">
        <v>2425</v>
      </c>
      <c r="P3953">
        <v>61</v>
      </c>
      <c r="Q3953" t="s">
        <v>8250</v>
      </c>
    </row>
    <row r="3954" spans="1:17" x14ac:dyDescent="0.3">
      <c r="A3954" t="s">
        <v>4708</v>
      </c>
      <c r="B3954" t="str">
        <f>"300174"</f>
        <v>300174</v>
      </c>
      <c r="C3954" t="s">
        <v>8251</v>
      </c>
      <c r="D3954" t="s">
        <v>386</v>
      </c>
      <c r="P3954">
        <v>90</v>
      </c>
      <c r="Q3954" t="s">
        <v>8252</v>
      </c>
    </row>
    <row r="3955" spans="1:17" x14ac:dyDescent="0.3">
      <c r="A3955" t="s">
        <v>4708</v>
      </c>
      <c r="B3955" t="str">
        <f>"300175"</f>
        <v>300175</v>
      </c>
      <c r="C3955" t="s">
        <v>8253</v>
      </c>
      <c r="D3955" t="s">
        <v>574</v>
      </c>
      <c r="P3955">
        <v>84</v>
      </c>
      <c r="Q3955" t="s">
        <v>8254</v>
      </c>
    </row>
    <row r="3956" spans="1:17" x14ac:dyDescent="0.3">
      <c r="A3956" t="s">
        <v>4708</v>
      </c>
      <c r="B3956" t="str">
        <f>"300176"</f>
        <v>300176</v>
      </c>
      <c r="C3956" t="s">
        <v>8255</v>
      </c>
      <c r="D3956" t="s">
        <v>348</v>
      </c>
      <c r="P3956">
        <v>151</v>
      </c>
      <c r="Q3956" t="s">
        <v>8256</v>
      </c>
    </row>
    <row r="3957" spans="1:17" x14ac:dyDescent="0.3">
      <c r="A3957" t="s">
        <v>4708</v>
      </c>
      <c r="B3957" t="str">
        <f>"300177"</f>
        <v>300177</v>
      </c>
      <c r="C3957" t="s">
        <v>8257</v>
      </c>
      <c r="D3957" t="s">
        <v>1136</v>
      </c>
      <c r="P3957">
        <v>232</v>
      </c>
      <c r="Q3957" t="s">
        <v>8258</v>
      </c>
    </row>
    <row r="3958" spans="1:17" x14ac:dyDescent="0.3">
      <c r="A3958" t="s">
        <v>4708</v>
      </c>
      <c r="B3958" t="str">
        <f>"300178"</f>
        <v>300178</v>
      </c>
      <c r="C3958" t="s">
        <v>8259</v>
      </c>
      <c r="D3958" t="s">
        <v>1120</v>
      </c>
      <c r="P3958">
        <v>152</v>
      </c>
      <c r="Q3958" t="s">
        <v>8260</v>
      </c>
    </row>
    <row r="3959" spans="1:17" x14ac:dyDescent="0.3">
      <c r="A3959" t="s">
        <v>4708</v>
      </c>
      <c r="B3959" t="str">
        <f>"300179"</f>
        <v>300179</v>
      </c>
      <c r="C3959" t="s">
        <v>8261</v>
      </c>
      <c r="D3959" t="s">
        <v>404</v>
      </c>
      <c r="P3959">
        <v>166</v>
      </c>
      <c r="Q3959" t="s">
        <v>8262</v>
      </c>
    </row>
    <row r="3960" spans="1:17" x14ac:dyDescent="0.3">
      <c r="A3960" t="s">
        <v>4708</v>
      </c>
      <c r="B3960" t="str">
        <f>"300180"</f>
        <v>300180</v>
      </c>
      <c r="C3960" t="s">
        <v>8263</v>
      </c>
      <c r="D3960" t="s">
        <v>1192</v>
      </c>
      <c r="P3960">
        <v>141</v>
      </c>
      <c r="Q3960" t="s">
        <v>8264</v>
      </c>
    </row>
    <row r="3961" spans="1:17" x14ac:dyDescent="0.3">
      <c r="A3961" t="s">
        <v>4708</v>
      </c>
      <c r="B3961" t="str">
        <f>"300181"</f>
        <v>300181</v>
      </c>
      <c r="C3961" t="s">
        <v>8265</v>
      </c>
      <c r="D3961" t="s">
        <v>188</v>
      </c>
      <c r="P3961">
        <v>174</v>
      </c>
      <c r="Q3961" t="s">
        <v>8266</v>
      </c>
    </row>
    <row r="3962" spans="1:17" x14ac:dyDescent="0.3">
      <c r="A3962" t="s">
        <v>4708</v>
      </c>
      <c r="B3962" t="str">
        <f>"300182"</f>
        <v>300182</v>
      </c>
      <c r="C3962" t="s">
        <v>8267</v>
      </c>
      <c r="D3962" t="s">
        <v>113</v>
      </c>
      <c r="P3962">
        <v>514</v>
      </c>
      <c r="Q3962" t="s">
        <v>8268</v>
      </c>
    </row>
    <row r="3963" spans="1:17" x14ac:dyDescent="0.3">
      <c r="A3963" t="s">
        <v>4708</v>
      </c>
      <c r="B3963" t="str">
        <f>"300183"</f>
        <v>300183</v>
      </c>
      <c r="C3963" t="s">
        <v>8269</v>
      </c>
      <c r="D3963" t="s">
        <v>595</v>
      </c>
      <c r="P3963">
        <v>276</v>
      </c>
      <c r="Q3963" t="s">
        <v>8270</v>
      </c>
    </row>
    <row r="3964" spans="1:17" x14ac:dyDescent="0.3">
      <c r="A3964" t="s">
        <v>4708</v>
      </c>
      <c r="B3964" t="str">
        <f>"300184"</f>
        <v>300184</v>
      </c>
      <c r="C3964" t="s">
        <v>8271</v>
      </c>
      <c r="D3964" t="s">
        <v>651</v>
      </c>
      <c r="P3964">
        <v>252</v>
      </c>
      <c r="Q3964" t="s">
        <v>8272</v>
      </c>
    </row>
    <row r="3965" spans="1:17" x14ac:dyDescent="0.3">
      <c r="A3965" t="s">
        <v>4708</v>
      </c>
      <c r="B3965" t="str">
        <f>"300185"</f>
        <v>300185</v>
      </c>
      <c r="C3965" t="s">
        <v>8273</v>
      </c>
      <c r="D3965" t="s">
        <v>950</v>
      </c>
      <c r="P3965">
        <v>201</v>
      </c>
      <c r="Q3965" t="s">
        <v>8274</v>
      </c>
    </row>
    <row r="3966" spans="1:17" x14ac:dyDescent="0.3">
      <c r="A3966" t="s">
        <v>4708</v>
      </c>
      <c r="B3966" t="str">
        <f>"300186"</f>
        <v>300186</v>
      </c>
      <c r="C3966" t="s">
        <v>8275</v>
      </c>
      <c r="P3966">
        <v>5</v>
      </c>
      <c r="Q3966" t="s">
        <v>8276</v>
      </c>
    </row>
    <row r="3967" spans="1:17" x14ac:dyDescent="0.3">
      <c r="A3967" t="s">
        <v>4708</v>
      </c>
      <c r="B3967" t="str">
        <f>"300187"</f>
        <v>300187</v>
      </c>
      <c r="C3967" t="s">
        <v>8277</v>
      </c>
      <c r="D3967" t="s">
        <v>499</v>
      </c>
      <c r="P3967">
        <v>110</v>
      </c>
      <c r="Q3967" t="s">
        <v>8278</v>
      </c>
    </row>
    <row r="3968" spans="1:17" x14ac:dyDescent="0.3">
      <c r="A3968" t="s">
        <v>4708</v>
      </c>
      <c r="B3968" t="str">
        <f>"300188"</f>
        <v>300188</v>
      </c>
      <c r="C3968" t="s">
        <v>8279</v>
      </c>
      <c r="D3968" t="s">
        <v>945</v>
      </c>
      <c r="P3968">
        <v>557</v>
      </c>
      <c r="Q3968" t="s">
        <v>8280</v>
      </c>
    </row>
    <row r="3969" spans="1:17" x14ac:dyDescent="0.3">
      <c r="A3969" t="s">
        <v>4708</v>
      </c>
      <c r="B3969" t="str">
        <f>"300189"</f>
        <v>300189</v>
      </c>
      <c r="C3969" t="s">
        <v>8281</v>
      </c>
      <c r="D3969" t="s">
        <v>706</v>
      </c>
      <c r="P3969">
        <v>111</v>
      </c>
      <c r="Q3969" t="s">
        <v>8282</v>
      </c>
    </row>
    <row r="3970" spans="1:17" x14ac:dyDescent="0.3">
      <c r="A3970" t="s">
        <v>4708</v>
      </c>
      <c r="B3970" t="str">
        <f>"300190"</f>
        <v>300190</v>
      </c>
      <c r="C3970" t="s">
        <v>8283</v>
      </c>
      <c r="D3970" t="s">
        <v>3560</v>
      </c>
      <c r="P3970">
        <v>233</v>
      </c>
      <c r="Q3970" t="s">
        <v>8284</v>
      </c>
    </row>
    <row r="3971" spans="1:17" x14ac:dyDescent="0.3">
      <c r="A3971" t="s">
        <v>4708</v>
      </c>
      <c r="B3971" t="str">
        <f>"300191"</f>
        <v>300191</v>
      </c>
      <c r="C3971" t="s">
        <v>8285</v>
      </c>
      <c r="D3971" t="s">
        <v>762</v>
      </c>
      <c r="P3971">
        <v>75</v>
      </c>
      <c r="Q3971" t="s">
        <v>8286</v>
      </c>
    </row>
    <row r="3972" spans="1:17" x14ac:dyDescent="0.3">
      <c r="A3972" t="s">
        <v>4708</v>
      </c>
      <c r="B3972" t="str">
        <f>"300192"</f>
        <v>300192</v>
      </c>
      <c r="C3972" t="s">
        <v>8287</v>
      </c>
      <c r="D3972" t="s">
        <v>1336</v>
      </c>
      <c r="P3972">
        <v>182</v>
      </c>
      <c r="Q3972" t="s">
        <v>8288</v>
      </c>
    </row>
    <row r="3973" spans="1:17" x14ac:dyDescent="0.3">
      <c r="A3973" t="s">
        <v>4708</v>
      </c>
      <c r="B3973" t="str">
        <f>"300193"</f>
        <v>300193</v>
      </c>
      <c r="C3973" t="s">
        <v>8289</v>
      </c>
      <c r="D3973" t="s">
        <v>560</v>
      </c>
      <c r="P3973">
        <v>154</v>
      </c>
      <c r="Q3973" t="s">
        <v>8290</v>
      </c>
    </row>
    <row r="3974" spans="1:17" x14ac:dyDescent="0.3">
      <c r="A3974" t="s">
        <v>4708</v>
      </c>
      <c r="B3974" t="str">
        <f>"300194"</f>
        <v>300194</v>
      </c>
      <c r="C3974" t="s">
        <v>8291</v>
      </c>
      <c r="D3974" t="s">
        <v>143</v>
      </c>
      <c r="P3974">
        <v>149</v>
      </c>
      <c r="Q3974" t="s">
        <v>8292</v>
      </c>
    </row>
    <row r="3975" spans="1:17" x14ac:dyDescent="0.3">
      <c r="A3975" t="s">
        <v>4708</v>
      </c>
      <c r="B3975" t="str">
        <f>"300195"</f>
        <v>300195</v>
      </c>
      <c r="C3975" t="s">
        <v>8293</v>
      </c>
      <c r="D3975" t="s">
        <v>3400</v>
      </c>
      <c r="P3975">
        <v>90</v>
      </c>
      <c r="Q3975" t="s">
        <v>8294</v>
      </c>
    </row>
    <row r="3976" spans="1:17" x14ac:dyDescent="0.3">
      <c r="A3976" t="s">
        <v>4708</v>
      </c>
      <c r="B3976" t="str">
        <f>"300196"</f>
        <v>300196</v>
      </c>
      <c r="C3976" t="s">
        <v>8295</v>
      </c>
      <c r="D3976" t="s">
        <v>411</v>
      </c>
      <c r="P3976">
        <v>232</v>
      </c>
      <c r="Q3976" t="s">
        <v>8296</v>
      </c>
    </row>
    <row r="3977" spans="1:17" x14ac:dyDescent="0.3">
      <c r="A3977" t="s">
        <v>4708</v>
      </c>
      <c r="B3977" t="str">
        <f>"300197"</f>
        <v>300197</v>
      </c>
      <c r="C3977" t="s">
        <v>8297</v>
      </c>
      <c r="D3977" t="s">
        <v>2410</v>
      </c>
      <c r="P3977">
        <v>356</v>
      </c>
      <c r="Q3977" t="s">
        <v>8298</v>
      </c>
    </row>
    <row r="3978" spans="1:17" x14ac:dyDescent="0.3">
      <c r="A3978" t="s">
        <v>4708</v>
      </c>
      <c r="B3978" t="str">
        <f>"300198"</f>
        <v>300198</v>
      </c>
      <c r="C3978" t="s">
        <v>8299</v>
      </c>
      <c r="D3978" t="s">
        <v>3332</v>
      </c>
      <c r="P3978">
        <v>82</v>
      </c>
      <c r="Q3978" t="s">
        <v>8300</v>
      </c>
    </row>
    <row r="3979" spans="1:17" x14ac:dyDescent="0.3">
      <c r="A3979" t="s">
        <v>4708</v>
      </c>
      <c r="B3979" t="str">
        <f>"300199"</f>
        <v>300199</v>
      </c>
      <c r="C3979" t="s">
        <v>8301</v>
      </c>
      <c r="D3979" t="s">
        <v>143</v>
      </c>
      <c r="P3979">
        <v>242</v>
      </c>
      <c r="Q3979" t="s">
        <v>8302</v>
      </c>
    </row>
    <row r="3980" spans="1:17" x14ac:dyDescent="0.3">
      <c r="A3980" t="s">
        <v>4708</v>
      </c>
      <c r="B3980" t="str">
        <f>"300200"</f>
        <v>300200</v>
      </c>
      <c r="C3980" t="s">
        <v>8303</v>
      </c>
      <c r="D3980" t="s">
        <v>528</v>
      </c>
      <c r="P3980">
        <v>160</v>
      </c>
      <c r="Q3980" t="s">
        <v>8304</v>
      </c>
    </row>
    <row r="3981" spans="1:17" x14ac:dyDescent="0.3">
      <c r="A3981" t="s">
        <v>4708</v>
      </c>
      <c r="B3981" t="str">
        <f>"300201"</f>
        <v>300201</v>
      </c>
      <c r="C3981" t="s">
        <v>8305</v>
      </c>
      <c r="D3981" t="s">
        <v>83</v>
      </c>
      <c r="P3981">
        <v>77</v>
      </c>
      <c r="Q3981" t="s">
        <v>8306</v>
      </c>
    </row>
    <row r="3982" spans="1:17" x14ac:dyDescent="0.3">
      <c r="A3982" t="s">
        <v>4708</v>
      </c>
      <c r="B3982" t="str">
        <f>"300202"</f>
        <v>300202</v>
      </c>
      <c r="C3982" t="s">
        <v>8307</v>
      </c>
      <c r="D3982" t="s">
        <v>236</v>
      </c>
      <c r="P3982">
        <v>2978</v>
      </c>
      <c r="Q3982" t="s">
        <v>8308</v>
      </c>
    </row>
    <row r="3983" spans="1:17" x14ac:dyDescent="0.3">
      <c r="A3983" t="s">
        <v>4708</v>
      </c>
      <c r="B3983" t="str">
        <f>"300203"</f>
        <v>300203</v>
      </c>
      <c r="C3983" t="s">
        <v>8309</v>
      </c>
      <c r="D3983" t="s">
        <v>3560</v>
      </c>
      <c r="P3983">
        <v>431</v>
      </c>
      <c r="Q3983" t="s">
        <v>8310</v>
      </c>
    </row>
    <row r="3984" spans="1:17" x14ac:dyDescent="0.3">
      <c r="A3984" t="s">
        <v>4708</v>
      </c>
      <c r="B3984" t="str">
        <f>"300204"</f>
        <v>300204</v>
      </c>
      <c r="C3984" t="s">
        <v>8311</v>
      </c>
      <c r="D3984" t="s">
        <v>1379</v>
      </c>
      <c r="P3984">
        <v>202</v>
      </c>
      <c r="Q3984" t="s">
        <v>8312</v>
      </c>
    </row>
    <row r="3985" spans="1:17" x14ac:dyDescent="0.3">
      <c r="A3985" t="s">
        <v>4708</v>
      </c>
      <c r="B3985" t="str">
        <f>"300205"</f>
        <v>300205</v>
      </c>
      <c r="C3985" t="s">
        <v>8313</v>
      </c>
      <c r="D3985" t="s">
        <v>786</v>
      </c>
      <c r="P3985">
        <v>222</v>
      </c>
      <c r="Q3985" t="s">
        <v>8314</v>
      </c>
    </row>
    <row r="3986" spans="1:17" x14ac:dyDescent="0.3">
      <c r="A3986" t="s">
        <v>4708</v>
      </c>
      <c r="B3986" t="str">
        <f>"300206"</f>
        <v>300206</v>
      </c>
      <c r="C3986" t="s">
        <v>8315</v>
      </c>
      <c r="D3986" t="s">
        <v>122</v>
      </c>
      <c r="P3986">
        <v>426</v>
      </c>
      <c r="Q3986" t="s">
        <v>8316</v>
      </c>
    </row>
    <row r="3987" spans="1:17" x14ac:dyDescent="0.3">
      <c r="A3987" t="s">
        <v>4708</v>
      </c>
      <c r="B3987" t="str">
        <f>"300207"</f>
        <v>300207</v>
      </c>
      <c r="C3987" t="s">
        <v>8317</v>
      </c>
      <c r="D3987" t="s">
        <v>359</v>
      </c>
      <c r="P3987">
        <v>1012</v>
      </c>
      <c r="Q3987" t="s">
        <v>8318</v>
      </c>
    </row>
    <row r="3988" spans="1:17" x14ac:dyDescent="0.3">
      <c r="A3988" t="s">
        <v>4708</v>
      </c>
      <c r="B3988" t="str">
        <f>"300208"</f>
        <v>300208</v>
      </c>
      <c r="C3988" t="s">
        <v>8319</v>
      </c>
      <c r="D3988" t="s">
        <v>110</v>
      </c>
      <c r="P3988">
        <v>144</v>
      </c>
      <c r="Q3988" t="s">
        <v>8320</v>
      </c>
    </row>
    <row r="3989" spans="1:17" x14ac:dyDescent="0.3">
      <c r="A3989" t="s">
        <v>4708</v>
      </c>
      <c r="B3989" t="str">
        <f>"300209"</f>
        <v>300209</v>
      </c>
      <c r="C3989" t="s">
        <v>8321</v>
      </c>
      <c r="D3989" t="s">
        <v>945</v>
      </c>
      <c r="P3989">
        <v>143</v>
      </c>
      <c r="Q3989" t="s">
        <v>8322</v>
      </c>
    </row>
    <row r="3990" spans="1:17" x14ac:dyDescent="0.3">
      <c r="A3990" t="s">
        <v>4708</v>
      </c>
      <c r="B3990" t="str">
        <f>"300210"</f>
        <v>300210</v>
      </c>
      <c r="C3990" t="s">
        <v>8323</v>
      </c>
      <c r="D3990" t="s">
        <v>1070</v>
      </c>
      <c r="P3990">
        <v>50</v>
      </c>
      <c r="Q3990" t="s">
        <v>8324</v>
      </c>
    </row>
    <row r="3991" spans="1:17" x14ac:dyDescent="0.3">
      <c r="A3991" t="s">
        <v>4708</v>
      </c>
      <c r="B3991" t="str">
        <f>"300211"</f>
        <v>300211</v>
      </c>
      <c r="C3991" t="s">
        <v>8325</v>
      </c>
      <c r="D3991" t="s">
        <v>654</v>
      </c>
      <c r="P3991">
        <v>63</v>
      </c>
      <c r="Q3991" t="s">
        <v>8326</v>
      </c>
    </row>
    <row r="3992" spans="1:17" x14ac:dyDescent="0.3">
      <c r="A3992" t="s">
        <v>4708</v>
      </c>
      <c r="B3992" t="str">
        <f>"300212"</f>
        <v>300212</v>
      </c>
      <c r="C3992" t="s">
        <v>8327</v>
      </c>
      <c r="D3992" t="s">
        <v>316</v>
      </c>
      <c r="P3992">
        <v>389</v>
      </c>
      <c r="Q3992" t="s">
        <v>8328</v>
      </c>
    </row>
    <row r="3993" spans="1:17" x14ac:dyDescent="0.3">
      <c r="A3993" t="s">
        <v>4708</v>
      </c>
      <c r="B3993" t="str">
        <f>"300213"</f>
        <v>300213</v>
      </c>
      <c r="C3993" t="s">
        <v>8329</v>
      </c>
      <c r="D3993" t="s">
        <v>595</v>
      </c>
      <c r="P3993">
        <v>188</v>
      </c>
      <c r="Q3993" t="s">
        <v>8330</v>
      </c>
    </row>
    <row r="3994" spans="1:17" x14ac:dyDescent="0.3">
      <c r="A3994" t="s">
        <v>4708</v>
      </c>
      <c r="B3994" t="str">
        <f>"300214"</f>
        <v>300214</v>
      </c>
      <c r="C3994" t="s">
        <v>8331</v>
      </c>
      <c r="D3994" t="s">
        <v>1192</v>
      </c>
      <c r="P3994">
        <v>107</v>
      </c>
      <c r="Q3994" t="s">
        <v>8332</v>
      </c>
    </row>
    <row r="3995" spans="1:17" x14ac:dyDescent="0.3">
      <c r="A3995" t="s">
        <v>4708</v>
      </c>
      <c r="B3995" t="str">
        <f>"300215"</f>
        <v>300215</v>
      </c>
      <c r="C3995" t="s">
        <v>8333</v>
      </c>
      <c r="D3995" t="s">
        <v>2503</v>
      </c>
      <c r="P3995">
        <v>178</v>
      </c>
      <c r="Q3995" t="s">
        <v>8334</v>
      </c>
    </row>
    <row r="3996" spans="1:17" x14ac:dyDescent="0.3">
      <c r="A3996" t="s">
        <v>4708</v>
      </c>
      <c r="B3996" t="str">
        <f>"300216"</f>
        <v>300216</v>
      </c>
      <c r="C3996" t="s">
        <v>8335</v>
      </c>
      <c r="P3996">
        <v>53</v>
      </c>
      <c r="Q3996" t="s">
        <v>8336</v>
      </c>
    </row>
    <row r="3997" spans="1:17" x14ac:dyDescent="0.3">
      <c r="A3997" t="s">
        <v>4708</v>
      </c>
      <c r="B3997" t="str">
        <f>"300217"</f>
        <v>300217</v>
      </c>
      <c r="C3997" t="s">
        <v>8337</v>
      </c>
      <c r="D3997" t="s">
        <v>1253</v>
      </c>
      <c r="P3997">
        <v>160</v>
      </c>
      <c r="Q3997" t="s">
        <v>8338</v>
      </c>
    </row>
    <row r="3998" spans="1:17" x14ac:dyDescent="0.3">
      <c r="A3998" t="s">
        <v>4708</v>
      </c>
      <c r="B3998" t="str">
        <f>"300218"</f>
        <v>300218</v>
      </c>
      <c r="C3998" t="s">
        <v>8339</v>
      </c>
      <c r="D3998" t="s">
        <v>1192</v>
      </c>
      <c r="P3998">
        <v>108</v>
      </c>
      <c r="Q3998" t="s">
        <v>8340</v>
      </c>
    </row>
    <row r="3999" spans="1:17" x14ac:dyDescent="0.3">
      <c r="A3999" t="s">
        <v>4708</v>
      </c>
      <c r="B3999" t="str">
        <f>"300219"</f>
        <v>300219</v>
      </c>
      <c r="C3999" t="s">
        <v>8341</v>
      </c>
      <c r="D3999" t="s">
        <v>803</v>
      </c>
      <c r="P3999">
        <v>135</v>
      </c>
      <c r="Q3999" t="s">
        <v>8342</v>
      </c>
    </row>
    <row r="4000" spans="1:17" x14ac:dyDescent="0.3">
      <c r="A4000" t="s">
        <v>4708</v>
      </c>
      <c r="B4000" t="str">
        <f>"300220"</f>
        <v>300220</v>
      </c>
      <c r="C4000" t="s">
        <v>8343</v>
      </c>
      <c r="D4000" t="s">
        <v>3796</v>
      </c>
      <c r="P4000">
        <v>91</v>
      </c>
      <c r="Q4000" t="s">
        <v>8344</v>
      </c>
    </row>
    <row r="4001" spans="1:17" x14ac:dyDescent="0.3">
      <c r="A4001" t="s">
        <v>4708</v>
      </c>
      <c r="B4001" t="str">
        <f>"300221"</f>
        <v>300221</v>
      </c>
      <c r="C4001" t="s">
        <v>8345</v>
      </c>
      <c r="D4001" t="s">
        <v>341</v>
      </c>
      <c r="P4001">
        <v>173</v>
      </c>
      <c r="Q4001" t="s">
        <v>8346</v>
      </c>
    </row>
    <row r="4002" spans="1:17" x14ac:dyDescent="0.3">
      <c r="A4002" t="s">
        <v>4708</v>
      </c>
      <c r="B4002" t="str">
        <f>"300222"</f>
        <v>300222</v>
      </c>
      <c r="C4002" t="s">
        <v>8347</v>
      </c>
      <c r="D4002" t="s">
        <v>610</v>
      </c>
      <c r="P4002">
        <v>221</v>
      </c>
      <c r="Q4002" t="s">
        <v>8348</v>
      </c>
    </row>
    <row r="4003" spans="1:17" x14ac:dyDescent="0.3">
      <c r="A4003" t="s">
        <v>4708</v>
      </c>
      <c r="B4003" t="str">
        <f>"300223"</f>
        <v>300223</v>
      </c>
      <c r="C4003" t="s">
        <v>8349</v>
      </c>
      <c r="D4003" t="s">
        <v>461</v>
      </c>
      <c r="P4003">
        <v>612</v>
      </c>
      <c r="Q4003" t="s">
        <v>8350</v>
      </c>
    </row>
    <row r="4004" spans="1:17" x14ac:dyDescent="0.3">
      <c r="A4004" t="s">
        <v>4708</v>
      </c>
      <c r="B4004" t="str">
        <f>"300224"</f>
        <v>300224</v>
      </c>
      <c r="C4004" t="s">
        <v>8351</v>
      </c>
      <c r="D4004" t="s">
        <v>808</v>
      </c>
      <c r="P4004">
        <v>198</v>
      </c>
      <c r="Q4004" t="s">
        <v>8352</v>
      </c>
    </row>
    <row r="4005" spans="1:17" x14ac:dyDescent="0.3">
      <c r="A4005" t="s">
        <v>4708</v>
      </c>
      <c r="B4005" t="str">
        <f>"300225"</f>
        <v>300225</v>
      </c>
      <c r="C4005" t="s">
        <v>8353</v>
      </c>
      <c r="D4005" t="s">
        <v>2576</v>
      </c>
      <c r="P4005">
        <v>94</v>
      </c>
      <c r="Q4005" t="s">
        <v>8354</v>
      </c>
    </row>
    <row r="4006" spans="1:17" x14ac:dyDescent="0.3">
      <c r="A4006" t="s">
        <v>4708</v>
      </c>
      <c r="B4006" t="str">
        <f>"300226"</f>
        <v>300226</v>
      </c>
      <c r="C4006" t="s">
        <v>8355</v>
      </c>
      <c r="D4006" t="s">
        <v>945</v>
      </c>
      <c r="P4006">
        <v>253</v>
      </c>
      <c r="Q4006" t="s">
        <v>8356</v>
      </c>
    </row>
    <row r="4007" spans="1:17" x14ac:dyDescent="0.3">
      <c r="A4007" t="s">
        <v>4708</v>
      </c>
      <c r="B4007" t="str">
        <f>"300227"</f>
        <v>300227</v>
      </c>
      <c r="C4007" t="s">
        <v>8357</v>
      </c>
      <c r="D4007" t="s">
        <v>3796</v>
      </c>
      <c r="P4007">
        <v>220</v>
      </c>
      <c r="Q4007" t="s">
        <v>8358</v>
      </c>
    </row>
    <row r="4008" spans="1:17" x14ac:dyDescent="0.3">
      <c r="A4008" t="s">
        <v>4708</v>
      </c>
      <c r="B4008" t="str">
        <f>"300228"</f>
        <v>300228</v>
      </c>
      <c r="C4008" t="s">
        <v>8359</v>
      </c>
      <c r="D4008" t="s">
        <v>274</v>
      </c>
      <c r="P4008">
        <v>128</v>
      </c>
      <c r="Q4008" t="s">
        <v>8360</v>
      </c>
    </row>
    <row r="4009" spans="1:17" x14ac:dyDescent="0.3">
      <c r="A4009" t="s">
        <v>4708</v>
      </c>
      <c r="B4009" t="str">
        <f>"300229"</f>
        <v>300229</v>
      </c>
      <c r="C4009" t="s">
        <v>8361</v>
      </c>
      <c r="D4009" t="s">
        <v>945</v>
      </c>
      <c r="P4009">
        <v>209</v>
      </c>
      <c r="Q4009" t="s">
        <v>8362</v>
      </c>
    </row>
    <row r="4010" spans="1:17" x14ac:dyDescent="0.3">
      <c r="A4010" t="s">
        <v>4708</v>
      </c>
      <c r="B4010" t="str">
        <f>"300230"</f>
        <v>300230</v>
      </c>
      <c r="C4010" t="s">
        <v>8363</v>
      </c>
      <c r="D4010" t="s">
        <v>1192</v>
      </c>
      <c r="P4010">
        <v>169</v>
      </c>
      <c r="Q4010" t="s">
        <v>8364</v>
      </c>
    </row>
    <row r="4011" spans="1:17" x14ac:dyDescent="0.3">
      <c r="A4011" t="s">
        <v>4708</v>
      </c>
      <c r="B4011" t="str">
        <f>"300231"</f>
        <v>300231</v>
      </c>
      <c r="C4011" t="s">
        <v>8365</v>
      </c>
      <c r="D4011" t="s">
        <v>316</v>
      </c>
      <c r="P4011">
        <v>264</v>
      </c>
      <c r="Q4011" t="s">
        <v>8366</v>
      </c>
    </row>
    <row r="4012" spans="1:17" x14ac:dyDescent="0.3">
      <c r="A4012" t="s">
        <v>4708</v>
      </c>
      <c r="B4012" t="str">
        <f>"300232"</f>
        <v>300232</v>
      </c>
      <c r="C4012" t="s">
        <v>8367</v>
      </c>
      <c r="D4012" t="s">
        <v>803</v>
      </c>
      <c r="P4012">
        <v>922</v>
      </c>
      <c r="Q4012" t="s">
        <v>8368</v>
      </c>
    </row>
    <row r="4013" spans="1:17" x14ac:dyDescent="0.3">
      <c r="A4013" t="s">
        <v>4708</v>
      </c>
      <c r="B4013" t="str">
        <f>"300233"</f>
        <v>300233</v>
      </c>
      <c r="C4013" t="s">
        <v>8369</v>
      </c>
      <c r="D4013" t="s">
        <v>143</v>
      </c>
      <c r="P4013">
        <v>202</v>
      </c>
      <c r="Q4013" t="s">
        <v>8370</v>
      </c>
    </row>
    <row r="4014" spans="1:17" x14ac:dyDescent="0.3">
      <c r="A4014" t="s">
        <v>4708</v>
      </c>
      <c r="B4014" t="str">
        <f>"300234"</f>
        <v>300234</v>
      </c>
      <c r="C4014" t="s">
        <v>8371</v>
      </c>
      <c r="D4014" t="s">
        <v>722</v>
      </c>
      <c r="P4014">
        <v>111</v>
      </c>
      <c r="Q4014" t="s">
        <v>8372</v>
      </c>
    </row>
    <row r="4015" spans="1:17" x14ac:dyDescent="0.3">
      <c r="A4015" t="s">
        <v>4708</v>
      </c>
      <c r="B4015" t="str">
        <f>"300235"</f>
        <v>300235</v>
      </c>
      <c r="C4015" t="s">
        <v>8373</v>
      </c>
      <c r="D4015" t="s">
        <v>945</v>
      </c>
      <c r="P4015">
        <v>114</v>
      </c>
      <c r="Q4015" t="s">
        <v>8374</v>
      </c>
    </row>
    <row r="4016" spans="1:17" x14ac:dyDescent="0.3">
      <c r="A4016" t="s">
        <v>4708</v>
      </c>
      <c r="B4016" t="str">
        <f>"300236"</f>
        <v>300236</v>
      </c>
      <c r="C4016" t="s">
        <v>8375</v>
      </c>
      <c r="D4016" t="s">
        <v>2401</v>
      </c>
      <c r="P4016">
        <v>414</v>
      </c>
      <c r="Q4016" t="s">
        <v>8376</v>
      </c>
    </row>
    <row r="4017" spans="1:17" x14ac:dyDescent="0.3">
      <c r="A4017" t="s">
        <v>4708</v>
      </c>
      <c r="B4017" t="str">
        <f>"300237"</f>
        <v>300237</v>
      </c>
      <c r="C4017" t="s">
        <v>8377</v>
      </c>
      <c r="D4017" t="s">
        <v>2410</v>
      </c>
      <c r="P4017">
        <v>315</v>
      </c>
      <c r="Q4017" t="s">
        <v>8378</v>
      </c>
    </row>
    <row r="4018" spans="1:17" x14ac:dyDescent="0.3">
      <c r="A4018" t="s">
        <v>4708</v>
      </c>
      <c r="B4018" t="str">
        <f>"300238"</f>
        <v>300238</v>
      </c>
      <c r="C4018" t="s">
        <v>8379</v>
      </c>
      <c r="D4018" t="s">
        <v>1077</v>
      </c>
      <c r="P4018">
        <v>195</v>
      </c>
      <c r="Q4018" t="s">
        <v>8380</v>
      </c>
    </row>
    <row r="4019" spans="1:17" x14ac:dyDescent="0.3">
      <c r="A4019" t="s">
        <v>4708</v>
      </c>
      <c r="B4019" t="str">
        <f>"300239"</f>
        <v>300239</v>
      </c>
      <c r="C4019" t="s">
        <v>8381</v>
      </c>
      <c r="D4019" t="s">
        <v>1379</v>
      </c>
      <c r="P4019">
        <v>107</v>
      </c>
      <c r="Q4019" t="s">
        <v>8382</v>
      </c>
    </row>
    <row r="4020" spans="1:17" x14ac:dyDescent="0.3">
      <c r="A4020" t="s">
        <v>4708</v>
      </c>
      <c r="B4020" t="str">
        <f>"300240"</f>
        <v>300240</v>
      </c>
      <c r="C4020" t="s">
        <v>8383</v>
      </c>
      <c r="D4020" t="s">
        <v>3110</v>
      </c>
      <c r="P4020">
        <v>67</v>
      </c>
      <c r="Q4020" t="s">
        <v>8384</v>
      </c>
    </row>
    <row r="4021" spans="1:17" x14ac:dyDescent="0.3">
      <c r="A4021" t="s">
        <v>4708</v>
      </c>
      <c r="B4021" t="str">
        <f>"300241"</f>
        <v>300241</v>
      </c>
      <c r="C4021" t="s">
        <v>8385</v>
      </c>
      <c r="D4021" t="s">
        <v>803</v>
      </c>
      <c r="P4021">
        <v>170</v>
      </c>
      <c r="Q4021" t="s">
        <v>8386</v>
      </c>
    </row>
    <row r="4022" spans="1:17" x14ac:dyDescent="0.3">
      <c r="A4022" t="s">
        <v>4708</v>
      </c>
      <c r="B4022" t="str">
        <f>"300242"</f>
        <v>300242</v>
      </c>
      <c r="C4022" t="s">
        <v>8387</v>
      </c>
      <c r="D4022" t="s">
        <v>207</v>
      </c>
      <c r="P4022">
        <v>95</v>
      </c>
      <c r="Q4022" t="s">
        <v>8388</v>
      </c>
    </row>
    <row r="4023" spans="1:17" x14ac:dyDescent="0.3">
      <c r="A4023" t="s">
        <v>4708</v>
      </c>
      <c r="B4023" t="str">
        <f>"300243"</f>
        <v>300243</v>
      </c>
      <c r="C4023" t="s">
        <v>8389</v>
      </c>
      <c r="D4023" t="s">
        <v>1192</v>
      </c>
      <c r="P4023">
        <v>103</v>
      </c>
      <c r="Q4023" t="s">
        <v>8390</v>
      </c>
    </row>
    <row r="4024" spans="1:17" x14ac:dyDescent="0.3">
      <c r="A4024" t="s">
        <v>4708</v>
      </c>
      <c r="B4024" t="str">
        <f>"300244"</f>
        <v>300244</v>
      </c>
      <c r="C4024" t="s">
        <v>8391</v>
      </c>
      <c r="D4024" t="s">
        <v>2571</v>
      </c>
      <c r="P4024">
        <v>1268</v>
      </c>
      <c r="Q4024" t="s">
        <v>8392</v>
      </c>
    </row>
    <row r="4025" spans="1:17" x14ac:dyDescent="0.3">
      <c r="A4025" t="s">
        <v>4708</v>
      </c>
      <c r="B4025" t="str">
        <f>"300245"</f>
        <v>300245</v>
      </c>
      <c r="C4025" t="s">
        <v>8393</v>
      </c>
      <c r="D4025" t="s">
        <v>316</v>
      </c>
      <c r="P4025">
        <v>128</v>
      </c>
      <c r="Q4025" t="s">
        <v>8394</v>
      </c>
    </row>
    <row r="4026" spans="1:17" x14ac:dyDescent="0.3">
      <c r="A4026" t="s">
        <v>4708</v>
      </c>
      <c r="B4026" t="str">
        <f>"300246"</f>
        <v>300246</v>
      </c>
      <c r="C4026" t="s">
        <v>8395</v>
      </c>
      <c r="D4026" t="s">
        <v>122</v>
      </c>
      <c r="P4026">
        <v>511</v>
      </c>
      <c r="Q4026" t="s">
        <v>8396</v>
      </c>
    </row>
    <row r="4027" spans="1:17" x14ac:dyDescent="0.3">
      <c r="A4027" t="s">
        <v>4708</v>
      </c>
      <c r="B4027" t="str">
        <f>"300247"</f>
        <v>300247</v>
      </c>
      <c r="C4027" t="s">
        <v>8397</v>
      </c>
      <c r="D4027" t="s">
        <v>3027</v>
      </c>
      <c r="P4027">
        <v>107</v>
      </c>
      <c r="Q4027" t="s">
        <v>8398</v>
      </c>
    </row>
    <row r="4028" spans="1:17" x14ac:dyDescent="0.3">
      <c r="A4028" t="s">
        <v>4708</v>
      </c>
      <c r="B4028" t="str">
        <f>"300248"</f>
        <v>300248</v>
      </c>
      <c r="C4028" t="s">
        <v>8399</v>
      </c>
      <c r="D4028" t="s">
        <v>236</v>
      </c>
      <c r="P4028">
        <v>209</v>
      </c>
      <c r="Q4028" t="s">
        <v>8400</v>
      </c>
    </row>
    <row r="4029" spans="1:17" x14ac:dyDescent="0.3">
      <c r="A4029" t="s">
        <v>4708</v>
      </c>
      <c r="B4029" t="str">
        <f>"300249"</f>
        <v>300249</v>
      </c>
      <c r="C4029" t="s">
        <v>8401</v>
      </c>
      <c r="D4029" t="s">
        <v>236</v>
      </c>
      <c r="P4029">
        <v>195</v>
      </c>
      <c r="Q4029" t="s">
        <v>8402</v>
      </c>
    </row>
    <row r="4030" spans="1:17" x14ac:dyDescent="0.3">
      <c r="A4030" t="s">
        <v>4708</v>
      </c>
      <c r="B4030" t="str">
        <f>"300250"</f>
        <v>300250</v>
      </c>
      <c r="C4030" t="s">
        <v>8403</v>
      </c>
      <c r="D4030" t="s">
        <v>316</v>
      </c>
      <c r="P4030">
        <v>159</v>
      </c>
      <c r="Q4030" t="s">
        <v>8404</v>
      </c>
    </row>
    <row r="4031" spans="1:17" x14ac:dyDescent="0.3">
      <c r="A4031" t="s">
        <v>4708</v>
      </c>
      <c r="B4031" t="str">
        <f>"300251"</f>
        <v>300251</v>
      </c>
      <c r="C4031" t="s">
        <v>8405</v>
      </c>
      <c r="D4031" t="s">
        <v>113</v>
      </c>
      <c r="P4031">
        <v>807</v>
      </c>
      <c r="Q4031" t="s">
        <v>8406</v>
      </c>
    </row>
    <row r="4032" spans="1:17" x14ac:dyDescent="0.3">
      <c r="A4032" t="s">
        <v>4708</v>
      </c>
      <c r="B4032" t="str">
        <f>"300252"</f>
        <v>300252</v>
      </c>
      <c r="C4032" t="s">
        <v>8407</v>
      </c>
      <c r="D4032" t="s">
        <v>1136</v>
      </c>
      <c r="P4032">
        <v>217</v>
      </c>
      <c r="Q4032" t="s">
        <v>8408</v>
      </c>
    </row>
    <row r="4033" spans="1:17" x14ac:dyDescent="0.3">
      <c r="A4033" t="s">
        <v>4708</v>
      </c>
      <c r="B4033" t="str">
        <f>"300253"</f>
        <v>300253</v>
      </c>
      <c r="C4033" t="s">
        <v>8409</v>
      </c>
      <c r="D4033" t="s">
        <v>945</v>
      </c>
      <c r="P4033">
        <v>935</v>
      </c>
      <c r="Q4033" t="s">
        <v>8410</v>
      </c>
    </row>
    <row r="4034" spans="1:17" x14ac:dyDescent="0.3">
      <c r="A4034" t="s">
        <v>4708</v>
      </c>
      <c r="B4034" t="str">
        <f>"300254"</f>
        <v>300254</v>
      </c>
      <c r="C4034" t="s">
        <v>8411</v>
      </c>
      <c r="D4034" t="s">
        <v>143</v>
      </c>
      <c r="P4034">
        <v>82</v>
      </c>
      <c r="Q4034" t="s">
        <v>8412</v>
      </c>
    </row>
    <row r="4035" spans="1:17" x14ac:dyDescent="0.3">
      <c r="A4035" t="s">
        <v>4708</v>
      </c>
      <c r="B4035" t="str">
        <f>"300255"</f>
        <v>300255</v>
      </c>
      <c r="C4035" t="s">
        <v>8413</v>
      </c>
      <c r="D4035" t="s">
        <v>143</v>
      </c>
      <c r="P4035">
        <v>175</v>
      </c>
      <c r="Q4035" t="s">
        <v>8414</v>
      </c>
    </row>
    <row r="4036" spans="1:17" x14ac:dyDescent="0.3">
      <c r="A4036" t="s">
        <v>4708</v>
      </c>
      <c r="B4036" t="str">
        <f>"300256"</f>
        <v>300256</v>
      </c>
      <c r="C4036" t="s">
        <v>8415</v>
      </c>
      <c r="D4036" t="s">
        <v>313</v>
      </c>
      <c r="P4036">
        <v>206</v>
      </c>
      <c r="Q4036" t="s">
        <v>8416</v>
      </c>
    </row>
    <row r="4037" spans="1:17" x14ac:dyDescent="0.3">
      <c r="A4037" t="s">
        <v>4708</v>
      </c>
      <c r="B4037" t="str">
        <f>"300257"</f>
        <v>300257</v>
      </c>
      <c r="C4037" t="s">
        <v>8417</v>
      </c>
      <c r="D4037" t="s">
        <v>560</v>
      </c>
      <c r="P4037">
        <v>148</v>
      </c>
      <c r="Q4037" t="s">
        <v>8418</v>
      </c>
    </row>
    <row r="4038" spans="1:17" x14ac:dyDescent="0.3">
      <c r="A4038" t="s">
        <v>4708</v>
      </c>
      <c r="B4038" t="str">
        <f>"300258"</f>
        <v>300258</v>
      </c>
      <c r="C4038" t="s">
        <v>8419</v>
      </c>
      <c r="D4038" t="s">
        <v>348</v>
      </c>
      <c r="P4038">
        <v>330</v>
      </c>
      <c r="Q4038" t="s">
        <v>8420</v>
      </c>
    </row>
    <row r="4039" spans="1:17" x14ac:dyDescent="0.3">
      <c r="A4039" t="s">
        <v>4708</v>
      </c>
      <c r="B4039" t="str">
        <f>"300259"</f>
        <v>300259</v>
      </c>
      <c r="C4039" t="s">
        <v>8421</v>
      </c>
      <c r="D4039" t="s">
        <v>2557</v>
      </c>
      <c r="P4039">
        <v>360</v>
      </c>
      <c r="Q4039" t="s">
        <v>8422</v>
      </c>
    </row>
    <row r="4040" spans="1:17" x14ac:dyDescent="0.3">
      <c r="A4040" t="s">
        <v>4708</v>
      </c>
      <c r="B4040" t="str">
        <f>"300260"</f>
        <v>300260</v>
      </c>
      <c r="C4040" t="s">
        <v>8423</v>
      </c>
      <c r="D4040" t="s">
        <v>274</v>
      </c>
      <c r="P4040">
        <v>211</v>
      </c>
      <c r="Q4040" t="s">
        <v>8424</v>
      </c>
    </row>
    <row r="4041" spans="1:17" x14ac:dyDescent="0.3">
      <c r="A4041" t="s">
        <v>4708</v>
      </c>
      <c r="B4041" t="str">
        <f>"300261"</f>
        <v>300261</v>
      </c>
      <c r="C4041" t="s">
        <v>8425</v>
      </c>
      <c r="D4041" t="s">
        <v>853</v>
      </c>
      <c r="P4041">
        <v>139</v>
      </c>
      <c r="Q4041" t="s">
        <v>8426</v>
      </c>
    </row>
    <row r="4042" spans="1:17" x14ac:dyDescent="0.3">
      <c r="A4042" t="s">
        <v>4708</v>
      </c>
      <c r="B4042" t="str">
        <f>"300262"</f>
        <v>300262</v>
      </c>
      <c r="C4042" t="s">
        <v>8427</v>
      </c>
      <c r="D4042" t="s">
        <v>33</v>
      </c>
      <c r="P4042">
        <v>127</v>
      </c>
      <c r="Q4042" t="s">
        <v>8428</v>
      </c>
    </row>
    <row r="4043" spans="1:17" x14ac:dyDescent="0.3">
      <c r="A4043" t="s">
        <v>4708</v>
      </c>
      <c r="B4043" t="str">
        <f>"300263"</f>
        <v>300263</v>
      </c>
      <c r="C4043" t="s">
        <v>8429</v>
      </c>
      <c r="D4043" t="s">
        <v>560</v>
      </c>
      <c r="P4043">
        <v>232</v>
      </c>
      <c r="Q4043" t="s">
        <v>8430</v>
      </c>
    </row>
    <row r="4044" spans="1:17" x14ac:dyDescent="0.3">
      <c r="A4044" t="s">
        <v>4708</v>
      </c>
      <c r="B4044" t="str">
        <f>"300264"</f>
        <v>300264</v>
      </c>
      <c r="C4044" t="s">
        <v>8431</v>
      </c>
      <c r="D4044" t="s">
        <v>316</v>
      </c>
      <c r="P4044">
        <v>132</v>
      </c>
      <c r="Q4044" t="s">
        <v>8432</v>
      </c>
    </row>
    <row r="4045" spans="1:17" x14ac:dyDescent="0.3">
      <c r="A4045" t="s">
        <v>4708</v>
      </c>
      <c r="B4045" t="str">
        <f>"300265"</f>
        <v>300265</v>
      </c>
      <c r="C4045" t="s">
        <v>8433</v>
      </c>
      <c r="D4045" t="s">
        <v>1164</v>
      </c>
      <c r="P4045">
        <v>162</v>
      </c>
      <c r="Q4045" t="s">
        <v>8434</v>
      </c>
    </row>
    <row r="4046" spans="1:17" x14ac:dyDescent="0.3">
      <c r="A4046" t="s">
        <v>4708</v>
      </c>
      <c r="B4046" t="str">
        <f>"300266"</f>
        <v>300266</v>
      </c>
      <c r="C4046" t="s">
        <v>8435</v>
      </c>
      <c r="D4046" t="s">
        <v>33</v>
      </c>
      <c r="P4046">
        <v>145</v>
      </c>
      <c r="Q4046" t="s">
        <v>8436</v>
      </c>
    </row>
    <row r="4047" spans="1:17" x14ac:dyDescent="0.3">
      <c r="A4047" t="s">
        <v>4708</v>
      </c>
      <c r="B4047" t="str">
        <f>"300267"</f>
        <v>300267</v>
      </c>
      <c r="C4047" t="s">
        <v>8437</v>
      </c>
      <c r="D4047" t="s">
        <v>496</v>
      </c>
      <c r="P4047">
        <v>237</v>
      </c>
      <c r="Q4047" t="s">
        <v>8438</v>
      </c>
    </row>
    <row r="4048" spans="1:17" x14ac:dyDescent="0.3">
      <c r="A4048" t="s">
        <v>4708</v>
      </c>
      <c r="B4048" t="str">
        <f>"300268"</f>
        <v>300268</v>
      </c>
      <c r="C4048" t="s">
        <v>8439</v>
      </c>
      <c r="D4048" t="s">
        <v>445</v>
      </c>
      <c r="P4048">
        <v>87</v>
      </c>
      <c r="Q4048" t="s">
        <v>8440</v>
      </c>
    </row>
    <row r="4049" spans="1:17" x14ac:dyDescent="0.3">
      <c r="A4049" t="s">
        <v>4708</v>
      </c>
      <c r="B4049" t="str">
        <f>"300269"</f>
        <v>300269</v>
      </c>
      <c r="C4049" t="s">
        <v>8441</v>
      </c>
      <c r="D4049" t="s">
        <v>207</v>
      </c>
      <c r="P4049">
        <v>125</v>
      </c>
      <c r="Q4049" t="s">
        <v>8442</v>
      </c>
    </row>
    <row r="4050" spans="1:17" x14ac:dyDescent="0.3">
      <c r="A4050" t="s">
        <v>4708</v>
      </c>
      <c r="B4050" t="str">
        <f>"300270"</f>
        <v>300270</v>
      </c>
      <c r="C4050" t="s">
        <v>8443</v>
      </c>
      <c r="D4050" t="s">
        <v>2965</v>
      </c>
      <c r="P4050">
        <v>136</v>
      </c>
      <c r="Q4050" t="s">
        <v>8444</v>
      </c>
    </row>
    <row r="4051" spans="1:17" x14ac:dyDescent="0.3">
      <c r="A4051" t="s">
        <v>4708</v>
      </c>
      <c r="B4051" t="str">
        <f>"300271"</f>
        <v>300271</v>
      </c>
      <c r="C4051" t="s">
        <v>8445</v>
      </c>
      <c r="D4051" t="s">
        <v>316</v>
      </c>
      <c r="P4051">
        <v>590</v>
      </c>
      <c r="Q4051" t="s">
        <v>8446</v>
      </c>
    </row>
    <row r="4052" spans="1:17" x14ac:dyDescent="0.3">
      <c r="A4052" t="s">
        <v>4708</v>
      </c>
      <c r="B4052" t="str">
        <f>"300272"</f>
        <v>300272</v>
      </c>
      <c r="C4052" t="s">
        <v>8447</v>
      </c>
      <c r="D4052" t="s">
        <v>5764</v>
      </c>
      <c r="P4052">
        <v>131</v>
      </c>
      <c r="Q4052" t="s">
        <v>8448</v>
      </c>
    </row>
    <row r="4053" spans="1:17" x14ac:dyDescent="0.3">
      <c r="A4053" t="s">
        <v>4708</v>
      </c>
      <c r="B4053" t="str">
        <f>"300273"</f>
        <v>300273</v>
      </c>
      <c r="C4053" t="s">
        <v>8449</v>
      </c>
      <c r="D4053" t="s">
        <v>122</v>
      </c>
      <c r="P4053">
        <v>143</v>
      </c>
      <c r="Q4053" t="s">
        <v>8450</v>
      </c>
    </row>
    <row r="4054" spans="1:17" x14ac:dyDescent="0.3">
      <c r="A4054" t="s">
        <v>4708</v>
      </c>
      <c r="B4054" t="str">
        <f>"300274"</f>
        <v>300274</v>
      </c>
      <c r="C4054" t="s">
        <v>8451</v>
      </c>
      <c r="D4054" t="s">
        <v>3809</v>
      </c>
      <c r="P4054">
        <v>2195</v>
      </c>
      <c r="Q4054" t="s">
        <v>8452</v>
      </c>
    </row>
    <row r="4055" spans="1:17" x14ac:dyDescent="0.3">
      <c r="A4055" t="s">
        <v>4708</v>
      </c>
      <c r="B4055" t="str">
        <f>"300275"</f>
        <v>300275</v>
      </c>
      <c r="C4055" t="s">
        <v>8453</v>
      </c>
      <c r="D4055" t="s">
        <v>395</v>
      </c>
      <c r="P4055">
        <v>89</v>
      </c>
      <c r="Q4055" t="s">
        <v>8454</v>
      </c>
    </row>
    <row r="4056" spans="1:17" x14ac:dyDescent="0.3">
      <c r="A4056" t="s">
        <v>4708</v>
      </c>
      <c r="B4056" t="str">
        <f>"300276"</f>
        <v>300276</v>
      </c>
      <c r="C4056" t="s">
        <v>8455</v>
      </c>
      <c r="D4056" t="s">
        <v>2923</v>
      </c>
      <c r="P4056">
        <v>138</v>
      </c>
      <c r="Q4056" t="s">
        <v>8456</v>
      </c>
    </row>
    <row r="4057" spans="1:17" x14ac:dyDescent="0.3">
      <c r="A4057" t="s">
        <v>4708</v>
      </c>
      <c r="B4057" t="str">
        <f>"300277"</f>
        <v>300277</v>
      </c>
      <c r="C4057" t="s">
        <v>8457</v>
      </c>
      <c r="D4057" t="s">
        <v>316</v>
      </c>
      <c r="P4057">
        <v>73</v>
      </c>
      <c r="Q4057" t="s">
        <v>8458</v>
      </c>
    </row>
    <row r="4058" spans="1:17" x14ac:dyDescent="0.3">
      <c r="A4058" t="s">
        <v>4708</v>
      </c>
      <c r="B4058" t="str">
        <f>"300278"</f>
        <v>300278</v>
      </c>
      <c r="C4058" t="s">
        <v>8459</v>
      </c>
      <c r="D4058" t="s">
        <v>2425</v>
      </c>
      <c r="P4058">
        <v>98</v>
      </c>
      <c r="Q4058" t="s">
        <v>8460</v>
      </c>
    </row>
    <row r="4059" spans="1:17" x14ac:dyDescent="0.3">
      <c r="A4059" t="s">
        <v>4708</v>
      </c>
      <c r="B4059" t="str">
        <f>"300279"</f>
        <v>300279</v>
      </c>
      <c r="C4059" t="s">
        <v>8461</v>
      </c>
      <c r="D4059" t="s">
        <v>313</v>
      </c>
      <c r="P4059">
        <v>166</v>
      </c>
      <c r="Q4059" t="s">
        <v>8462</v>
      </c>
    </row>
    <row r="4060" spans="1:17" x14ac:dyDescent="0.3">
      <c r="A4060" t="s">
        <v>4708</v>
      </c>
      <c r="B4060" t="str">
        <f>"300280"</f>
        <v>300280</v>
      </c>
      <c r="C4060" t="s">
        <v>8463</v>
      </c>
      <c r="D4060" t="s">
        <v>5107</v>
      </c>
      <c r="P4060">
        <v>144</v>
      </c>
      <c r="Q4060" t="s">
        <v>8464</v>
      </c>
    </row>
    <row r="4061" spans="1:17" x14ac:dyDescent="0.3">
      <c r="A4061" t="s">
        <v>4708</v>
      </c>
      <c r="B4061" t="str">
        <f>"300281"</f>
        <v>300281</v>
      </c>
      <c r="C4061" t="s">
        <v>8465</v>
      </c>
      <c r="D4061" t="s">
        <v>741</v>
      </c>
      <c r="P4061">
        <v>48</v>
      </c>
      <c r="Q4061" t="s">
        <v>8466</v>
      </c>
    </row>
    <row r="4062" spans="1:17" x14ac:dyDescent="0.3">
      <c r="A4062" t="s">
        <v>4708</v>
      </c>
      <c r="B4062" t="str">
        <f>"300282"</f>
        <v>300282</v>
      </c>
      <c r="C4062" t="s">
        <v>8467</v>
      </c>
      <c r="D4062" t="s">
        <v>1285</v>
      </c>
      <c r="P4062">
        <v>100</v>
      </c>
      <c r="Q4062" t="s">
        <v>8468</v>
      </c>
    </row>
    <row r="4063" spans="1:17" x14ac:dyDescent="0.3">
      <c r="A4063" t="s">
        <v>4708</v>
      </c>
      <c r="B4063" t="str">
        <f>"300283"</f>
        <v>300283</v>
      </c>
      <c r="C4063" t="s">
        <v>8469</v>
      </c>
      <c r="D4063" t="s">
        <v>657</v>
      </c>
      <c r="P4063">
        <v>58</v>
      </c>
      <c r="Q4063" t="s">
        <v>8470</v>
      </c>
    </row>
    <row r="4064" spans="1:17" x14ac:dyDescent="0.3">
      <c r="A4064" t="s">
        <v>4708</v>
      </c>
      <c r="B4064" t="str">
        <f>"300284"</f>
        <v>300284</v>
      </c>
      <c r="C4064" t="s">
        <v>8471</v>
      </c>
      <c r="D4064" t="s">
        <v>1272</v>
      </c>
      <c r="P4064">
        <v>274</v>
      </c>
      <c r="Q4064" t="s">
        <v>8472</v>
      </c>
    </row>
    <row r="4065" spans="1:17" x14ac:dyDescent="0.3">
      <c r="A4065" t="s">
        <v>4708</v>
      </c>
      <c r="B4065" t="str">
        <f>"300285"</f>
        <v>300285</v>
      </c>
      <c r="C4065" t="s">
        <v>8473</v>
      </c>
      <c r="D4065" t="s">
        <v>386</v>
      </c>
      <c r="P4065">
        <v>1537</v>
      </c>
      <c r="Q4065" t="s">
        <v>8474</v>
      </c>
    </row>
    <row r="4066" spans="1:17" x14ac:dyDescent="0.3">
      <c r="A4066" t="s">
        <v>4708</v>
      </c>
      <c r="B4066" t="str">
        <f>"300286"</f>
        <v>300286</v>
      </c>
      <c r="C4066" t="s">
        <v>8475</v>
      </c>
      <c r="D4066" t="s">
        <v>2173</v>
      </c>
      <c r="P4066">
        <v>272</v>
      </c>
      <c r="Q4066" t="s">
        <v>8476</v>
      </c>
    </row>
    <row r="4067" spans="1:17" x14ac:dyDescent="0.3">
      <c r="A4067" t="s">
        <v>4708</v>
      </c>
      <c r="B4067" t="str">
        <f>"300287"</f>
        <v>300287</v>
      </c>
      <c r="C4067" t="s">
        <v>8477</v>
      </c>
      <c r="D4067" t="s">
        <v>316</v>
      </c>
      <c r="P4067">
        <v>288</v>
      </c>
      <c r="Q4067" t="s">
        <v>8478</v>
      </c>
    </row>
    <row r="4068" spans="1:17" x14ac:dyDescent="0.3">
      <c r="A4068" t="s">
        <v>4708</v>
      </c>
      <c r="B4068" t="str">
        <f>"300288"</f>
        <v>300288</v>
      </c>
      <c r="C4068" t="s">
        <v>8479</v>
      </c>
      <c r="D4068" t="s">
        <v>316</v>
      </c>
      <c r="P4068">
        <v>221</v>
      </c>
      <c r="Q4068" t="s">
        <v>8480</v>
      </c>
    </row>
    <row r="4069" spans="1:17" x14ac:dyDescent="0.3">
      <c r="A4069" t="s">
        <v>4708</v>
      </c>
      <c r="B4069" t="str">
        <f>"300289"</f>
        <v>300289</v>
      </c>
      <c r="C4069" t="s">
        <v>8481</v>
      </c>
      <c r="D4069" t="s">
        <v>1305</v>
      </c>
      <c r="P4069">
        <v>132</v>
      </c>
      <c r="Q4069" t="s">
        <v>8482</v>
      </c>
    </row>
    <row r="4070" spans="1:17" x14ac:dyDescent="0.3">
      <c r="A4070" t="s">
        <v>4708</v>
      </c>
      <c r="B4070" t="str">
        <f>"300290"</f>
        <v>300290</v>
      </c>
      <c r="C4070" t="s">
        <v>8483</v>
      </c>
      <c r="D4070" t="s">
        <v>316</v>
      </c>
      <c r="P4070">
        <v>113</v>
      </c>
      <c r="Q4070" t="s">
        <v>8484</v>
      </c>
    </row>
    <row r="4071" spans="1:17" x14ac:dyDescent="0.3">
      <c r="A4071" t="s">
        <v>4708</v>
      </c>
      <c r="B4071" t="str">
        <f>"300291"</f>
        <v>300291</v>
      </c>
      <c r="C4071" t="s">
        <v>8485</v>
      </c>
      <c r="D4071" t="s">
        <v>113</v>
      </c>
      <c r="P4071">
        <v>93</v>
      </c>
      <c r="Q4071" t="s">
        <v>8486</v>
      </c>
    </row>
    <row r="4072" spans="1:17" x14ac:dyDescent="0.3">
      <c r="A4072" t="s">
        <v>4708</v>
      </c>
      <c r="B4072" t="str">
        <f>"300292"</f>
        <v>300292</v>
      </c>
      <c r="C4072" t="s">
        <v>8487</v>
      </c>
      <c r="D4072" t="s">
        <v>5641</v>
      </c>
      <c r="P4072">
        <v>205</v>
      </c>
      <c r="Q4072" t="s">
        <v>8488</v>
      </c>
    </row>
    <row r="4073" spans="1:17" x14ac:dyDescent="0.3">
      <c r="A4073" t="s">
        <v>4708</v>
      </c>
      <c r="B4073" t="str">
        <f>"300293"</f>
        <v>300293</v>
      </c>
      <c r="C4073" t="s">
        <v>8489</v>
      </c>
      <c r="D4073" t="s">
        <v>741</v>
      </c>
      <c r="P4073">
        <v>112</v>
      </c>
      <c r="Q4073" t="s">
        <v>8490</v>
      </c>
    </row>
    <row r="4074" spans="1:17" x14ac:dyDescent="0.3">
      <c r="A4074" t="s">
        <v>4708</v>
      </c>
      <c r="B4074" t="str">
        <f>"300294"</f>
        <v>300294</v>
      </c>
      <c r="C4074" t="s">
        <v>8491</v>
      </c>
      <c r="D4074" t="s">
        <v>378</v>
      </c>
      <c r="P4074">
        <v>495</v>
      </c>
      <c r="Q4074" t="s">
        <v>8492</v>
      </c>
    </row>
    <row r="4075" spans="1:17" x14ac:dyDescent="0.3">
      <c r="A4075" t="s">
        <v>4708</v>
      </c>
      <c r="B4075" t="str">
        <f>"300295"</f>
        <v>300295</v>
      </c>
      <c r="C4075" t="s">
        <v>8493</v>
      </c>
      <c r="D4075" t="s">
        <v>522</v>
      </c>
      <c r="P4075">
        <v>100</v>
      </c>
      <c r="Q4075" t="s">
        <v>8494</v>
      </c>
    </row>
    <row r="4076" spans="1:17" x14ac:dyDescent="0.3">
      <c r="A4076" t="s">
        <v>4708</v>
      </c>
      <c r="B4076" t="str">
        <f>"300296"</f>
        <v>300296</v>
      </c>
      <c r="C4076" t="s">
        <v>8495</v>
      </c>
      <c r="D4076" t="s">
        <v>803</v>
      </c>
      <c r="P4076">
        <v>1699</v>
      </c>
      <c r="Q4076" t="s">
        <v>8496</v>
      </c>
    </row>
    <row r="4077" spans="1:17" x14ac:dyDescent="0.3">
      <c r="A4077" t="s">
        <v>4708</v>
      </c>
      <c r="B4077" t="str">
        <f>"300297"</f>
        <v>300297</v>
      </c>
      <c r="C4077" t="s">
        <v>8497</v>
      </c>
      <c r="D4077" t="s">
        <v>316</v>
      </c>
      <c r="P4077">
        <v>342</v>
      </c>
      <c r="Q4077" t="s">
        <v>8498</v>
      </c>
    </row>
    <row r="4078" spans="1:17" x14ac:dyDescent="0.3">
      <c r="A4078" t="s">
        <v>4708</v>
      </c>
      <c r="B4078" t="str">
        <f>"300298"</f>
        <v>300298</v>
      </c>
      <c r="C4078" t="s">
        <v>8499</v>
      </c>
      <c r="D4078" t="s">
        <v>122</v>
      </c>
      <c r="P4078">
        <v>619</v>
      </c>
      <c r="Q4078" t="s">
        <v>8500</v>
      </c>
    </row>
    <row r="4079" spans="1:17" x14ac:dyDescent="0.3">
      <c r="A4079" t="s">
        <v>4708</v>
      </c>
      <c r="B4079" t="str">
        <f>"300299"</f>
        <v>300299</v>
      </c>
      <c r="C4079" t="s">
        <v>8501</v>
      </c>
      <c r="D4079" t="s">
        <v>517</v>
      </c>
      <c r="P4079">
        <v>187</v>
      </c>
      <c r="Q4079" t="s">
        <v>8502</v>
      </c>
    </row>
    <row r="4080" spans="1:17" x14ac:dyDescent="0.3">
      <c r="A4080" t="s">
        <v>4708</v>
      </c>
      <c r="B4080" t="str">
        <f>"300300"</f>
        <v>300300</v>
      </c>
      <c r="C4080" t="s">
        <v>8503</v>
      </c>
      <c r="D4080" t="s">
        <v>316</v>
      </c>
      <c r="P4080">
        <v>121</v>
      </c>
      <c r="Q4080" t="s">
        <v>8504</v>
      </c>
    </row>
    <row r="4081" spans="1:17" x14ac:dyDescent="0.3">
      <c r="A4081" t="s">
        <v>4708</v>
      </c>
      <c r="B4081" t="str">
        <f>"300301"</f>
        <v>300301</v>
      </c>
      <c r="C4081" t="s">
        <v>8505</v>
      </c>
      <c r="D4081" t="s">
        <v>803</v>
      </c>
      <c r="P4081">
        <v>75</v>
      </c>
      <c r="Q4081" t="s">
        <v>8506</v>
      </c>
    </row>
    <row r="4082" spans="1:17" x14ac:dyDescent="0.3">
      <c r="A4082" t="s">
        <v>4708</v>
      </c>
      <c r="B4082" t="str">
        <f>"300302"</f>
        <v>300302</v>
      </c>
      <c r="C4082" t="s">
        <v>8507</v>
      </c>
      <c r="D4082" t="s">
        <v>236</v>
      </c>
      <c r="P4082">
        <v>146</v>
      </c>
      <c r="Q4082" t="s">
        <v>8508</v>
      </c>
    </row>
    <row r="4083" spans="1:17" x14ac:dyDescent="0.3">
      <c r="A4083" t="s">
        <v>4708</v>
      </c>
      <c r="B4083" t="str">
        <f>"300303"</f>
        <v>300303</v>
      </c>
      <c r="C4083" t="s">
        <v>8509</v>
      </c>
      <c r="D4083" t="s">
        <v>803</v>
      </c>
      <c r="P4083">
        <v>256</v>
      </c>
      <c r="Q4083" t="s">
        <v>8510</v>
      </c>
    </row>
    <row r="4084" spans="1:17" x14ac:dyDescent="0.3">
      <c r="A4084" t="s">
        <v>4708</v>
      </c>
      <c r="B4084" t="str">
        <f>"300304"</f>
        <v>300304</v>
      </c>
      <c r="C4084" t="s">
        <v>8511</v>
      </c>
      <c r="D4084" t="s">
        <v>1415</v>
      </c>
      <c r="P4084">
        <v>114</v>
      </c>
      <c r="Q4084" t="s">
        <v>8512</v>
      </c>
    </row>
    <row r="4085" spans="1:17" x14ac:dyDescent="0.3">
      <c r="A4085" t="s">
        <v>4708</v>
      </c>
      <c r="B4085" t="str">
        <f>"300305"</f>
        <v>300305</v>
      </c>
      <c r="C4085" t="s">
        <v>8513</v>
      </c>
      <c r="D4085" t="s">
        <v>324</v>
      </c>
      <c r="P4085">
        <v>147</v>
      </c>
      <c r="Q4085" t="s">
        <v>8514</v>
      </c>
    </row>
    <row r="4086" spans="1:17" x14ac:dyDescent="0.3">
      <c r="A4086" t="s">
        <v>4708</v>
      </c>
      <c r="B4086" t="str">
        <f>"300306"</f>
        <v>300306</v>
      </c>
      <c r="C4086" t="s">
        <v>8515</v>
      </c>
      <c r="D4086" t="s">
        <v>2557</v>
      </c>
      <c r="P4086">
        <v>169</v>
      </c>
      <c r="Q4086" t="s">
        <v>8516</v>
      </c>
    </row>
    <row r="4087" spans="1:17" x14ac:dyDescent="0.3">
      <c r="A4087" t="s">
        <v>4708</v>
      </c>
      <c r="B4087" t="str">
        <f>"300307"</f>
        <v>300307</v>
      </c>
      <c r="C4087" t="s">
        <v>8517</v>
      </c>
      <c r="D4087" t="s">
        <v>534</v>
      </c>
      <c r="P4087">
        <v>2981</v>
      </c>
      <c r="Q4087" t="s">
        <v>8518</v>
      </c>
    </row>
    <row r="4088" spans="1:17" x14ac:dyDescent="0.3">
      <c r="A4088" t="s">
        <v>4708</v>
      </c>
      <c r="B4088" t="str">
        <f>"300308"</f>
        <v>300308</v>
      </c>
      <c r="C4088" t="s">
        <v>8519</v>
      </c>
      <c r="D4088" t="s">
        <v>1019</v>
      </c>
      <c r="P4088">
        <v>814</v>
      </c>
      <c r="Q4088" t="s">
        <v>8520</v>
      </c>
    </row>
    <row r="4089" spans="1:17" x14ac:dyDescent="0.3">
      <c r="A4089" t="s">
        <v>4708</v>
      </c>
      <c r="B4089" t="str">
        <f>"300309"</f>
        <v>300309</v>
      </c>
      <c r="C4089" t="s">
        <v>8521</v>
      </c>
      <c r="D4089" t="s">
        <v>116</v>
      </c>
      <c r="P4089">
        <v>108</v>
      </c>
      <c r="Q4089" t="s">
        <v>8522</v>
      </c>
    </row>
    <row r="4090" spans="1:17" x14ac:dyDescent="0.3">
      <c r="A4090" t="s">
        <v>4708</v>
      </c>
      <c r="B4090" t="str">
        <f>"300310"</f>
        <v>300310</v>
      </c>
      <c r="C4090" t="s">
        <v>8523</v>
      </c>
      <c r="D4090" t="s">
        <v>654</v>
      </c>
      <c r="P4090">
        <v>257</v>
      </c>
      <c r="Q4090" t="s">
        <v>8524</v>
      </c>
    </row>
    <row r="4091" spans="1:17" x14ac:dyDescent="0.3">
      <c r="A4091" t="s">
        <v>4708</v>
      </c>
      <c r="B4091" t="str">
        <f>"300311"</f>
        <v>300311</v>
      </c>
      <c r="C4091" t="s">
        <v>8525</v>
      </c>
      <c r="D4091" t="s">
        <v>1189</v>
      </c>
      <c r="P4091">
        <v>161</v>
      </c>
      <c r="Q4091" t="s">
        <v>8526</v>
      </c>
    </row>
    <row r="4092" spans="1:17" x14ac:dyDescent="0.3">
      <c r="A4092" t="s">
        <v>4708</v>
      </c>
      <c r="B4092" t="str">
        <f>"300312"</f>
        <v>300312</v>
      </c>
      <c r="C4092" t="s">
        <v>8527</v>
      </c>
      <c r="D4092" t="s">
        <v>1019</v>
      </c>
      <c r="P4092">
        <v>134</v>
      </c>
      <c r="Q4092" t="s">
        <v>8528</v>
      </c>
    </row>
    <row r="4093" spans="1:17" x14ac:dyDescent="0.3">
      <c r="A4093" t="s">
        <v>4708</v>
      </c>
      <c r="B4093" t="str">
        <f>"300313"</f>
        <v>300313</v>
      </c>
      <c r="C4093" t="s">
        <v>8529</v>
      </c>
      <c r="D4093" t="s">
        <v>1878</v>
      </c>
      <c r="P4093">
        <v>85</v>
      </c>
      <c r="Q4093" t="s">
        <v>8530</v>
      </c>
    </row>
    <row r="4094" spans="1:17" x14ac:dyDescent="0.3">
      <c r="A4094" t="s">
        <v>4708</v>
      </c>
      <c r="B4094" t="str">
        <f>"300314"</f>
        <v>300314</v>
      </c>
      <c r="C4094" t="s">
        <v>8531</v>
      </c>
      <c r="D4094" t="s">
        <v>122</v>
      </c>
      <c r="P4094">
        <v>196</v>
      </c>
      <c r="Q4094" t="s">
        <v>8532</v>
      </c>
    </row>
    <row r="4095" spans="1:17" x14ac:dyDescent="0.3">
      <c r="A4095" t="s">
        <v>4708</v>
      </c>
      <c r="B4095" t="str">
        <f>"300315"</f>
        <v>300315</v>
      </c>
      <c r="C4095" t="s">
        <v>8533</v>
      </c>
      <c r="D4095" t="s">
        <v>517</v>
      </c>
      <c r="P4095">
        <v>456</v>
      </c>
      <c r="Q4095" t="s">
        <v>8534</v>
      </c>
    </row>
    <row r="4096" spans="1:17" x14ac:dyDescent="0.3">
      <c r="A4096" t="s">
        <v>4708</v>
      </c>
      <c r="B4096" t="str">
        <f>"300316"</f>
        <v>300316</v>
      </c>
      <c r="C4096" t="s">
        <v>8535</v>
      </c>
      <c r="D4096" t="s">
        <v>2662</v>
      </c>
      <c r="P4096">
        <v>1072</v>
      </c>
      <c r="Q4096" t="s">
        <v>8536</v>
      </c>
    </row>
    <row r="4097" spans="1:17" x14ac:dyDescent="0.3">
      <c r="A4097" t="s">
        <v>4708</v>
      </c>
      <c r="B4097" t="str">
        <f>"300317"</f>
        <v>300317</v>
      </c>
      <c r="C4097" t="s">
        <v>8537</v>
      </c>
      <c r="D4097" t="s">
        <v>86</v>
      </c>
      <c r="P4097">
        <v>142</v>
      </c>
      <c r="Q4097" t="s">
        <v>8538</v>
      </c>
    </row>
    <row r="4098" spans="1:17" x14ac:dyDescent="0.3">
      <c r="A4098" t="s">
        <v>4708</v>
      </c>
      <c r="B4098" t="str">
        <f>"300318"</f>
        <v>300318</v>
      </c>
      <c r="C4098" t="s">
        <v>8539</v>
      </c>
      <c r="D4098" t="s">
        <v>1305</v>
      </c>
      <c r="P4098">
        <v>144</v>
      </c>
      <c r="Q4098" t="s">
        <v>8540</v>
      </c>
    </row>
    <row r="4099" spans="1:17" x14ac:dyDescent="0.3">
      <c r="A4099" t="s">
        <v>4708</v>
      </c>
      <c r="B4099" t="str">
        <f>"300319"</f>
        <v>300319</v>
      </c>
      <c r="C4099" t="s">
        <v>8541</v>
      </c>
      <c r="D4099" t="s">
        <v>546</v>
      </c>
      <c r="P4099">
        <v>3161</v>
      </c>
      <c r="Q4099" t="s">
        <v>8542</v>
      </c>
    </row>
    <row r="4100" spans="1:17" x14ac:dyDescent="0.3">
      <c r="A4100" t="s">
        <v>4708</v>
      </c>
      <c r="B4100" t="str">
        <f>"300320"</f>
        <v>300320</v>
      </c>
      <c r="C4100" t="s">
        <v>8543</v>
      </c>
      <c r="D4100" t="s">
        <v>2462</v>
      </c>
      <c r="P4100">
        <v>151</v>
      </c>
      <c r="Q4100" t="s">
        <v>8544</v>
      </c>
    </row>
    <row r="4101" spans="1:17" x14ac:dyDescent="0.3">
      <c r="A4101" t="s">
        <v>4708</v>
      </c>
      <c r="B4101" t="str">
        <f>"300321"</f>
        <v>300321</v>
      </c>
      <c r="C4101" t="s">
        <v>8545</v>
      </c>
      <c r="D4101" t="s">
        <v>528</v>
      </c>
      <c r="P4101">
        <v>45</v>
      </c>
      <c r="Q4101" t="s">
        <v>8546</v>
      </c>
    </row>
    <row r="4102" spans="1:17" x14ac:dyDescent="0.3">
      <c r="A4102" t="s">
        <v>4708</v>
      </c>
      <c r="B4102" t="str">
        <f>"300322"</f>
        <v>300322</v>
      </c>
      <c r="C4102" t="s">
        <v>8547</v>
      </c>
      <c r="D4102" t="s">
        <v>313</v>
      </c>
      <c r="P4102">
        <v>387</v>
      </c>
      <c r="Q4102" t="s">
        <v>8548</v>
      </c>
    </row>
    <row r="4103" spans="1:17" x14ac:dyDescent="0.3">
      <c r="A4103" t="s">
        <v>4708</v>
      </c>
      <c r="B4103" t="str">
        <f>"300323"</f>
        <v>300323</v>
      </c>
      <c r="C4103" t="s">
        <v>8549</v>
      </c>
      <c r="D4103" t="s">
        <v>803</v>
      </c>
      <c r="P4103">
        <v>293</v>
      </c>
      <c r="Q4103" t="s">
        <v>8550</v>
      </c>
    </row>
    <row r="4104" spans="1:17" x14ac:dyDescent="0.3">
      <c r="A4104" t="s">
        <v>4708</v>
      </c>
      <c r="B4104" t="str">
        <f>"300324"</f>
        <v>300324</v>
      </c>
      <c r="C4104" t="s">
        <v>8551</v>
      </c>
      <c r="D4104" t="s">
        <v>236</v>
      </c>
      <c r="P4104">
        <v>235</v>
      </c>
      <c r="Q4104" t="s">
        <v>8552</v>
      </c>
    </row>
    <row r="4105" spans="1:17" x14ac:dyDescent="0.3">
      <c r="A4105" t="s">
        <v>4708</v>
      </c>
      <c r="B4105" t="str">
        <f>"300325"</f>
        <v>300325</v>
      </c>
      <c r="C4105" t="s">
        <v>8553</v>
      </c>
      <c r="D4105" t="s">
        <v>1192</v>
      </c>
      <c r="P4105">
        <v>81</v>
      </c>
      <c r="Q4105" t="s">
        <v>8554</v>
      </c>
    </row>
    <row r="4106" spans="1:17" x14ac:dyDescent="0.3">
      <c r="A4106" t="s">
        <v>4708</v>
      </c>
      <c r="B4106" t="str">
        <f>"300326"</f>
        <v>300326</v>
      </c>
      <c r="C4106" t="s">
        <v>8555</v>
      </c>
      <c r="D4106" t="s">
        <v>1077</v>
      </c>
      <c r="P4106">
        <v>854</v>
      </c>
      <c r="Q4106" t="s">
        <v>8556</v>
      </c>
    </row>
    <row r="4107" spans="1:17" x14ac:dyDescent="0.3">
      <c r="A4107" t="s">
        <v>4708</v>
      </c>
      <c r="B4107" t="str">
        <f>"300327"</f>
        <v>300327</v>
      </c>
      <c r="C4107" t="s">
        <v>8557</v>
      </c>
      <c r="D4107" t="s">
        <v>461</v>
      </c>
      <c r="P4107">
        <v>4063</v>
      </c>
      <c r="Q4107" t="s">
        <v>8558</v>
      </c>
    </row>
    <row r="4108" spans="1:17" x14ac:dyDescent="0.3">
      <c r="A4108" t="s">
        <v>4708</v>
      </c>
      <c r="B4108" t="str">
        <f>"300328"</f>
        <v>300328</v>
      </c>
      <c r="C4108" t="s">
        <v>8559</v>
      </c>
      <c r="D4108" t="s">
        <v>636</v>
      </c>
      <c r="P4108">
        <v>232</v>
      </c>
      <c r="Q4108" t="s">
        <v>8560</v>
      </c>
    </row>
    <row r="4109" spans="1:17" x14ac:dyDescent="0.3">
      <c r="A4109" t="s">
        <v>4708</v>
      </c>
      <c r="B4109" t="str">
        <f>"300329"</f>
        <v>300329</v>
      </c>
      <c r="C4109" t="s">
        <v>8561</v>
      </c>
      <c r="D4109" t="s">
        <v>2916</v>
      </c>
      <c r="P4109">
        <v>96</v>
      </c>
      <c r="Q4109" t="s">
        <v>8562</v>
      </c>
    </row>
    <row r="4110" spans="1:17" x14ac:dyDescent="0.3">
      <c r="A4110" t="s">
        <v>4708</v>
      </c>
      <c r="B4110" t="str">
        <f>"300330"</f>
        <v>300330</v>
      </c>
      <c r="C4110" t="s">
        <v>8563</v>
      </c>
      <c r="D4110" t="s">
        <v>236</v>
      </c>
      <c r="P4110">
        <v>82</v>
      </c>
      <c r="Q4110" t="s">
        <v>8564</v>
      </c>
    </row>
    <row r="4111" spans="1:17" x14ac:dyDescent="0.3">
      <c r="A4111" t="s">
        <v>4708</v>
      </c>
      <c r="B4111" t="str">
        <f>"300331"</f>
        <v>300331</v>
      </c>
      <c r="C4111" t="s">
        <v>8565</v>
      </c>
      <c r="D4111" t="s">
        <v>1117</v>
      </c>
      <c r="P4111">
        <v>164</v>
      </c>
      <c r="Q4111" t="s">
        <v>8566</v>
      </c>
    </row>
    <row r="4112" spans="1:17" x14ac:dyDescent="0.3">
      <c r="A4112" t="s">
        <v>4708</v>
      </c>
      <c r="B4112" t="str">
        <f>"300332"</f>
        <v>300332</v>
      </c>
      <c r="C4112" t="s">
        <v>8567</v>
      </c>
      <c r="D4112" t="s">
        <v>749</v>
      </c>
      <c r="P4112">
        <v>117</v>
      </c>
      <c r="Q4112" t="s">
        <v>8568</v>
      </c>
    </row>
    <row r="4113" spans="1:17" x14ac:dyDescent="0.3">
      <c r="A4113" t="s">
        <v>4708</v>
      </c>
      <c r="B4113" t="str">
        <f>"300333"</f>
        <v>300333</v>
      </c>
      <c r="C4113" t="s">
        <v>8569</v>
      </c>
      <c r="D4113" t="s">
        <v>236</v>
      </c>
      <c r="P4113">
        <v>94</v>
      </c>
      <c r="Q4113" t="s">
        <v>8570</v>
      </c>
    </row>
    <row r="4114" spans="1:17" x14ac:dyDescent="0.3">
      <c r="A4114" t="s">
        <v>4708</v>
      </c>
      <c r="B4114" t="str">
        <f>"300334"</f>
        <v>300334</v>
      </c>
      <c r="C4114" t="s">
        <v>8571</v>
      </c>
      <c r="D4114" t="s">
        <v>33</v>
      </c>
      <c r="P4114">
        <v>80</v>
      </c>
      <c r="Q4114" t="s">
        <v>8572</v>
      </c>
    </row>
    <row r="4115" spans="1:17" x14ac:dyDescent="0.3">
      <c r="A4115" t="s">
        <v>4708</v>
      </c>
      <c r="B4115" t="str">
        <f>"300335"</f>
        <v>300335</v>
      </c>
      <c r="C4115" t="s">
        <v>8573</v>
      </c>
      <c r="D4115" t="s">
        <v>351</v>
      </c>
      <c r="P4115">
        <v>231</v>
      </c>
      <c r="Q4115" t="s">
        <v>8574</v>
      </c>
    </row>
    <row r="4116" spans="1:17" x14ac:dyDescent="0.3">
      <c r="A4116" t="s">
        <v>4708</v>
      </c>
      <c r="B4116" t="str">
        <f>"300336"</f>
        <v>300336</v>
      </c>
      <c r="C4116" t="s">
        <v>8575</v>
      </c>
      <c r="D4116" t="s">
        <v>5107</v>
      </c>
      <c r="P4116">
        <v>98</v>
      </c>
      <c r="Q4116" t="s">
        <v>8576</v>
      </c>
    </row>
    <row r="4117" spans="1:17" x14ac:dyDescent="0.3">
      <c r="A4117" t="s">
        <v>4708</v>
      </c>
      <c r="B4117" t="str">
        <f>"300337"</f>
        <v>300337</v>
      </c>
      <c r="C4117" t="s">
        <v>8577</v>
      </c>
      <c r="D4117" t="s">
        <v>504</v>
      </c>
      <c r="P4117">
        <v>142</v>
      </c>
      <c r="Q4117" t="s">
        <v>8578</v>
      </c>
    </row>
    <row r="4118" spans="1:17" x14ac:dyDescent="0.3">
      <c r="A4118" t="s">
        <v>4708</v>
      </c>
      <c r="B4118" t="str">
        <f>"300338"</f>
        <v>300338</v>
      </c>
      <c r="C4118" t="s">
        <v>8579</v>
      </c>
      <c r="D4118" t="s">
        <v>1336</v>
      </c>
      <c r="P4118">
        <v>118</v>
      </c>
      <c r="Q4118" t="s">
        <v>8580</v>
      </c>
    </row>
    <row r="4119" spans="1:17" x14ac:dyDescent="0.3">
      <c r="A4119" t="s">
        <v>4708</v>
      </c>
      <c r="B4119" t="str">
        <f>"300339"</f>
        <v>300339</v>
      </c>
      <c r="C4119" t="s">
        <v>8581</v>
      </c>
      <c r="D4119" t="s">
        <v>316</v>
      </c>
      <c r="P4119">
        <v>332</v>
      </c>
      <c r="Q4119" t="s">
        <v>8582</v>
      </c>
    </row>
    <row r="4120" spans="1:17" x14ac:dyDescent="0.3">
      <c r="A4120" t="s">
        <v>4708</v>
      </c>
      <c r="B4120" t="str">
        <f>"300340"</f>
        <v>300340</v>
      </c>
      <c r="C4120" t="s">
        <v>8583</v>
      </c>
      <c r="D4120" t="s">
        <v>1786</v>
      </c>
      <c r="P4120">
        <v>96</v>
      </c>
      <c r="Q4120" t="s">
        <v>8584</v>
      </c>
    </row>
    <row r="4121" spans="1:17" x14ac:dyDescent="0.3">
      <c r="A4121" t="s">
        <v>4708</v>
      </c>
      <c r="B4121" t="str">
        <f>"300341"</f>
        <v>300341</v>
      </c>
      <c r="C4121" t="s">
        <v>8585</v>
      </c>
      <c r="D4121" t="s">
        <v>210</v>
      </c>
      <c r="P4121">
        <v>142</v>
      </c>
      <c r="Q4121" t="s">
        <v>8586</v>
      </c>
    </row>
    <row r="4122" spans="1:17" x14ac:dyDescent="0.3">
      <c r="A4122" t="s">
        <v>4708</v>
      </c>
      <c r="B4122" t="str">
        <f>"300342"</f>
        <v>300342</v>
      </c>
      <c r="C4122" t="s">
        <v>8587</v>
      </c>
      <c r="D4122" t="s">
        <v>1253</v>
      </c>
      <c r="P4122">
        <v>181</v>
      </c>
      <c r="Q4122" t="s">
        <v>8588</v>
      </c>
    </row>
    <row r="4123" spans="1:17" x14ac:dyDescent="0.3">
      <c r="A4123" t="s">
        <v>4708</v>
      </c>
      <c r="B4123" t="str">
        <f>"300343"</f>
        <v>300343</v>
      </c>
      <c r="C4123" t="s">
        <v>8589</v>
      </c>
      <c r="D4123" t="s">
        <v>207</v>
      </c>
      <c r="P4123">
        <v>155</v>
      </c>
      <c r="Q4123" t="s">
        <v>8590</v>
      </c>
    </row>
    <row r="4124" spans="1:17" x14ac:dyDescent="0.3">
      <c r="A4124" t="s">
        <v>4708</v>
      </c>
      <c r="B4124" t="str">
        <f>"300344"</f>
        <v>300344</v>
      </c>
      <c r="C4124" t="s">
        <v>8591</v>
      </c>
      <c r="D4124" t="s">
        <v>945</v>
      </c>
      <c r="P4124">
        <v>64</v>
      </c>
      <c r="Q4124" t="s">
        <v>8592</v>
      </c>
    </row>
    <row r="4125" spans="1:17" x14ac:dyDescent="0.3">
      <c r="A4125" t="s">
        <v>4708</v>
      </c>
      <c r="B4125" t="str">
        <f>"300345"</f>
        <v>300345</v>
      </c>
      <c r="C4125" t="s">
        <v>8593</v>
      </c>
      <c r="D4125" t="s">
        <v>404</v>
      </c>
      <c r="P4125">
        <v>53</v>
      </c>
      <c r="Q4125" t="s">
        <v>8594</v>
      </c>
    </row>
    <row r="4126" spans="1:17" x14ac:dyDescent="0.3">
      <c r="A4126" t="s">
        <v>4708</v>
      </c>
      <c r="B4126" t="str">
        <f>"300346"</f>
        <v>300346</v>
      </c>
      <c r="C4126" t="s">
        <v>8595</v>
      </c>
      <c r="D4126" t="s">
        <v>2401</v>
      </c>
      <c r="P4126">
        <v>447</v>
      </c>
      <c r="Q4126" t="s">
        <v>8596</v>
      </c>
    </row>
    <row r="4127" spans="1:17" x14ac:dyDescent="0.3">
      <c r="A4127" t="s">
        <v>4708</v>
      </c>
      <c r="B4127" t="str">
        <f>"300347"</f>
        <v>300347</v>
      </c>
      <c r="C4127" t="s">
        <v>8597</v>
      </c>
      <c r="D4127" t="s">
        <v>1461</v>
      </c>
      <c r="P4127">
        <v>3109</v>
      </c>
      <c r="Q4127" t="s">
        <v>8598</v>
      </c>
    </row>
    <row r="4128" spans="1:17" x14ac:dyDescent="0.3">
      <c r="A4128" t="s">
        <v>4708</v>
      </c>
      <c r="B4128" t="str">
        <f>"300348"</f>
        <v>300348</v>
      </c>
      <c r="C4128" t="s">
        <v>8599</v>
      </c>
      <c r="D4128" t="s">
        <v>945</v>
      </c>
      <c r="P4128">
        <v>364</v>
      </c>
      <c r="Q4128" t="s">
        <v>8600</v>
      </c>
    </row>
    <row r="4129" spans="1:17" x14ac:dyDescent="0.3">
      <c r="A4129" t="s">
        <v>4708</v>
      </c>
      <c r="B4129" t="str">
        <f>"300349"</f>
        <v>300349</v>
      </c>
      <c r="C4129" t="s">
        <v>8601</v>
      </c>
      <c r="D4129" t="s">
        <v>2557</v>
      </c>
      <c r="P4129">
        <v>395</v>
      </c>
      <c r="Q4129" t="s">
        <v>8602</v>
      </c>
    </row>
    <row r="4130" spans="1:17" x14ac:dyDescent="0.3">
      <c r="A4130" t="s">
        <v>4708</v>
      </c>
      <c r="B4130" t="str">
        <f>"300350"</f>
        <v>300350</v>
      </c>
      <c r="C4130" t="s">
        <v>8603</v>
      </c>
      <c r="D4130" t="s">
        <v>3110</v>
      </c>
      <c r="P4130">
        <v>106</v>
      </c>
      <c r="Q4130" t="s">
        <v>8604</v>
      </c>
    </row>
    <row r="4131" spans="1:17" x14ac:dyDescent="0.3">
      <c r="A4131" t="s">
        <v>4708</v>
      </c>
      <c r="B4131" t="str">
        <f>"300351"</f>
        <v>300351</v>
      </c>
      <c r="C4131" t="s">
        <v>8605</v>
      </c>
      <c r="D4131" t="s">
        <v>1012</v>
      </c>
      <c r="P4131">
        <v>234</v>
      </c>
      <c r="Q4131" t="s">
        <v>8606</v>
      </c>
    </row>
    <row r="4132" spans="1:17" x14ac:dyDescent="0.3">
      <c r="A4132" t="s">
        <v>4708</v>
      </c>
      <c r="B4132" t="str">
        <f>"300352"</f>
        <v>300352</v>
      </c>
      <c r="C4132" t="s">
        <v>8607</v>
      </c>
      <c r="D4132" t="s">
        <v>945</v>
      </c>
      <c r="P4132">
        <v>255</v>
      </c>
      <c r="Q4132" t="s">
        <v>8608</v>
      </c>
    </row>
    <row r="4133" spans="1:17" x14ac:dyDescent="0.3">
      <c r="A4133" t="s">
        <v>4708</v>
      </c>
      <c r="B4133" t="str">
        <f>"300353"</f>
        <v>300353</v>
      </c>
      <c r="C4133" t="s">
        <v>8609</v>
      </c>
      <c r="D4133" t="s">
        <v>595</v>
      </c>
      <c r="P4133">
        <v>3033</v>
      </c>
      <c r="Q4133" t="s">
        <v>8610</v>
      </c>
    </row>
    <row r="4134" spans="1:17" x14ac:dyDescent="0.3">
      <c r="A4134" t="s">
        <v>4708</v>
      </c>
      <c r="B4134" t="str">
        <f>"300354"</f>
        <v>300354</v>
      </c>
      <c r="C4134" t="s">
        <v>8611</v>
      </c>
      <c r="D4134" t="s">
        <v>2557</v>
      </c>
      <c r="P4134">
        <v>139</v>
      </c>
      <c r="Q4134" t="s">
        <v>8612</v>
      </c>
    </row>
    <row r="4135" spans="1:17" x14ac:dyDescent="0.3">
      <c r="A4135" t="s">
        <v>4708</v>
      </c>
      <c r="B4135" t="str">
        <f>"300355"</f>
        <v>300355</v>
      </c>
      <c r="C4135" t="s">
        <v>8613</v>
      </c>
      <c r="D4135" t="s">
        <v>2410</v>
      </c>
      <c r="P4135">
        <v>406</v>
      </c>
      <c r="Q4135" t="s">
        <v>8614</v>
      </c>
    </row>
    <row r="4136" spans="1:17" x14ac:dyDescent="0.3">
      <c r="A4136" t="s">
        <v>4708</v>
      </c>
      <c r="B4136" t="str">
        <f>"300356"</f>
        <v>300356</v>
      </c>
      <c r="C4136" t="s">
        <v>8615</v>
      </c>
      <c r="D4136" t="s">
        <v>2173</v>
      </c>
      <c r="P4136">
        <v>67</v>
      </c>
      <c r="Q4136" t="s">
        <v>8616</v>
      </c>
    </row>
    <row r="4137" spans="1:17" x14ac:dyDescent="0.3">
      <c r="A4137" t="s">
        <v>4708</v>
      </c>
      <c r="B4137" t="str">
        <f>"300357"</f>
        <v>300357</v>
      </c>
      <c r="C4137" t="s">
        <v>8617</v>
      </c>
      <c r="D4137" t="s">
        <v>1379</v>
      </c>
      <c r="P4137">
        <v>31270</v>
      </c>
      <c r="Q4137" t="s">
        <v>8618</v>
      </c>
    </row>
    <row r="4138" spans="1:17" x14ac:dyDescent="0.3">
      <c r="A4138" t="s">
        <v>4708</v>
      </c>
      <c r="B4138" t="str">
        <f>"300358"</f>
        <v>300358</v>
      </c>
      <c r="C4138" t="s">
        <v>8619</v>
      </c>
      <c r="D4138" t="s">
        <v>122</v>
      </c>
      <c r="P4138">
        <v>185</v>
      </c>
      <c r="Q4138" t="s">
        <v>8620</v>
      </c>
    </row>
    <row r="4139" spans="1:17" x14ac:dyDescent="0.3">
      <c r="A4139" t="s">
        <v>4708</v>
      </c>
      <c r="B4139" t="str">
        <f>"300359"</f>
        <v>300359</v>
      </c>
      <c r="C4139" t="s">
        <v>8621</v>
      </c>
      <c r="D4139" t="s">
        <v>1336</v>
      </c>
      <c r="P4139">
        <v>166</v>
      </c>
      <c r="Q4139" t="s">
        <v>8622</v>
      </c>
    </row>
    <row r="4140" spans="1:17" x14ac:dyDescent="0.3">
      <c r="A4140" t="s">
        <v>4708</v>
      </c>
      <c r="B4140" t="str">
        <f>"300360"</f>
        <v>300360</v>
      </c>
      <c r="C4140" t="s">
        <v>8623</v>
      </c>
      <c r="D4140" t="s">
        <v>2173</v>
      </c>
      <c r="P4140">
        <v>958</v>
      </c>
      <c r="Q4140" t="s">
        <v>8624</v>
      </c>
    </row>
    <row r="4141" spans="1:17" x14ac:dyDescent="0.3">
      <c r="A4141" t="s">
        <v>4708</v>
      </c>
      <c r="B4141" t="str">
        <f>"300362"</f>
        <v>300362</v>
      </c>
      <c r="C4141" t="s">
        <v>8625</v>
      </c>
      <c r="P4141">
        <v>87</v>
      </c>
      <c r="Q4141" t="s">
        <v>8626</v>
      </c>
    </row>
    <row r="4142" spans="1:17" x14ac:dyDescent="0.3">
      <c r="A4142" t="s">
        <v>4708</v>
      </c>
      <c r="B4142" t="str">
        <f>"300363"</f>
        <v>300363</v>
      </c>
      <c r="C4142" t="s">
        <v>8627</v>
      </c>
      <c r="D4142" t="s">
        <v>1461</v>
      </c>
      <c r="P4142">
        <v>542</v>
      </c>
      <c r="Q4142" t="s">
        <v>8628</v>
      </c>
    </row>
    <row r="4143" spans="1:17" x14ac:dyDescent="0.3">
      <c r="A4143" t="s">
        <v>4708</v>
      </c>
      <c r="B4143" t="str">
        <f>"300364"</f>
        <v>300364</v>
      </c>
      <c r="C4143" t="s">
        <v>8629</v>
      </c>
      <c r="D4143" t="s">
        <v>525</v>
      </c>
      <c r="P4143">
        <v>153</v>
      </c>
      <c r="Q4143" t="s">
        <v>8630</v>
      </c>
    </row>
    <row r="4144" spans="1:17" x14ac:dyDescent="0.3">
      <c r="A4144" t="s">
        <v>4708</v>
      </c>
      <c r="B4144" t="str">
        <f>"300365"</f>
        <v>300365</v>
      </c>
      <c r="C4144" t="s">
        <v>8631</v>
      </c>
      <c r="D4144" t="s">
        <v>945</v>
      </c>
      <c r="P4144">
        <v>334</v>
      </c>
      <c r="Q4144" t="s">
        <v>8632</v>
      </c>
    </row>
    <row r="4145" spans="1:17" x14ac:dyDescent="0.3">
      <c r="A4145" t="s">
        <v>4708</v>
      </c>
      <c r="B4145" t="str">
        <f>"300366"</f>
        <v>300366</v>
      </c>
      <c r="C4145" t="s">
        <v>8633</v>
      </c>
      <c r="D4145" t="s">
        <v>945</v>
      </c>
      <c r="P4145">
        <v>222</v>
      </c>
      <c r="Q4145" t="s">
        <v>8634</v>
      </c>
    </row>
    <row r="4146" spans="1:17" x14ac:dyDescent="0.3">
      <c r="A4146" t="s">
        <v>4708</v>
      </c>
      <c r="B4146" t="str">
        <f>"300367"</f>
        <v>300367</v>
      </c>
      <c r="C4146" t="s">
        <v>8635</v>
      </c>
      <c r="D4146" t="s">
        <v>2965</v>
      </c>
      <c r="P4146">
        <v>196</v>
      </c>
      <c r="Q4146" t="s">
        <v>8636</v>
      </c>
    </row>
    <row r="4147" spans="1:17" x14ac:dyDescent="0.3">
      <c r="A4147" t="s">
        <v>4708</v>
      </c>
      <c r="B4147" t="str">
        <f>"300368"</f>
        <v>300368</v>
      </c>
      <c r="C4147" t="s">
        <v>8637</v>
      </c>
      <c r="D4147" t="s">
        <v>236</v>
      </c>
      <c r="P4147">
        <v>119</v>
      </c>
      <c r="Q4147" t="s">
        <v>8638</v>
      </c>
    </row>
    <row r="4148" spans="1:17" x14ac:dyDescent="0.3">
      <c r="A4148" t="s">
        <v>4708</v>
      </c>
      <c r="B4148" t="str">
        <f>"300369"</f>
        <v>300369</v>
      </c>
      <c r="C4148" t="s">
        <v>8639</v>
      </c>
      <c r="D4148" t="s">
        <v>1189</v>
      </c>
      <c r="P4148">
        <v>418</v>
      </c>
      <c r="Q4148" t="s">
        <v>8640</v>
      </c>
    </row>
    <row r="4149" spans="1:17" x14ac:dyDescent="0.3">
      <c r="A4149" t="s">
        <v>4708</v>
      </c>
      <c r="B4149" t="str">
        <f>"300370"</f>
        <v>300370</v>
      </c>
      <c r="C4149" t="s">
        <v>8641</v>
      </c>
      <c r="D4149" t="s">
        <v>2557</v>
      </c>
      <c r="P4149">
        <v>103</v>
      </c>
      <c r="Q4149" t="s">
        <v>8642</v>
      </c>
    </row>
    <row r="4150" spans="1:17" x14ac:dyDescent="0.3">
      <c r="A4150" t="s">
        <v>4708</v>
      </c>
      <c r="B4150" t="str">
        <f>"300371"</f>
        <v>300371</v>
      </c>
      <c r="C4150" t="s">
        <v>8643</v>
      </c>
      <c r="D4150" t="s">
        <v>2557</v>
      </c>
      <c r="P4150">
        <v>288</v>
      </c>
      <c r="Q4150" t="s">
        <v>8644</v>
      </c>
    </row>
    <row r="4151" spans="1:17" x14ac:dyDescent="0.3">
      <c r="A4151" t="s">
        <v>4708</v>
      </c>
      <c r="B4151" t="str">
        <f>"300372"</f>
        <v>300372</v>
      </c>
      <c r="C4151" t="s">
        <v>8645</v>
      </c>
      <c r="P4151">
        <v>5</v>
      </c>
      <c r="Q4151" t="s">
        <v>8646</v>
      </c>
    </row>
    <row r="4152" spans="1:17" x14ac:dyDescent="0.3">
      <c r="A4152" t="s">
        <v>4708</v>
      </c>
      <c r="B4152" t="str">
        <f>"300373"</f>
        <v>300373</v>
      </c>
      <c r="C4152" t="s">
        <v>8647</v>
      </c>
      <c r="D4152" t="s">
        <v>795</v>
      </c>
      <c r="P4152">
        <v>4305</v>
      </c>
      <c r="Q4152" t="s">
        <v>8648</v>
      </c>
    </row>
    <row r="4153" spans="1:17" x14ac:dyDescent="0.3">
      <c r="A4153" t="s">
        <v>4708</v>
      </c>
      <c r="B4153" t="str">
        <f>"300374"</f>
        <v>300374</v>
      </c>
      <c r="C4153" t="s">
        <v>8649</v>
      </c>
      <c r="D4153" t="s">
        <v>5887</v>
      </c>
      <c r="P4153">
        <v>61</v>
      </c>
      <c r="Q4153" t="s">
        <v>8650</v>
      </c>
    </row>
    <row r="4154" spans="1:17" x14ac:dyDescent="0.3">
      <c r="A4154" t="s">
        <v>4708</v>
      </c>
      <c r="B4154" t="str">
        <f>"300375"</f>
        <v>300375</v>
      </c>
      <c r="C4154" t="s">
        <v>8651</v>
      </c>
      <c r="D4154" t="s">
        <v>348</v>
      </c>
      <c r="P4154">
        <v>99</v>
      </c>
      <c r="Q4154" t="s">
        <v>8652</v>
      </c>
    </row>
    <row r="4155" spans="1:17" x14ac:dyDescent="0.3">
      <c r="A4155" t="s">
        <v>4708</v>
      </c>
      <c r="B4155" t="str">
        <f>"300376"</f>
        <v>300376</v>
      </c>
      <c r="C4155" t="s">
        <v>8653</v>
      </c>
      <c r="D4155" t="s">
        <v>880</v>
      </c>
      <c r="P4155">
        <v>849</v>
      </c>
      <c r="Q4155" t="s">
        <v>8654</v>
      </c>
    </row>
    <row r="4156" spans="1:17" x14ac:dyDescent="0.3">
      <c r="A4156" t="s">
        <v>4708</v>
      </c>
      <c r="B4156" t="str">
        <f>"300377"</f>
        <v>300377</v>
      </c>
      <c r="C4156" t="s">
        <v>8655</v>
      </c>
      <c r="D4156" t="s">
        <v>945</v>
      </c>
      <c r="P4156">
        <v>3125</v>
      </c>
      <c r="Q4156" t="s">
        <v>8656</v>
      </c>
    </row>
    <row r="4157" spans="1:17" x14ac:dyDescent="0.3">
      <c r="A4157" t="s">
        <v>4708</v>
      </c>
      <c r="B4157" t="str">
        <f>"300378"</f>
        <v>300378</v>
      </c>
      <c r="C4157" t="s">
        <v>8657</v>
      </c>
      <c r="D4157" t="s">
        <v>1189</v>
      </c>
      <c r="P4157">
        <v>195</v>
      </c>
      <c r="Q4157" t="s">
        <v>8658</v>
      </c>
    </row>
    <row r="4158" spans="1:17" x14ac:dyDescent="0.3">
      <c r="A4158" t="s">
        <v>4708</v>
      </c>
      <c r="B4158" t="str">
        <f>"300379"</f>
        <v>300379</v>
      </c>
      <c r="C4158" t="s">
        <v>8659</v>
      </c>
      <c r="D4158" t="s">
        <v>945</v>
      </c>
      <c r="P4158">
        <v>395</v>
      </c>
      <c r="Q4158" t="s">
        <v>8660</v>
      </c>
    </row>
    <row r="4159" spans="1:17" x14ac:dyDescent="0.3">
      <c r="A4159" t="s">
        <v>4708</v>
      </c>
      <c r="B4159" t="str">
        <f>"300380"</f>
        <v>300380</v>
      </c>
      <c r="C4159" t="s">
        <v>8661</v>
      </c>
      <c r="D4159" t="s">
        <v>945</v>
      </c>
      <c r="P4159">
        <v>85</v>
      </c>
      <c r="Q4159" t="s">
        <v>8662</v>
      </c>
    </row>
    <row r="4160" spans="1:17" x14ac:dyDescent="0.3">
      <c r="A4160" t="s">
        <v>4708</v>
      </c>
      <c r="B4160" t="str">
        <f>"300381"</f>
        <v>300381</v>
      </c>
      <c r="C4160" t="s">
        <v>8663</v>
      </c>
      <c r="D4160" t="s">
        <v>496</v>
      </c>
      <c r="P4160">
        <v>160</v>
      </c>
      <c r="Q4160" t="s">
        <v>8664</v>
      </c>
    </row>
    <row r="4161" spans="1:17" x14ac:dyDescent="0.3">
      <c r="A4161" t="s">
        <v>4708</v>
      </c>
      <c r="B4161" t="str">
        <f>"300382"</f>
        <v>300382</v>
      </c>
      <c r="C4161" t="s">
        <v>8665</v>
      </c>
      <c r="D4161" t="s">
        <v>741</v>
      </c>
      <c r="P4161">
        <v>182</v>
      </c>
      <c r="Q4161" t="s">
        <v>8666</v>
      </c>
    </row>
    <row r="4162" spans="1:17" x14ac:dyDescent="0.3">
      <c r="A4162" t="s">
        <v>4708</v>
      </c>
      <c r="B4162" t="str">
        <f>"300383"</f>
        <v>300383</v>
      </c>
      <c r="C4162" t="s">
        <v>8667</v>
      </c>
      <c r="D4162" t="s">
        <v>316</v>
      </c>
      <c r="P4162">
        <v>2115</v>
      </c>
      <c r="Q4162" t="s">
        <v>8668</v>
      </c>
    </row>
    <row r="4163" spans="1:17" x14ac:dyDescent="0.3">
      <c r="A4163" t="s">
        <v>4708</v>
      </c>
      <c r="B4163" t="str">
        <f>"300384"</f>
        <v>300384</v>
      </c>
      <c r="C4163" t="s">
        <v>8669</v>
      </c>
      <c r="D4163" t="s">
        <v>2021</v>
      </c>
      <c r="P4163">
        <v>164</v>
      </c>
      <c r="Q4163" t="s">
        <v>8670</v>
      </c>
    </row>
    <row r="4164" spans="1:17" x14ac:dyDescent="0.3">
      <c r="A4164" t="s">
        <v>4708</v>
      </c>
      <c r="B4164" t="str">
        <f>"300385"</f>
        <v>300385</v>
      </c>
      <c r="C4164" t="s">
        <v>8671</v>
      </c>
      <c r="D4164" t="s">
        <v>663</v>
      </c>
      <c r="P4164">
        <v>92</v>
      </c>
      <c r="Q4164" t="s">
        <v>8672</v>
      </c>
    </row>
    <row r="4165" spans="1:17" x14ac:dyDescent="0.3">
      <c r="A4165" t="s">
        <v>4708</v>
      </c>
      <c r="B4165" t="str">
        <f>"300386"</f>
        <v>300386</v>
      </c>
      <c r="C4165" t="s">
        <v>8673</v>
      </c>
      <c r="D4165" t="s">
        <v>236</v>
      </c>
      <c r="P4165">
        <v>188</v>
      </c>
      <c r="Q4165" t="s">
        <v>8674</v>
      </c>
    </row>
    <row r="4166" spans="1:17" x14ac:dyDescent="0.3">
      <c r="A4166" t="s">
        <v>4708</v>
      </c>
      <c r="B4166" t="str">
        <f>"300387"</f>
        <v>300387</v>
      </c>
      <c r="C4166" t="s">
        <v>8675</v>
      </c>
      <c r="D4166" t="s">
        <v>5533</v>
      </c>
      <c r="P4166">
        <v>89</v>
      </c>
      <c r="Q4166" t="s">
        <v>8676</v>
      </c>
    </row>
    <row r="4167" spans="1:17" x14ac:dyDescent="0.3">
      <c r="A4167" t="s">
        <v>4708</v>
      </c>
      <c r="B4167" t="str">
        <f>"300388"</f>
        <v>300388</v>
      </c>
      <c r="C4167" t="s">
        <v>8677</v>
      </c>
      <c r="D4167" t="s">
        <v>33</v>
      </c>
      <c r="P4167">
        <v>225</v>
      </c>
      <c r="Q4167" t="s">
        <v>8678</v>
      </c>
    </row>
    <row r="4168" spans="1:17" x14ac:dyDescent="0.3">
      <c r="A4168" t="s">
        <v>4708</v>
      </c>
      <c r="B4168" t="str">
        <f>"300389"</f>
        <v>300389</v>
      </c>
      <c r="C4168" t="s">
        <v>8679</v>
      </c>
      <c r="D4168" t="s">
        <v>803</v>
      </c>
      <c r="P4168">
        <v>198</v>
      </c>
      <c r="Q4168" t="s">
        <v>8680</v>
      </c>
    </row>
    <row r="4169" spans="1:17" x14ac:dyDescent="0.3">
      <c r="A4169" t="s">
        <v>4708</v>
      </c>
      <c r="B4169" t="str">
        <f>"300390"</f>
        <v>300390</v>
      </c>
      <c r="C4169" t="s">
        <v>8681</v>
      </c>
      <c r="D4169" t="s">
        <v>651</v>
      </c>
      <c r="P4169">
        <v>460</v>
      </c>
      <c r="Q4169" t="s">
        <v>8682</v>
      </c>
    </row>
    <row r="4170" spans="1:17" x14ac:dyDescent="0.3">
      <c r="A4170" t="s">
        <v>4708</v>
      </c>
      <c r="B4170" t="str">
        <f>"300391"</f>
        <v>300391</v>
      </c>
      <c r="C4170" t="s">
        <v>8683</v>
      </c>
      <c r="D4170" t="s">
        <v>348</v>
      </c>
      <c r="P4170">
        <v>80</v>
      </c>
      <c r="Q4170" t="s">
        <v>8684</v>
      </c>
    </row>
    <row r="4171" spans="1:17" x14ac:dyDescent="0.3">
      <c r="A4171" t="s">
        <v>4708</v>
      </c>
      <c r="B4171" t="str">
        <f>"300392"</f>
        <v>300392</v>
      </c>
      <c r="C4171" t="s">
        <v>8685</v>
      </c>
      <c r="D4171" t="s">
        <v>207</v>
      </c>
      <c r="P4171">
        <v>66</v>
      </c>
      <c r="Q4171" t="s">
        <v>8686</v>
      </c>
    </row>
    <row r="4172" spans="1:17" x14ac:dyDescent="0.3">
      <c r="A4172" t="s">
        <v>4708</v>
      </c>
      <c r="B4172" t="str">
        <f>"300393"</f>
        <v>300393</v>
      </c>
      <c r="C4172" t="s">
        <v>8687</v>
      </c>
      <c r="D4172" t="s">
        <v>356</v>
      </c>
      <c r="P4172">
        <v>304</v>
      </c>
      <c r="Q4172" t="s">
        <v>8688</v>
      </c>
    </row>
    <row r="4173" spans="1:17" x14ac:dyDescent="0.3">
      <c r="A4173" t="s">
        <v>4708</v>
      </c>
      <c r="B4173" t="str">
        <f>"300394"</f>
        <v>300394</v>
      </c>
      <c r="C4173" t="s">
        <v>8689</v>
      </c>
      <c r="D4173" t="s">
        <v>1019</v>
      </c>
      <c r="P4173">
        <v>802</v>
      </c>
      <c r="Q4173" t="s">
        <v>8690</v>
      </c>
    </row>
    <row r="4174" spans="1:17" x14ac:dyDescent="0.3">
      <c r="A4174" t="s">
        <v>4708</v>
      </c>
      <c r="B4174" t="str">
        <f>"300395"</f>
        <v>300395</v>
      </c>
      <c r="C4174" t="s">
        <v>8691</v>
      </c>
      <c r="D4174" t="s">
        <v>98</v>
      </c>
      <c r="P4174">
        <v>553</v>
      </c>
      <c r="Q4174" t="s">
        <v>8692</v>
      </c>
    </row>
    <row r="4175" spans="1:17" x14ac:dyDescent="0.3">
      <c r="A4175" t="s">
        <v>4708</v>
      </c>
      <c r="B4175" t="str">
        <f>"300396"</f>
        <v>300396</v>
      </c>
      <c r="C4175" t="s">
        <v>8693</v>
      </c>
      <c r="D4175" t="s">
        <v>1305</v>
      </c>
      <c r="P4175">
        <v>360</v>
      </c>
      <c r="Q4175" t="s">
        <v>8694</v>
      </c>
    </row>
    <row r="4176" spans="1:17" x14ac:dyDescent="0.3">
      <c r="A4176" t="s">
        <v>4708</v>
      </c>
      <c r="B4176" t="str">
        <f>"300397"</f>
        <v>300397</v>
      </c>
      <c r="C4176" t="s">
        <v>8695</v>
      </c>
      <c r="D4176" t="s">
        <v>98</v>
      </c>
      <c r="P4176">
        <v>232</v>
      </c>
      <c r="Q4176" t="s">
        <v>8696</v>
      </c>
    </row>
    <row r="4177" spans="1:17" x14ac:dyDescent="0.3">
      <c r="A4177" t="s">
        <v>4708</v>
      </c>
      <c r="B4177" t="str">
        <f>"300398"</f>
        <v>300398</v>
      </c>
      <c r="C4177" t="s">
        <v>8697</v>
      </c>
      <c r="D4177" t="s">
        <v>2401</v>
      </c>
      <c r="P4177">
        <v>244</v>
      </c>
      <c r="Q4177" t="s">
        <v>8698</v>
      </c>
    </row>
    <row r="4178" spans="1:17" x14ac:dyDescent="0.3">
      <c r="A4178" t="s">
        <v>4708</v>
      </c>
      <c r="B4178" t="str">
        <f>"300399"</f>
        <v>300399</v>
      </c>
      <c r="C4178" t="s">
        <v>8699</v>
      </c>
      <c r="D4178" t="s">
        <v>316</v>
      </c>
      <c r="P4178">
        <v>80</v>
      </c>
      <c r="Q4178" t="s">
        <v>8700</v>
      </c>
    </row>
    <row r="4179" spans="1:17" x14ac:dyDescent="0.3">
      <c r="A4179" t="s">
        <v>4708</v>
      </c>
      <c r="B4179" t="str">
        <f>"300400"</f>
        <v>300400</v>
      </c>
      <c r="C4179" t="s">
        <v>8701</v>
      </c>
      <c r="D4179" t="s">
        <v>3462</v>
      </c>
      <c r="P4179">
        <v>273</v>
      </c>
      <c r="Q4179" t="s">
        <v>8702</v>
      </c>
    </row>
    <row r="4180" spans="1:17" x14ac:dyDescent="0.3">
      <c r="A4180" t="s">
        <v>4708</v>
      </c>
      <c r="B4180" t="str">
        <f>"300401"</f>
        <v>300401</v>
      </c>
      <c r="C4180" t="s">
        <v>8703</v>
      </c>
      <c r="D4180" t="s">
        <v>496</v>
      </c>
      <c r="P4180">
        <v>476</v>
      </c>
      <c r="Q4180" t="s">
        <v>8704</v>
      </c>
    </row>
    <row r="4181" spans="1:17" x14ac:dyDescent="0.3">
      <c r="A4181" t="s">
        <v>4708</v>
      </c>
      <c r="B4181" t="str">
        <f>"300402"</f>
        <v>300402</v>
      </c>
      <c r="C4181" t="s">
        <v>8705</v>
      </c>
      <c r="D4181" t="s">
        <v>274</v>
      </c>
      <c r="P4181">
        <v>101</v>
      </c>
      <c r="Q4181" t="s">
        <v>8706</v>
      </c>
    </row>
    <row r="4182" spans="1:17" x14ac:dyDescent="0.3">
      <c r="A4182" t="s">
        <v>4708</v>
      </c>
      <c r="B4182" t="str">
        <f>"300403"</f>
        <v>300403</v>
      </c>
      <c r="C4182" t="s">
        <v>8707</v>
      </c>
      <c r="D4182" t="s">
        <v>1253</v>
      </c>
      <c r="P4182">
        <v>253</v>
      </c>
      <c r="Q4182" t="s">
        <v>8708</v>
      </c>
    </row>
    <row r="4183" spans="1:17" x14ac:dyDescent="0.3">
      <c r="A4183" t="s">
        <v>4708</v>
      </c>
      <c r="B4183" t="str">
        <f>"300404"</f>
        <v>300404</v>
      </c>
      <c r="C4183" t="s">
        <v>8709</v>
      </c>
      <c r="D4183" t="s">
        <v>1461</v>
      </c>
      <c r="P4183">
        <v>150</v>
      </c>
      <c r="Q4183" t="s">
        <v>8710</v>
      </c>
    </row>
    <row r="4184" spans="1:17" x14ac:dyDescent="0.3">
      <c r="A4184" t="s">
        <v>4708</v>
      </c>
      <c r="B4184" t="str">
        <f>"300405"</f>
        <v>300405</v>
      </c>
      <c r="C4184" t="s">
        <v>8711</v>
      </c>
      <c r="D4184" t="s">
        <v>386</v>
      </c>
      <c r="P4184">
        <v>59</v>
      </c>
      <c r="Q4184" t="s">
        <v>8712</v>
      </c>
    </row>
    <row r="4185" spans="1:17" x14ac:dyDescent="0.3">
      <c r="A4185" t="s">
        <v>4708</v>
      </c>
      <c r="B4185" t="str">
        <f>"300406"</f>
        <v>300406</v>
      </c>
      <c r="C4185" t="s">
        <v>8713</v>
      </c>
      <c r="D4185" t="s">
        <v>1305</v>
      </c>
      <c r="P4185">
        <v>14630</v>
      </c>
      <c r="Q4185" t="s">
        <v>8714</v>
      </c>
    </row>
    <row r="4186" spans="1:17" x14ac:dyDescent="0.3">
      <c r="A4186" t="s">
        <v>4708</v>
      </c>
      <c r="B4186" t="str">
        <f>"300407"</f>
        <v>300407</v>
      </c>
      <c r="C4186" t="s">
        <v>8715</v>
      </c>
      <c r="D4186" t="s">
        <v>610</v>
      </c>
      <c r="P4186">
        <v>132</v>
      </c>
      <c r="Q4186" t="s">
        <v>8716</v>
      </c>
    </row>
    <row r="4187" spans="1:17" x14ac:dyDescent="0.3">
      <c r="A4187" t="s">
        <v>4708</v>
      </c>
      <c r="B4187" t="str">
        <f>"300408"</f>
        <v>300408</v>
      </c>
      <c r="C4187" t="s">
        <v>8717</v>
      </c>
      <c r="D4187" t="s">
        <v>546</v>
      </c>
      <c r="P4187">
        <v>1510</v>
      </c>
      <c r="Q4187" t="s">
        <v>8718</v>
      </c>
    </row>
    <row r="4188" spans="1:17" x14ac:dyDescent="0.3">
      <c r="A4188" t="s">
        <v>4708</v>
      </c>
      <c r="B4188" t="str">
        <f>"300409"</f>
        <v>300409</v>
      </c>
      <c r="C4188" t="s">
        <v>8719</v>
      </c>
      <c r="D4188" t="s">
        <v>1786</v>
      </c>
      <c r="P4188">
        <v>240</v>
      </c>
      <c r="Q4188" t="s">
        <v>8720</v>
      </c>
    </row>
    <row r="4189" spans="1:17" x14ac:dyDescent="0.3">
      <c r="A4189" t="s">
        <v>4708</v>
      </c>
      <c r="B4189" t="str">
        <f>"300410"</f>
        <v>300410</v>
      </c>
      <c r="C4189" t="s">
        <v>8721</v>
      </c>
      <c r="D4189" t="s">
        <v>2557</v>
      </c>
      <c r="P4189">
        <v>215</v>
      </c>
      <c r="Q4189" t="s">
        <v>8722</v>
      </c>
    </row>
    <row r="4190" spans="1:17" x14ac:dyDescent="0.3">
      <c r="A4190" t="s">
        <v>4708</v>
      </c>
      <c r="B4190" t="str">
        <f>"300411"</f>
        <v>300411</v>
      </c>
      <c r="C4190" t="s">
        <v>8723</v>
      </c>
      <c r="D4190" t="s">
        <v>741</v>
      </c>
      <c r="P4190">
        <v>73</v>
      </c>
      <c r="Q4190" t="s">
        <v>8724</v>
      </c>
    </row>
    <row r="4191" spans="1:17" x14ac:dyDescent="0.3">
      <c r="A4191" t="s">
        <v>4708</v>
      </c>
      <c r="B4191" t="str">
        <f>"300412"</f>
        <v>300412</v>
      </c>
      <c r="C4191" t="s">
        <v>8725</v>
      </c>
      <c r="D4191" t="s">
        <v>741</v>
      </c>
      <c r="P4191">
        <v>96</v>
      </c>
      <c r="Q4191" t="s">
        <v>8726</v>
      </c>
    </row>
    <row r="4192" spans="1:17" x14ac:dyDescent="0.3">
      <c r="A4192" t="s">
        <v>4708</v>
      </c>
      <c r="B4192" t="str">
        <f>"300413"</f>
        <v>300413</v>
      </c>
      <c r="C4192" t="s">
        <v>8727</v>
      </c>
      <c r="D4192" t="s">
        <v>1294</v>
      </c>
      <c r="P4192">
        <v>1145</v>
      </c>
      <c r="Q4192" t="s">
        <v>8728</v>
      </c>
    </row>
    <row r="4193" spans="1:17" x14ac:dyDescent="0.3">
      <c r="A4193" t="s">
        <v>4708</v>
      </c>
      <c r="B4193" t="str">
        <f>"300414"</f>
        <v>300414</v>
      </c>
      <c r="C4193" t="s">
        <v>8729</v>
      </c>
      <c r="D4193" t="s">
        <v>595</v>
      </c>
      <c r="P4193">
        <v>219</v>
      </c>
      <c r="Q4193" t="s">
        <v>8730</v>
      </c>
    </row>
    <row r="4194" spans="1:17" x14ac:dyDescent="0.3">
      <c r="A4194" t="s">
        <v>4708</v>
      </c>
      <c r="B4194" t="str">
        <f>"300415"</f>
        <v>300415</v>
      </c>
      <c r="C4194" t="s">
        <v>8731</v>
      </c>
      <c r="D4194" t="s">
        <v>741</v>
      </c>
      <c r="P4194">
        <v>547</v>
      </c>
      <c r="Q4194" t="s">
        <v>8732</v>
      </c>
    </row>
    <row r="4195" spans="1:17" x14ac:dyDescent="0.3">
      <c r="A4195" t="s">
        <v>4708</v>
      </c>
      <c r="B4195" t="str">
        <f>"300416"</f>
        <v>300416</v>
      </c>
      <c r="C4195" t="s">
        <v>8733</v>
      </c>
      <c r="D4195" t="s">
        <v>2557</v>
      </c>
      <c r="P4195">
        <v>305</v>
      </c>
      <c r="Q4195" t="s">
        <v>8734</v>
      </c>
    </row>
    <row r="4196" spans="1:17" x14ac:dyDescent="0.3">
      <c r="A4196" t="s">
        <v>4708</v>
      </c>
      <c r="B4196" t="str">
        <f>"300417"</f>
        <v>300417</v>
      </c>
      <c r="C4196" t="s">
        <v>8735</v>
      </c>
      <c r="D4196" t="s">
        <v>2557</v>
      </c>
      <c r="P4196">
        <v>196</v>
      </c>
      <c r="Q4196" t="s">
        <v>8736</v>
      </c>
    </row>
    <row r="4197" spans="1:17" x14ac:dyDescent="0.3">
      <c r="A4197" t="s">
        <v>4708</v>
      </c>
      <c r="B4197" t="str">
        <f>"300418"</f>
        <v>300418</v>
      </c>
      <c r="C4197" t="s">
        <v>8737</v>
      </c>
      <c r="D4197" t="s">
        <v>517</v>
      </c>
      <c r="P4197">
        <v>17528</v>
      </c>
      <c r="Q4197" t="s">
        <v>8738</v>
      </c>
    </row>
    <row r="4198" spans="1:17" x14ac:dyDescent="0.3">
      <c r="A4198" t="s">
        <v>4708</v>
      </c>
      <c r="B4198" t="str">
        <f>"300419"</f>
        <v>300419</v>
      </c>
      <c r="C4198" t="s">
        <v>8739</v>
      </c>
      <c r="D4198" t="s">
        <v>316</v>
      </c>
      <c r="P4198">
        <v>89</v>
      </c>
      <c r="Q4198" t="s">
        <v>8740</v>
      </c>
    </row>
    <row r="4199" spans="1:17" x14ac:dyDescent="0.3">
      <c r="A4199" t="s">
        <v>4708</v>
      </c>
      <c r="B4199" t="str">
        <f>"300420"</f>
        <v>300420</v>
      </c>
      <c r="C4199" t="s">
        <v>8741</v>
      </c>
      <c r="D4199" t="s">
        <v>560</v>
      </c>
      <c r="P4199">
        <v>146</v>
      </c>
      <c r="Q4199" t="s">
        <v>8742</v>
      </c>
    </row>
    <row r="4200" spans="1:17" x14ac:dyDescent="0.3">
      <c r="A4200" t="s">
        <v>4708</v>
      </c>
      <c r="B4200" t="str">
        <f>"300421"</f>
        <v>300421</v>
      </c>
      <c r="C4200" t="s">
        <v>8743</v>
      </c>
      <c r="D4200" t="s">
        <v>274</v>
      </c>
      <c r="P4200">
        <v>108</v>
      </c>
      <c r="Q4200" t="s">
        <v>8744</v>
      </c>
    </row>
    <row r="4201" spans="1:17" x14ac:dyDescent="0.3">
      <c r="A4201" t="s">
        <v>4708</v>
      </c>
      <c r="B4201" t="str">
        <f>"300422"</f>
        <v>300422</v>
      </c>
      <c r="C4201" t="s">
        <v>8745</v>
      </c>
      <c r="D4201" t="s">
        <v>33</v>
      </c>
      <c r="P4201">
        <v>331</v>
      </c>
      <c r="Q4201" t="s">
        <v>8746</v>
      </c>
    </row>
    <row r="4202" spans="1:17" x14ac:dyDescent="0.3">
      <c r="A4202" t="s">
        <v>4708</v>
      </c>
      <c r="B4202" t="str">
        <f>"300423"</f>
        <v>300423</v>
      </c>
      <c r="C4202" t="s">
        <v>8747</v>
      </c>
      <c r="D4202" t="s">
        <v>210</v>
      </c>
      <c r="P4202">
        <v>156</v>
      </c>
      <c r="Q4202" t="s">
        <v>8748</v>
      </c>
    </row>
    <row r="4203" spans="1:17" x14ac:dyDescent="0.3">
      <c r="A4203" t="s">
        <v>4708</v>
      </c>
      <c r="B4203" t="str">
        <f>"300424"</f>
        <v>300424</v>
      </c>
      <c r="C4203" t="s">
        <v>8749</v>
      </c>
      <c r="D4203" t="s">
        <v>98</v>
      </c>
      <c r="P4203">
        <v>133</v>
      </c>
      <c r="Q4203" t="s">
        <v>8750</v>
      </c>
    </row>
    <row r="4204" spans="1:17" x14ac:dyDescent="0.3">
      <c r="A4204" t="s">
        <v>4708</v>
      </c>
      <c r="B4204" t="str">
        <f>"300425"</f>
        <v>300425</v>
      </c>
      <c r="C4204" t="s">
        <v>8751</v>
      </c>
      <c r="D4204" t="s">
        <v>33</v>
      </c>
      <c r="P4204">
        <v>121</v>
      </c>
      <c r="Q4204" t="s">
        <v>8752</v>
      </c>
    </row>
    <row r="4205" spans="1:17" x14ac:dyDescent="0.3">
      <c r="A4205" t="s">
        <v>4708</v>
      </c>
      <c r="B4205" t="str">
        <f>"300426"</f>
        <v>300426</v>
      </c>
      <c r="C4205" t="s">
        <v>8753</v>
      </c>
      <c r="D4205" t="s">
        <v>113</v>
      </c>
      <c r="P4205">
        <v>130</v>
      </c>
      <c r="Q4205" t="s">
        <v>8754</v>
      </c>
    </row>
    <row r="4206" spans="1:17" x14ac:dyDescent="0.3">
      <c r="A4206" t="s">
        <v>4708</v>
      </c>
      <c r="B4206" t="str">
        <f>"300427"</f>
        <v>300427</v>
      </c>
      <c r="C4206" t="s">
        <v>8755</v>
      </c>
      <c r="D4206" t="s">
        <v>610</v>
      </c>
      <c r="P4206">
        <v>249</v>
      </c>
      <c r="Q4206" t="s">
        <v>8756</v>
      </c>
    </row>
    <row r="4207" spans="1:17" x14ac:dyDescent="0.3">
      <c r="A4207" t="s">
        <v>4708</v>
      </c>
      <c r="B4207" t="str">
        <f>"300428"</f>
        <v>300428</v>
      </c>
      <c r="C4207" t="s">
        <v>8757</v>
      </c>
      <c r="D4207" t="s">
        <v>422</v>
      </c>
      <c r="P4207">
        <v>171</v>
      </c>
      <c r="Q4207" t="s">
        <v>8758</v>
      </c>
    </row>
    <row r="4208" spans="1:17" x14ac:dyDescent="0.3">
      <c r="A4208" t="s">
        <v>4708</v>
      </c>
      <c r="B4208" t="str">
        <f>"300429"</f>
        <v>300429</v>
      </c>
      <c r="C4208" t="s">
        <v>8759</v>
      </c>
      <c r="D4208" t="s">
        <v>2401</v>
      </c>
      <c r="P4208">
        <v>261</v>
      </c>
      <c r="Q4208" t="s">
        <v>8760</v>
      </c>
    </row>
    <row r="4209" spans="1:17" x14ac:dyDescent="0.3">
      <c r="A4209" t="s">
        <v>4708</v>
      </c>
      <c r="B4209" t="str">
        <f>"300430"</f>
        <v>300430</v>
      </c>
      <c r="C4209" t="s">
        <v>8761</v>
      </c>
      <c r="D4209" t="s">
        <v>560</v>
      </c>
      <c r="P4209">
        <v>95</v>
      </c>
      <c r="Q4209" t="s">
        <v>8762</v>
      </c>
    </row>
    <row r="4210" spans="1:17" x14ac:dyDescent="0.3">
      <c r="A4210" t="s">
        <v>4708</v>
      </c>
      <c r="B4210" t="str">
        <f>"300431"</f>
        <v>300431</v>
      </c>
      <c r="C4210" t="s">
        <v>8763</v>
      </c>
      <c r="P4210">
        <v>145</v>
      </c>
      <c r="Q4210" t="s">
        <v>8764</v>
      </c>
    </row>
    <row r="4211" spans="1:17" x14ac:dyDescent="0.3">
      <c r="A4211" t="s">
        <v>4708</v>
      </c>
      <c r="B4211" t="str">
        <f>"300432"</f>
        <v>300432</v>
      </c>
      <c r="C4211" t="s">
        <v>8765</v>
      </c>
      <c r="D4211" t="s">
        <v>348</v>
      </c>
      <c r="P4211">
        <v>304</v>
      </c>
      <c r="Q4211" t="s">
        <v>8766</v>
      </c>
    </row>
    <row r="4212" spans="1:17" x14ac:dyDescent="0.3">
      <c r="A4212" t="s">
        <v>4708</v>
      </c>
      <c r="B4212" t="str">
        <f>"300433"</f>
        <v>300433</v>
      </c>
      <c r="C4212" t="s">
        <v>8767</v>
      </c>
      <c r="D4212" t="s">
        <v>313</v>
      </c>
      <c r="P4212">
        <v>1652</v>
      </c>
      <c r="Q4212" t="s">
        <v>8768</v>
      </c>
    </row>
    <row r="4213" spans="1:17" x14ac:dyDescent="0.3">
      <c r="A4213" t="s">
        <v>4708</v>
      </c>
      <c r="B4213" t="str">
        <f>"300434"</f>
        <v>300434</v>
      </c>
      <c r="C4213" t="s">
        <v>8769</v>
      </c>
      <c r="D4213" t="s">
        <v>143</v>
      </c>
      <c r="P4213">
        <v>96</v>
      </c>
      <c r="Q4213" t="s">
        <v>8770</v>
      </c>
    </row>
    <row r="4214" spans="1:17" x14ac:dyDescent="0.3">
      <c r="A4214" t="s">
        <v>4708</v>
      </c>
      <c r="B4214" t="str">
        <f>"300435"</f>
        <v>300435</v>
      </c>
      <c r="C4214" t="s">
        <v>8771</v>
      </c>
      <c r="D4214" t="s">
        <v>749</v>
      </c>
      <c r="P4214">
        <v>111</v>
      </c>
      <c r="Q4214" t="s">
        <v>8772</v>
      </c>
    </row>
    <row r="4215" spans="1:17" x14ac:dyDescent="0.3">
      <c r="A4215" t="s">
        <v>4708</v>
      </c>
      <c r="B4215" t="str">
        <f>"300436"</f>
        <v>300436</v>
      </c>
      <c r="C4215" t="s">
        <v>8773</v>
      </c>
      <c r="D4215" t="s">
        <v>143</v>
      </c>
      <c r="P4215">
        <v>135</v>
      </c>
      <c r="Q4215" t="s">
        <v>8774</v>
      </c>
    </row>
    <row r="4216" spans="1:17" x14ac:dyDescent="0.3">
      <c r="A4216" t="s">
        <v>4708</v>
      </c>
      <c r="B4216" t="str">
        <f>"300437"</f>
        <v>300437</v>
      </c>
      <c r="C4216" t="s">
        <v>8775</v>
      </c>
      <c r="D4216" t="s">
        <v>33</v>
      </c>
      <c r="P4216">
        <v>143</v>
      </c>
      <c r="Q4216" t="s">
        <v>8776</v>
      </c>
    </row>
    <row r="4217" spans="1:17" x14ac:dyDescent="0.3">
      <c r="A4217" t="s">
        <v>4708</v>
      </c>
      <c r="B4217" t="str">
        <f>"300438"</f>
        <v>300438</v>
      </c>
      <c r="C4217" t="s">
        <v>8777</v>
      </c>
      <c r="D4217" t="s">
        <v>359</v>
      </c>
      <c r="P4217">
        <v>394</v>
      </c>
      <c r="Q4217" t="s">
        <v>8778</v>
      </c>
    </row>
    <row r="4218" spans="1:17" x14ac:dyDescent="0.3">
      <c r="A4218" t="s">
        <v>4708</v>
      </c>
      <c r="B4218" t="str">
        <f>"300439"</f>
        <v>300439</v>
      </c>
      <c r="C4218" t="s">
        <v>8779</v>
      </c>
      <c r="D4218" t="s">
        <v>1305</v>
      </c>
      <c r="P4218">
        <v>209</v>
      </c>
      <c r="Q4218" t="s">
        <v>8780</v>
      </c>
    </row>
    <row r="4219" spans="1:17" x14ac:dyDescent="0.3">
      <c r="A4219" t="s">
        <v>4708</v>
      </c>
      <c r="B4219" t="str">
        <f>"300440"</f>
        <v>300440</v>
      </c>
      <c r="C4219" t="s">
        <v>8781</v>
      </c>
      <c r="D4219" t="s">
        <v>316</v>
      </c>
      <c r="P4219">
        <v>151</v>
      </c>
      <c r="Q4219" t="s">
        <v>8782</v>
      </c>
    </row>
    <row r="4220" spans="1:17" x14ac:dyDescent="0.3">
      <c r="A4220" t="s">
        <v>4708</v>
      </c>
      <c r="B4220" t="str">
        <f>"300441"</f>
        <v>300441</v>
      </c>
      <c r="C4220" t="s">
        <v>8783</v>
      </c>
      <c r="D4220" t="s">
        <v>560</v>
      </c>
      <c r="P4220">
        <v>96</v>
      </c>
      <c r="Q4220" t="s">
        <v>8784</v>
      </c>
    </row>
    <row r="4221" spans="1:17" x14ac:dyDescent="0.3">
      <c r="A4221" t="s">
        <v>4708</v>
      </c>
      <c r="B4221" t="str">
        <f>"300442"</f>
        <v>300442</v>
      </c>
      <c r="C4221" t="s">
        <v>8785</v>
      </c>
      <c r="D4221" t="s">
        <v>3400</v>
      </c>
      <c r="P4221">
        <v>66</v>
      </c>
      <c r="Q4221" t="s">
        <v>8786</v>
      </c>
    </row>
    <row r="4222" spans="1:17" x14ac:dyDescent="0.3">
      <c r="A4222" t="s">
        <v>4708</v>
      </c>
      <c r="B4222" t="str">
        <f>"300443"</f>
        <v>300443</v>
      </c>
      <c r="C4222" t="s">
        <v>8787</v>
      </c>
      <c r="D4222" t="s">
        <v>950</v>
      </c>
      <c r="P4222">
        <v>357</v>
      </c>
      <c r="Q4222" t="s">
        <v>8788</v>
      </c>
    </row>
    <row r="4223" spans="1:17" x14ac:dyDescent="0.3">
      <c r="A4223" t="s">
        <v>4708</v>
      </c>
      <c r="B4223" t="str">
        <f>"300444"</f>
        <v>300444</v>
      </c>
      <c r="C4223" t="s">
        <v>8789</v>
      </c>
      <c r="D4223" t="s">
        <v>210</v>
      </c>
      <c r="P4223">
        <v>101</v>
      </c>
      <c r="Q4223" t="s">
        <v>8790</v>
      </c>
    </row>
    <row r="4224" spans="1:17" x14ac:dyDescent="0.3">
      <c r="A4224" t="s">
        <v>4708</v>
      </c>
      <c r="B4224" t="str">
        <f>"300445"</f>
        <v>300445</v>
      </c>
      <c r="C4224" t="s">
        <v>8791</v>
      </c>
      <c r="D4224" t="s">
        <v>2557</v>
      </c>
      <c r="P4224">
        <v>169</v>
      </c>
      <c r="Q4224" t="s">
        <v>8792</v>
      </c>
    </row>
    <row r="4225" spans="1:17" x14ac:dyDescent="0.3">
      <c r="A4225" t="s">
        <v>4708</v>
      </c>
      <c r="B4225" t="str">
        <f>"300446"</f>
        <v>300446</v>
      </c>
      <c r="C4225" t="s">
        <v>8793</v>
      </c>
      <c r="D4225" t="s">
        <v>2401</v>
      </c>
      <c r="P4225">
        <v>980</v>
      </c>
      <c r="Q4225" t="s">
        <v>8794</v>
      </c>
    </row>
    <row r="4226" spans="1:17" x14ac:dyDescent="0.3">
      <c r="A4226" t="s">
        <v>4708</v>
      </c>
      <c r="B4226" t="str">
        <f>"300447"</f>
        <v>300447</v>
      </c>
      <c r="C4226" t="s">
        <v>8795</v>
      </c>
      <c r="D4226" t="s">
        <v>1136</v>
      </c>
      <c r="P4226">
        <v>119</v>
      </c>
      <c r="Q4226" t="s">
        <v>8796</v>
      </c>
    </row>
    <row r="4227" spans="1:17" x14ac:dyDescent="0.3">
      <c r="A4227" t="s">
        <v>4708</v>
      </c>
      <c r="B4227" t="str">
        <f>"300448"</f>
        <v>300448</v>
      </c>
      <c r="C4227" t="s">
        <v>8797</v>
      </c>
      <c r="D4227" t="s">
        <v>316</v>
      </c>
      <c r="P4227">
        <v>157</v>
      </c>
      <c r="Q4227" t="s">
        <v>8798</v>
      </c>
    </row>
    <row r="4228" spans="1:17" x14ac:dyDescent="0.3">
      <c r="A4228" t="s">
        <v>4708</v>
      </c>
      <c r="B4228" t="str">
        <f>"300449"</f>
        <v>300449</v>
      </c>
      <c r="C4228" t="s">
        <v>8799</v>
      </c>
      <c r="D4228" t="s">
        <v>2965</v>
      </c>
      <c r="P4228">
        <v>85</v>
      </c>
      <c r="Q4228" t="s">
        <v>8800</v>
      </c>
    </row>
    <row r="4229" spans="1:17" x14ac:dyDescent="0.3">
      <c r="A4229" t="s">
        <v>4708</v>
      </c>
      <c r="B4229" t="str">
        <f>"300450"</f>
        <v>300450</v>
      </c>
      <c r="C4229" t="s">
        <v>8801</v>
      </c>
      <c r="D4229" t="s">
        <v>3761</v>
      </c>
      <c r="P4229">
        <v>9753</v>
      </c>
      <c r="Q4229" t="s">
        <v>8802</v>
      </c>
    </row>
    <row r="4230" spans="1:17" x14ac:dyDescent="0.3">
      <c r="A4230" t="s">
        <v>4708</v>
      </c>
      <c r="B4230" t="str">
        <f>"300451"</f>
        <v>300451</v>
      </c>
      <c r="C4230" t="s">
        <v>8803</v>
      </c>
      <c r="D4230" t="s">
        <v>945</v>
      </c>
      <c r="P4230">
        <v>351</v>
      </c>
      <c r="Q4230" t="s">
        <v>8804</v>
      </c>
    </row>
    <row r="4231" spans="1:17" x14ac:dyDescent="0.3">
      <c r="A4231" t="s">
        <v>4708</v>
      </c>
      <c r="B4231" t="str">
        <f>"300452"</f>
        <v>300452</v>
      </c>
      <c r="C4231" t="s">
        <v>8805</v>
      </c>
      <c r="D4231" t="s">
        <v>496</v>
      </c>
      <c r="P4231">
        <v>300</v>
      </c>
      <c r="Q4231" t="s">
        <v>8806</v>
      </c>
    </row>
    <row r="4232" spans="1:17" x14ac:dyDescent="0.3">
      <c r="A4232" t="s">
        <v>4708</v>
      </c>
      <c r="B4232" t="str">
        <f>"300453"</f>
        <v>300453</v>
      </c>
      <c r="C4232" t="s">
        <v>8807</v>
      </c>
      <c r="D4232" t="s">
        <v>1077</v>
      </c>
      <c r="P4232">
        <v>226</v>
      </c>
      <c r="Q4232" t="s">
        <v>8808</v>
      </c>
    </row>
    <row r="4233" spans="1:17" x14ac:dyDescent="0.3">
      <c r="A4233" t="s">
        <v>4708</v>
      </c>
      <c r="B4233" t="str">
        <f>"300454"</f>
        <v>300454</v>
      </c>
      <c r="C4233" t="s">
        <v>8809</v>
      </c>
      <c r="D4233" t="s">
        <v>1189</v>
      </c>
      <c r="P4233">
        <v>799</v>
      </c>
      <c r="Q4233" t="s">
        <v>8810</v>
      </c>
    </row>
    <row r="4234" spans="1:17" x14ac:dyDescent="0.3">
      <c r="A4234" t="s">
        <v>4708</v>
      </c>
      <c r="B4234" t="str">
        <f>"300455"</f>
        <v>300455</v>
      </c>
      <c r="C4234" t="s">
        <v>8811</v>
      </c>
      <c r="D4234" t="s">
        <v>236</v>
      </c>
      <c r="P4234">
        <v>137</v>
      </c>
      <c r="Q4234" t="s">
        <v>8812</v>
      </c>
    </row>
    <row r="4235" spans="1:17" x14ac:dyDescent="0.3">
      <c r="A4235" t="s">
        <v>4708</v>
      </c>
      <c r="B4235" t="str">
        <f>"300456"</f>
        <v>300456</v>
      </c>
      <c r="C4235" t="s">
        <v>8813</v>
      </c>
      <c r="D4235" t="s">
        <v>4313</v>
      </c>
      <c r="P4235">
        <v>376</v>
      </c>
      <c r="Q4235" t="s">
        <v>8814</v>
      </c>
    </row>
    <row r="4236" spans="1:17" x14ac:dyDescent="0.3">
      <c r="A4236" t="s">
        <v>4708</v>
      </c>
      <c r="B4236" t="str">
        <f>"300457"</f>
        <v>300457</v>
      </c>
      <c r="C4236" t="s">
        <v>8815</v>
      </c>
      <c r="D4236" t="s">
        <v>3761</v>
      </c>
      <c r="P4236">
        <v>359</v>
      </c>
      <c r="Q4236" t="s">
        <v>8816</v>
      </c>
    </row>
    <row r="4237" spans="1:17" x14ac:dyDescent="0.3">
      <c r="A4237" t="s">
        <v>4708</v>
      </c>
      <c r="B4237" t="str">
        <f>"300458"</f>
        <v>300458</v>
      </c>
      <c r="C4237" t="s">
        <v>8817</v>
      </c>
      <c r="D4237" t="s">
        <v>461</v>
      </c>
      <c r="P4237">
        <v>561</v>
      </c>
      <c r="Q4237" t="s">
        <v>8818</v>
      </c>
    </row>
    <row r="4238" spans="1:17" x14ac:dyDescent="0.3">
      <c r="A4238" t="s">
        <v>4708</v>
      </c>
      <c r="B4238" t="str">
        <f>"300459"</f>
        <v>300459</v>
      </c>
      <c r="C4238" t="s">
        <v>8819</v>
      </c>
      <c r="D4238" t="s">
        <v>517</v>
      </c>
      <c r="P4238">
        <v>287</v>
      </c>
      <c r="Q4238" t="s">
        <v>8820</v>
      </c>
    </row>
    <row r="4239" spans="1:17" x14ac:dyDescent="0.3">
      <c r="A4239" t="s">
        <v>4708</v>
      </c>
      <c r="B4239" t="str">
        <f>"300460"</f>
        <v>300460</v>
      </c>
      <c r="C4239" t="s">
        <v>8821</v>
      </c>
      <c r="D4239" t="s">
        <v>546</v>
      </c>
      <c r="P4239">
        <v>154</v>
      </c>
      <c r="Q4239" t="s">
        <v>8822</v>
      </c>
    </row>
    <row r="4240" spans="1:17" x14ac:dyDescent="0.3">
      <c r="A4240" t="s">
        <v>4708</v>
      </c>
      <c r="B4240" t="str">
        <f>"300461"</f>
        <v>300461</v>
      </c>
      <c r="C4240" t="s">
        <v>8823</v>
      </c>
      <c r="D4240" t="s">
        <v>3462</v>
      </c>
      <c r="P4240">
        <v>153</v>
      </c>
      <c r="Q4240" t="s">
        <v>8824</v>
      </c>
    </row>
    <row r="4241" spans="1:17" x14ac:dyDescent="0.3">
      <c r="A4241" t="s">
        <v>4708</v>
      </c>
      <c r="B4241" t="str">
        <f>"300462"</f>
        <v>300462</v>
      </c>
      <c r="C4241" t="s">
        <v>8825</v>
      </c>
      <c r="D4241" t="s">
        <v>236</v>
      </c>
      <c r="P4241">
        <v>176</v>
      </c>
      <c r="Q4241" t="s">
        <v>8826</v>
      </c>
    </row>
    <row r="4242" spans="1:17" x14ac:dyDescent="0.3">
      <c r="A4242" t="s">
        <v>4708</v>
      </c>
      <c r="B4242" t="str">
        <f>"300463"</f>
        <v>300463</v>
      </c>
      <c r="C4242" t="s">
        <v>8827</v>
      </c>
      <c r="D4242" t="s">
        <v>1305</v>
      </c>
      <c r="P4242">
        <v>1101</v>
      </c>
      <c r="Q4242" t="s">
        <v>8828</v>
      </c>
    </row>
    <row r="4243" spans="1:17" x14ac:dyDescent="0.3">
      <c r="A4243" t="s">
        <v>4708</v>
      </c>
      <c r="B4243" t="str">
        <f>"300464"</f>
        <v>300464</v>
      </c>
      <c r="C4243" t="s">
        <v>8829</v>
      </c>
      <c r="D4243" t="s">
        <v>2016</v>
      </c>
      <c r="P4243">
        <v>121</v>
      </c>
      <c r="Q4243" t="s">
        <v>8830</v>
      </c>
    </row>
    <row r="4244" spans="1:17" x14ac:dyDescent="0.3">
      <c r="A4244" t="s">
        <v>4708</v>
      </c>
      <c r="B4244" t="str">
        <f>"300465"</f>
        <v>300465</v>
      </c>
      <c r="C4244" t="s">
        <v>8831</v>
      </c>
      <c r="D4244" t="s">
        <v>945</v>
      </c>
      <c r="P4244">
        <v>252</v>
      </c>
      <c r="Q4244" t="s">
        <v>8832</v>
      </c>
    </row>
    <row r="4245" spans="1:17" x14ac:dyDescent="0.3">
      <c r="A4245" t="s">
        <v>4708</v>
      </c>
      <c r="B4245" t="str">
        <f>"300466"</f>
        <v>300466</v>
      </c>
      <c r="C4245" t="s">
        <v>8833</v>
      </c>
      <c r="D4245" t="s">
        <v>2173</v>
      </c>
      <c r="P4245">
        <v>121</v>
      </c>
      <c r="Q4245" t="s">
        <v>8834</v>
      </c>
    </row>
    <row r="4246" spans="1:17" x14ac:dyDescent="0.3">
      <c r="A4246" t="s">
        <v>4708</v>
      </c>
      <c r="B4246" t="str">
        <f>"300467"</f>
        <v>300467</v>
      </c>
      <c r="C4246" t="s">
        <v>8835</v>
      </c>
      <c r="D4246" t="s">
        <v>517</v>
      </c>
      <c r="P4246">
        <v>187</v>
      </c>
      <c r="Q4246" t="s">
        <v>8836</v>
      </c>
    </row>
    <row r="4247" spans="1:17" x14ac:dyDescent="0.3">
      <c r="A4247" t="s">
        <v>4708</v>
      </c>
      <c r="B4247" t="str">
        <f>"300468"</f>
        <v>300468</v>
      </c>
      <c r="C4247" t="s">
        <v>8837</v>
      </c>
      <c r="D4247" t="s">
        <v>945</v>
      </c>
      <c r="P4247">
        <v>213</v>
      </c>
      <c r="Q4247" t="s">
        <v>8838</v>
      </c>
    </row>
    <row r="4248" spans="1:17" x14ac:dyDescent="0.3">
      <c r="A4248" t="s">
        <v>4708</v>
      </c>
      <c r="B4248" t="str">
        <f>"300469"</f>
        <v>300469</v>
      </c>
      <c r="C4248" t="s">
        <v>8839</v>
      </c>
      <c r="D4248" t="s">
        <v>945</v>
      </c>
      <c r="P4248">
        <v>96</v>
      </c>
      <c r="Q4248" t="s">
        <v>8840</v>
      </c>
    </row>
    <row r="4249" spans="1:17" x14ac:dyDescent="0.3">
      <c r="A4249" t="s">
        <v>4708</v>
      </c>
      <c r="B4249" t="str">
        <f>"300470"</f>
        <v>300470</v>
      </c>
      <c r="C4249" t="s">
        <v>8841</v>
      </c>
      <c r="D4249" t="s">
        <v>560</v>
      </c>
      <c r="P4249">
        <v>347</v>
      </c>
      <c r="Q4249" t="s">
        <v>8842</v>
      </c>
    </row>
    <row r="4250" spans="1:17" x14ac:dyDescent="0.3">
      <c r="A4250" t="s">
        <v>4708</v>
      </c>
      <c r="B4250" t="str">
        <f>"300471"</f>
        <v>300471</v>
      </c>
      <c r="C4250" t="s">
        <v>8843</v>
      </c>
      <c r="D4250" t="s">
        <v>741</v>
      </c>
      <c r="P4250">
        <v>166</v>
      </c>
      <c r="Q4250" t="s">
        <v>8844</v>
      </c>
    </row>
    <row r="4251" spans="1:17" x14ac:dyDescent="0.3">
      <c r="A4251" t="s">
        <v>4708</v>
      </c>
      <c r="B4251" t="str">
        <f>"300472"</f>
        <v>300472</v>
      </c>
      <c r="C4251" t="s">
        <v>8845</v>
      </c>
      <c r="D4251" t="s">
        <v>741</v>
      </c>
      <c r="P4251">
        <v>78</v>
      </c>
      <c r="Q4251" t="s">
        <v>8846</v>
      </c>
    </row>
    <row r="4252" spans="1:17" x14ac:dyDescent="0.3">
      <c r="A4252" t="s">
        <v>4708</v>
      </c>
      <c r="B4252" t="str">
        <f>"300473"</f>
        <v>300473</v>
      </c>
      <c r="C4252" t="s">
        <v>8847</v>
      </c>
      <c r="D4252" t="s">
        <v>985</v>
      </c>
      <c r="P4252">
        <v>142</v>
      </c>
      <c r="Q4252" t="s">
        <v>8848</v>
      </c>
    </row>
    <row r="4253" spans="1:17" x14ac:dyDescent="0.3">
      <c r="A4253" t="s">
        <v>4708</v>
      </c>
      <c r="B4253" t="str">
        <f>"300474"</f>
        <v>300474</v>
      </c>
      <c r="C4253" t="s">
        <v>8849</v>
      </c>
      <c r="D4253" t="s">
        <v>1136</v>
      </c>
      <c r="P4253">
        <v>513</v>
      </c>
      <c r="Q4253" t="s">
        <v>8850</v>
      </c>
    </row>
    <row r="4254" spans="1:17" x14ac:dyDescent="0.3">
      <c r="A4254" t="s">
        <v>4708</v>
      </c>
      <c r="B4254" t="str">
        <f>"300475"</f>
        <v>300475</v>
      </c>
      <c r="C4254" t="s">
        <v>8851</v>
      </c>
      <c r="D4254" t="s">
        <v>1253</v>
      </c>
      <c r="P4254">
        <v>92</v>
      </c>
      <c r="Q4254" t="s">
        <v>8852</v>
      </c>
    </row>
    <row r="4255" spans="1:17" x14ac:dyDescent="0.3">
      <c r="A4255" t="s">
        <v>4708</v>
      </c>
      <c r="B4255" t="str">
        <f>"300476"</f>
        <v>300476</v>
      </c>
      <c r="C4255" t="s">
        <v>8853</v>
      </c>
      <c r="D4255" t="s">
        <v>425</v>
      </c>
      <c r="P4255">
        <v>633</v>
      </c>
      <c r="Q4255" t="s">
        <v>8854</v>
      </c>
    </row>
    <row r="4256" spans="1:17" x14ac:dyDescent="0.3">
      <c r="A4256" t="s">
        <v>4708</v>
      </c>
      <c r="B4256" t="str">
        <f>"300477"</f>
        <v>300477</v>
      </c>
      <c r="C4256" t="s">
        <v>8855</v>
      </c>
      <c r="D4256" t="s">
        <v>210</v>
      </c>
      <c r="P4256">
        <v>100</v>
      </c>
      <c r="Q4256" t="s">
        <v>8856</v>
      </c>
    </row>
    <row r="4257" spans="1:17" x14ac:dyDescent="0.3">
      <c r="A4257" t="s">
        <v>4708</v>
      </c>
      <c r="B4257" t="str">
        <f>"300478"</f>
        <v>300478</v>
      </c>
      <c r="C4257" t="s">
        <v>8857</v>
      </c>
      <c r="D4257" t="s">
        <v>341</v>
      </c>
      <c r="P4257">
        <v>58</v>
      </c>
      <c r="Q4257" t="s">
        <v>8858</v>
      </c>
    </row>
    <row r="4258" spans="1:17" x14ac:dyDescent="0.3">
      <c r="A4258" t="s">
        <v>4708</v>
      </c>
      <c r="B4258" t="str">
        <f>"300479"</f>
        <v>300479</v>
      </c>
      <c r="C4258" t="s">
        <v>8859</v>
      </c>
      <c r="D4258" t="s">
        <v>236</v>
      </c>
      <c r="P4258">
        <v>167</v>
      </c>
      <c r="Q4258" t="s">
        <v>8860</v>
      </c>
    </row>
    <row r="4259" spans="1:17" x14ac:dyDescent="0.3">
      <c r="A4259" t="s">
        <v>4708</v>
      </c>
      <c r="B4259" t="str">
        <f>"300480"</f>
        <v>300480</v>
      </c>
      <c r="C4259" t="s">
        <v>8861</v>
      </c>
      <c r="D4259" t="s">
        <v>395</v>
      </c>
      <c r="P4259">
        <v>84</v>
      </c>
      <c r="Q4259" t="s">
        <v>8862</v>
      </c>
    </row>
    <row r="4260" spans="1:17" x14ac:dyDescent="0.3">
      <c r="A4260" t="s">
        <v>4708</v>
      </c>
      <c r="B4260" t="str">
        <f>"300481"</f>
        <v>300481</v>
      </c>
      <c r="C4260" t="s">
        <v>8863</v>
      </c>
      <c r="D4260" t="s">
        <v>2401</v>
      </c>
      <c r="P4260">
        <v>352</v>
      </c>
      <c r="Q4260" t="s">
        <v>8864</v>
      </c>
    </row>
    <row r="4261" spans="1:17" x14ac:dyDescent="0.3">
      <c r="A4261" t="s">
        <v>4708</v>
      </c>
      <c r="B4261" t="str">
        <f>"300482"</f>
        <v>300482</v>
      </c>
      <c r="C4261" t="s">
        <v>8865</v>
      </c>
      <c r="D4261" t="s">
        <v>1305</v>
      </c>
      <c r="P4261">
        <v>17071</v>
      </c>
      <c r="Q4261" t="s">
        <v>8866</v>
      </c>
    </row>
    <row r="4262" spans="1:17" x14ac:dyDescent="0.3">
      <c r="A4262" t="s">
        <v>4708</v>
      </c>
      <c r="B4262" t="str">
        <f>"300483"</f>
        <v>300483</v>
      </c>
      <c r="C4262" t="s">
        <v>8867</v>
      </c>
      <c r="D4262" t="s">
        <v>749</v>
      </c>
      <c r="P4262">
        <v>140</v>
      </c>
      <c r="Q4262" t="s">
        <v>8868</v>
      </c>
    </row>
    <row r="4263" spans="1:17" x14ac:dyDescent="0.3">
      <c r="A4263" t="s">
        <v>4708</v>
      </c>
      <c r="B4263" t="str">
        <f>"300484"</f>
        <v>300484</v>
      </c>
      <c r="C4263" t="s">
        <v>8869</v>
      </c>
      <c r="D4263" t="s">
        <v>2425</v>
      </c>
      <c r="P4263">
        <v>219</v>
      </c>
      <c r="Q4263" t="s">
        <v>8870</v>
      </c>
    </row>
    <row r="4264" spans="1:17" x14ac:dyDescent="0.3">
      <c r="A4264" t="s">
        <v>4708</v>
      </c>
      <c r="B4264" t="str">
        <f>"300485"</f>
        <v>300485</v>
      </c>
      <c r="C4264" t="s">
        <v>8871</v>
      </c>
      <c r="D4264" t="s">
        <v>1379</v>
      </c>
      <c r="P4264">
        <v>196</v>
      </c>
      <c r="Q4264" t="s">
        <v>8872</v>
      </c>
    </row>
    <row r="4265" spans="1:17" x14ac:dyDescent="0.3">
      <c r="A4265" t="s">
        <v>4708</v>
      </c>
      <c r="B4265" t="str">
        <f>"300486"</f>
        <v>300486</v>
      </c>
      <c r="C4265" t="s">
        <v>8873</v>
      </c>
      <c r="D4265" t="s">
        <v>3462</v>
      </c>
      <c r="P4265">
        <v>74</v>
      </c>
      <c r="Q4265" t="s">
        <v>8874</v>
      </c>
    </row>
    <row r="4266" spans="1:17" x14ac:dyDescent="0.3">
      <c r="A4266" t="s">
        <v>4708</v>
      </c>
      <c r="B4266" t="str">
        <f>"300487"</f>
        <v>300487</v>
      </c>
      <c r="C4266" t="s">
        <v>8875</v>
      </c>
      <c r="D4266" t="s">
        <v>3362</v>
      </c>
      <c r="P4266">
        <v>374</v>
      </c>
      <c r="Q4266" t="s">
        <v>8876</v>
      </c>
    </row>
    <row r="4267" spans="1:17" x14ac:dyDescent="0.3">
      <c r="A4267" t="s">
        <v>4708</v>
      </c>
      <c r="B4267" t="str">
        <f>"300488"</f>
        <v>300488</v>
      </c>
      <c r="C4267" t="s">
        <v>8877</v>
      </c>
      <c r="D4267" t="s">
        <v>274</v>
      </c>
      <c r="P4267">
        <v>120</v>
      </c>
      <c r="Q4267" t="s">
        <v>8878</v>
      </c>
    </row>
    <row r="4268" spans="1:17" x14ac:dyDescent="0.3">
      <c r="A4268" t="s">
        <v>4708</v>
      </c>
      <c r="B4268" t="str">
        <f>"300489"</f>
        <v>300489</v>
      </c>
      <c r="C4268" t="s">
        <v>8879</v>
      </c>
      <c r="D4268" t="s">
        <v>504</v>
      </c>
      <c r="P4268">
        <v>71</v>
      </c>
      <c r="Q4268" t="s">
        <v>8880</v>
      </c>
    </row>
    <row r="4269" spans="1:17" x14ac:dyDescent="0.3">
      <c r="A4269" t="s">
        <v>4708</v>
      </c>
      <c r="B4269" t="str">
        <f>"300490"</f>
        <v>300490</v>
      </c>
      <c r="C4269" t="s">
        <v>8881</v>
      </c>
      <c r="D4269" t="s">
        <v>610</v>
      </c>
      <c r="P4269">
        <v>161</v>
      </c>
      <c r="Q4269" t="s">
        <v>8882</v>
      </c>
    </row>
    <row r="4270" spans="1:17" x14ac:dyDescent="0.3">
      <c r="A4270" t="s">
        <v>4708</v>
      </c>
      <c r="B4270" t="str">
        <f>"300491"</f>
        <v>300491</v>
      </c>
      <c r="C4270" t="s">
        <v>8883</v>
      </c>
      <c r="D4270" t="s">
        <v>880</v>
      </c>
      <c r="P4270">
        <v>94</v>
      </c>
      <c r="Q4270" t="s">
        <v>8884</v>
      </c>
    </row>
    <row r="4271" spans="1:17" x14ac:dyDescent="0.3">
      <c r="A4271" t="s">
        <v>4708</v>
      </c>
      <c r="B4271" t="str">
        <f>"300492"</f>
        <v>300492</v>
      </c>
      <c r="C4271" t="s">
        <v>8885</v>
      </c>
      <c r="D4271" t="s">
        <v>1272</v>
      </c>
      <c r="P4271">
        <v>94</v>
      </c>
      <c r="Q4271" t="s">
        <v>8886</v>
      </c>
    </row>
    <row r="4272" spans="1:17" x14ac:dyDescent="0.3">
      <c r="A4272" t="s">
        <v>4708</v>
      </c>
      <c r="B4272" t="str">
        <f>"300493"</f>
        <v>300493</v>
      </c>
      <c r="C4272" t="s">
        <v>8887</v>
      </c>
      <c r="D4272" t="s">
        <v>651</v>
      </c>
      <c r="P4272">
        <v>187</v>
      </c>
      <c r="Q4272" t="s">
        <v>8888</v>
      </c>
    </row>
    <row r="4273" spans="1:17" x14ac:dyDescent="0.3">
      <c r="A4273" t="s">
        <v>4708</v>
      </c>
      <c r="B4273" t="str">
        <f>"300494"</f>
        <v>300494</v>
      </c>
      <c r="C4273" t="s">
        <v>8889</v>
      </c>
      <c r="D4273" t="s">
        <v>517</v>
      </c>
      <c r="P4273">
        <v>134</v>
      </c>
      <c r="Q4273" t="s">
        <v>8890</v>
      </c>
    </row>
    <row r="4274" spans="1:17" x14ac:dyDescent="0.3">
      <c r="A4274" t="s">
        <v>4708</v>
      </c>
      <c r="B4274" t="str">
        <f>"300495"</f>
        <v>300495</v>
      </c>
      <c r="C4274" t="s">
        <v>8891</v>
      </c>
      <c r="D4274" t="s">
        <v>2410</v>
      </c>
      <c r="P4274">
        <v>103</v>
      </c>
      <c r="Q4274" t="s">
        <v>8892</v>
      </c>
    </row>
    <row r="4275" spans="1:17" x14ac:dyDescent="0.3">
      <c r="A4275" t="s">
        <v>4708</v>
      </c>
      <c r="B4275" t="str">
        <f>"300496"</f>
        <v>300496</v>
      </c>
      <c r="C4275" t="s">
        <v>8893</v>
      </c>
      <c r="D4275" t="s">
        <v>316</v>
      </c>
      <c r="P4275">
        <v>1141</v>
      </c>
      <c r="Q4275" t="s">
        <v>8894</v>
      </c>
    </row>
    <row r="4276" spans="1:17" x14ac:dyDescent="0.3">
      <c r="A4276" t="s">
        <v>4708</v>
      </c>
      <c r="B4276" t="str">
        <f>"300497"</f>
        <v>300497</v>
      </c>
      <c r="C4276" t="s">
        <v>8895</v>
      </c>
      <c r="D4276" t="s">
        <v>496</v>
      </c>
      <c r="P4276">
        <v>4722</v>
      </c>
      <c r="Q4276" t="s">
        <v>8896</v>
      </c>
    </row>
    <row r="4277" spans="1:17" x14ac:dyDescent="0.3">
      <c r="A4277" t="s">
        <v>4708</v>
      </c>
      <c r="B4277" t="str">
        <f>"300498"</f>
        <v>300498</v>
      </c>
      <c r="C4277" t="s">
        <v>8897</v>
      </c>
      <c r="D4277" t="s">
        <v>1896</v>
      </c>
      <c r="P4277">
        <v>2457</v>
      </c>
      <c r="Q4277" t="s">
        <v>8898</v>
      </c>
    </row>
    <row r="4278" spans="1:17" x14ac:dyDescent="0.3">
      <c r="A4278" t="s">
        <v>4708</v>
      </c>
      <c r="B4278" t="str">
        <f>"300499"</f>
        <v>300499</v>
      </c>
      <c r="C4278" t="s">
        <v>8899</v>
      </c>
      <c r="D4278" t="s">
        <v>741</v>
      </c>
      <c r="P4278">
        <v>135</v>
      </c>
      <c r="Q4278" t="s">
        <v>8900</v>
      </c>
    </row>
    <row r="4279" spans="1:17" x14ac:dyDescent="0.3">
      <c r="A4279" t="s">
        <v>4708</v>
      </c>
      <c r="B4279" t="str">
        <f>"300500"</f>
        <v>300500</v>
      </c>
      <c r="C4279" t="s">
        <v>8901</v>
      </c>
      <c r="D4279" t="s">
        <v>1272</v>
      </c>
      <c r="P4279">
        <v>100</v>
      </c>
      <c r="Q4279" t="s">
        <v>8902</v>
      </c>
    </row>
    <row r="4280" spans="1:17" x14ac:dyDescent="0.3">
      <c r="A4280" t="s">
        <v>4708</v>
      </c>
      <c r="B4280" t="str">
        <f>"300501"</f>
        <v>300501</v>
      </c>
      <c r="C4280" t="s">
        <v>8903</v>
      </c>
      <c r="D4280" t="s">
        <v>2441</v>
      </c>
      <c r="P4280">
        <v>131</v>
      </c>
      <c r="Q4280" t="s">
        <v>8904</v>
      </c>
    </row>
    <row r="4281" spans="1:17" x14ac:dyDescent="0.3">
      <c r="A4281" t="s">
        <v>4708</v>
      </c>
      <c r="B4281" t="str">
        <f>"300502"</f>
        <v>300502</v>
      </c>
      <c r="C4281" t="s">
        <v>8905</v>
      </c>
      <c r="D4281" t="s">
        <v>1019</v>
      </c>
      <c r="P4281">
        <v>636</v>
      </c>
      <c r="Q4281" t="s">
        <v>8906</v>
      </c>
    </row>
    <row r="4282" spans="1:17" x14ac:dyDescent="0.3">
      <c r="A4282" t="s">
        <v>4708</v>
      </c>
      <c r="B4282" t="str">
        <f>"300503"</f>
        <v>300503</v>
      </c>
      <c r="C4282" t="s">
        <v>8907</v>
      </c>
      <c r="D4282" t="s">
        <v>560</v>
      </c>
      <c r="P4282">
        <v>136</v>
      </c>
      <c r="Q4282" t="s">
        <v>8908</v>
      </c>
    </row>
    <row r="4283" spans="1:17" x14ac:dyDescent="0.3">
      <c r="A4283" t="s">
        <v>4708</v>
      </c>
      <c r="B4283" t="str">
        <f>"300504"</f>
        <v>300504</v>
      </c>
      <c r="C4283" t="s">
        <v>8909</v>
      </c>
      <c r="D4283" t="s">
        <v>786</v>
      </c>
      <c r="P4283">
        <v>176</v>
      </c>
      <c r="Q4283" t="s">
        <v>8910</v>
      </c>
    </row>
    <row r="4284" spans="1:17" x14ac:dyDescent="0.3">
      <c r="A4284" t="s">
        <v>4708</v>
      </c>
      <c r="B4284" t="str">
        <f>"300505"</f>
        <v>300505</v>
      </c>
      <c r="C4284" t="s">
        <v>8911</v>
      </c>
      <c r="D4284" t="s">
        <v>183</v>
      </c>
      <c r="P4284">
        <v>97</v>
      </c>
      <c r="Q4284" t="s">
        <v>8912</v>
      </c>
    </row>
    <row r="4285" spans="1:17" x14ac:dyDescent="0.3">
      <c r="A4285" t="s">
        <v>4708</v>
      </c>
      <c r="B4285" t="str">
        <f>"300506"</f>
        <v>300506</v>
      </c>
      <c r="C4285" t="s">
        <v>8913</v>
      </c>
      <c r="D4285" t="s">
        <v>450</v>
      </c>
      <c r="P4285">
        <v>294</v>
      </c>
      <c r="Q4285" t="s">
        <v>8914</v>
      </c>
    </row>
    <row r="4286" spans="1:17" x14ac:dyDescent="0.3">
      <c r="A4286" t="s">
        <v>4708</v>
      </c>
      <c r="B4286" t="str">
        <f>"300507"</f>
        <v>300507</v>
      </c>
      <c r="C4286" t="s">
        <v>8915</v>
      </c>
      <c r="D4286" t="s">
        <v>348</v>
      </c>
      <c r="P4286">
        <v>137</v>
      </c>
      <c r="Q4286" t="s">
        <v>8916</v>
      </c>
    </row>
    <row r="4287" spans="1:17" x14ac:dyDescent="0.3">
      <c r="A4287" t="s">
        <v>4708</v>
      </c>
      <c r="B4287" t="str">
        <f>"300508"</f>
        <v>300508</v>
      </c>
      <c r="C4287" t="s">
        <v>8917</v>
      </c>
      <c r="D4287" t="s">
        <v>236</v>
      </c>
      <c r="P4287">
        <v>130</v>
      </c>
      <c r="Q4287" t="s">
        <v>8918</v>
      </c>
    </row>
    <row r="4288" spans="1:17" x14ac:dyDescent="0.3">
      <c r="A4288" t="s">
        <v>4708</v>
      </c>
      <c r="B4288" t="str">
        <f>"300509"</f>
        <v>300509</v>
      </c>
      <c r="C4288" t="s">
        <v>8919</v>
      </c>
      <c r="D4288" t="s">
        <v>3400</v>
      </c>
      <c r="P4288">
        <v>64</v>
      </c>
      <c r="Q4288" t="s">
        <v>8920</v>
      </c>
    </row>
    <row r="4289" spans="1:17" x14ac:dyDescent="0.3">
      <c r="A4289" t="s">
        <v>4708</v>
      </c>
      <c r="B4289" t="str">
        <f>"300510"</f>
        <v>300510</v>
      </c>
      <c r="C4289" t="s">
        <v>8921</v>
      </c>
      <c r="D4289" t="s">
        <v>610</v>
      </c>
      <c r="P4289">
        <v>115</v>
      </c>
      <c r="Q4289" t="s">
        <v>8922</v>
      </c>
    </row>
    <row r="4290" spans="1:17" x14ac:dyDescent="0.3">
      <c r="A4290" t="s">
        <v>4708</v>
      </c>
      <c r="B4290" t="str">
        <f>"300511"</f>
        <v>300511</v>
      </c>
      <c r="C4290" t="s">
        <v>8923</v>
      </c>
      <c r="D4290" t="s">
        <v>7291</v>
      </c>
      <c r="P4290">
        <v>301</v>
      </c>
      <c r="Q4290" t="s">
        <v>8924</v>
      </c>
    </row>
    <row r="4291" spans="1:17" x14ac:dyDescent="0.3">
      <c r="A4291" t="s">
        <v>4708</v>
      </c>
      <c r="B4291" t="str">
        <f>"300512"</f>
        <v>300512</v>
      </c>
      <c r="C4291" t="s">
        <v>8925</v>
      </c>
      <c r="D4291" t="s">
        <v>3400</v>
      </c>
      <c r="P4291">
        <v>161</v>
      </c>
      <c r="Q4291" t="s">
        <v>8926</v>
      </c>
    </row>
    <row r="4292" spans="1:17" x14ac:dyDescent="0.3">
      <c r="A4292" t="s">
        <v>4708</v>
      </c>
      <c r="B4292" t="str">
        <f>"300513"</f>
        <v>300513</v>
      </c>
      <c r="C4292" t="s">
        <v>8927</v>
      </c>
      <c r="D4292" t="s">
        <v>654</v>
      </c>
      <c r="P4292">
        <v>160</v>
      </c>
      <c r="Q4292" t="s">
        <v>8928</v>
      </c>
    </row>
    <row r="4293" spans="1:17" x14ac:dyDescent="0.3">
      <c r="A4293" t="s">
        <v>4708</v>
      </c>
      <c r="B4293" t="str">
        <f>"300514"</f>
        <v>300514</v>
      </c>
      <c r="C4293" t="s">
        <v>8929</v>
      </c>
      <c r="D4293" t="s">
        <v>2173</v>
      </c>
      <c r="P4293">
        <v>148</v>
      </c>
      <c r="Q4293" t="s">
        <v>8930</v>
      </c>
    </row>
    <row r="4294" spans="1:17" x14ac:dyDescent="0.3">
      <c r="A4294" t="s">
        <v>4708</v>
      </c>
      <c r="B4294" t="str">
        <f>"300515"</f>
        <v>300515</v>
      </c>
      <c r="C4294" t="s">
        <v>8931</v>
      </c>
      <c r="D4294" t="s">
        <v>2557</v>
      </c>
      <c r="P4294">
        <v>80</v>
      </c>
      <c r="Q4294" t="s">
        <v>8932</v>
      </c>
    </row>
    <row r="4295" spans="1:17" x14ac:dyDescent="0.3">
      <c r="A4295" t="s">
        <v>4708</v>
      </c>
      <c r="B4295" t="str">
        <f>"300516"</f>
        <v>300516</v>
      </c>
      <c r="C4295" t="s">
        <v>8933</v>
      </c>
      <c r="D4295" t="s">
        <v>651</v>
      </c>
      <c r="P4295">
        <v>118</v>
      </c>
      <c r="Q4295" t="s">
        <v>8934</v>
      </c>
    </row>
    <row r="4296" spans="1:17" x14ac:dyDescent="0.3">
      <c r="A4296" t="s">
        <v>4708</v>
      </c>
      <c r="B4296" t="str">
        <f>"300517"</f>
        <v>300517</v>
      </c>
      <c r="C4296" t="s">
        <v>8935</v>
      </c>
      <c r="D4296" t="s">
        <v>978</v>
      </c>
      <c r="P4296">
        <v>76</v>
      </c>
      <c r="Q4296" t="s">
        <v>8936</v>
      </c>
    </row>
    <row r="4297" spans="1:17" x14ac:dyDescent="0.3">
      <c r="A4297" t="s">
        <v>4708</v>
      </c>
      <c r="B4297" t="str">
        <f>"300518"</f>
        <v>300518</v>
      </c>
      <c r="C4297" t="s">
        <v>8937</v>
      </c>
      <c r="D4297" t="s">
        <v>517</v>
      </c>
      <c r="P4297">
        <v>91</v>
      </c>
      <c r="Q4297" t="s">
        <v>8938</v>
      </c>
    </row>
    <row r="4298" spans="1:17" x14ac:dyDescent="0.3">
      <c r="A4298" t="s">
        <v>4708</v>
      </c>
      <c r="B4298" t="str">
        <f>"300519"</f>
        <v>300519</v>
      </c>
      <c r="C4298" t="s">
        <v>8939</v>
      </c>
      <c r="D4298" t="s">
        <v>188</v>
      </c>
      <c r="P4298">
        <v>251</v>
      </c>
      <c r="Q4298" t="s">
        <v>8940</v>
      </c>
    </row>
    <row r="4299" spans="1:17" x14ac:dyDescent="0.3">
      <c r="A4299" t="s">
        <v>4708</v>
      </c>
      <c r="B4299" t="str">
        <f>"300520"</f>
        <v>300520</v>
      </c>
      <c r="C4299" t="s">
        <v>8941</v>
      </c>
      <c r="D4299" t="s">
        <v>945</v>
      </c>
      <c r="P4299">
        <v>255</v>
      </c>
      <c r="Q4299" t="s">
        <v>8942</v>
      </c>
    </row>
    <row r="4300" spans="1:17" x14ac:dyDescent="0.3">
      <c r="A4300" t="s">
        <v>4708</v>
      </c>
      <c r="B4300" t="str">
        <f>"300521"</f>
        <v>300521</v>
      </c>
      <c r="C4300" t="s">
        <v>8943</v>
      </c>
      <c r="D4300" t="s">
        <v>3400</v>
      </c>
      <c r="P4300">
        <v>57</v>
      </c>
      <c r="Q4300" t="s">
        <v>8944</v>
      </c>
    </row>
    <row r="4301" spans="1:17" x14ac:dyDescent="0.3">
      <c r="A4301" t="s">
        <v>4708</v>
      </c>
      <c r="B4301" t="str">
        <f>"300522"</f>
        <v>300522</v>
      </c>
      <c r="C4301" t="s">
        <v>8945</v>
      </c>
      <c r="D4301" t="s">
        <v>2576</v>
      </c>
      <c r="P4301">
        <v>99</v>
      </c>
      <c r="Q4301" t="s">
        <v>8946</v>
      </c>
    </row>
    <row r="4302" spans="1:17" x14ac:dyDescent="0.3">
      <c r="A4302" t="s">
        <v>4708</v>
      </c>
      <c r="B4302" t="str">
        <f>"300523"</f>
        <v>300523</v>
      </c>
      <c r="C4302" t="s">
        <v>8947</v>
      </c>
      <c r="D4302" t="s">
        <v>316</v>
      </c>
      <c r="P4302">
        <v>135</v>
      </c>
      <c r="Q4302" t="s">
        <v>8948</v>
      </c>
    </row>
    <row r="4303" spans="1:17" x14ac:dyDescent="0.3">
      <c r="A4303" t="s">
        <v>4708</v>
      </c>
      <c r="B4303" t="str">
        <f>"300525"</f>
        <v>300525</v>
      </c>
      <c r="C4303" t="s">
        <v>8949</v>
      </c>
      <c r="D4303" t="s">
        <v>945</v>
      </c>
      <c r="P4303">
        <v>241</v>
      </c>
      <c r="Q4303" t="s">
        <v>8950</v>
      </c>
    </row>
    <row r="4304" spans="1:17" x14ac:dyDescent="0.3">
      <c r="A4304" t="s">
        <v>4708</v>
      </c>
      <c r="B4304" t="str">
        <f>"300526"</f>
        <v>300526</v>
      </c>
      <c r="C4304" t="s">
        <v>8951</v>
      </c>
      <c r="D4304" t="s">
        <v>330</v>
      </c>
      <c r="P4304">
        <v>104</v>
      </c>
      <c r="Q4304" t="s">
        <v>8952</v>
      </c>
    </row>
    <row r="4305" spans="1:17" x14ac:dyDescent="0.3">
      <c r="A4305" t="s">
        <v>4708</v>
      </c>
      <c r="B4305" t="str">
        <f>"300527"</f>
        <v>300527</v>
      </c>
      <c r="C4305" t="s">
        <v>8953</v>
      </c>
      <c r="D4305" t="s">
        <v>428</v>
      </c>
      <c r="P4305">
        <v>144</v>
      </c>
      <c r="Q4305" t="s">
        <v>8954</v>
      </c>
    </row>
    <row r="4306" spans="1:17" x14ac:dyDescent="0.3">
      <c r="A4306" t="s">
        <v>4708</v>
      </c>
      <c r="B4306" t="str">
        <f>"300528"</f>
        <v>300528</v>
      </c>
      <c r="C4306" t="s">
        <v>8955</v>
      </c>
      <c r="D4306" t="s">
        <v>2564</v>
      </c>
      <c r="P4306">
        <v>81</v>
      </c>
      <c r="Q4306" t="s">
        <v>8956</v>
      </c>
    </row>
    <row r="4307" spans="1:17" x14ac:dyDescent="0.3">
      <c r="A4307" t="s">
        <v>4708</v>
      </c>
      <c r="B4307" t="str">
        <f>"300529"</f>
        <v>300529</v>
      </c>
      <c r="C4307" t="s">
        <v>8957</v>
      </c>
      <c r="D4307" t="s">
        <v>1077</v>
      </c>
      <c r="P4307">
        <v>5945</v>
      </c>
      <c r="Q4307" t="s">
        <v>8958</v>
      </c>
    </row>
    <row r="4308" spans="1:17" x14ac:dyDescent="0.3">
      <c r="A4308" t="s">
        <v>4708</v>
      </c>
      <c r="B4308" t="str">
        <f>"300530"</f>
        <v>300530</v>
      </c>
      <c r="C4308" t="s">
        <v>8959</v>
      </c>
      <c r="D4308" t="s">
        <v>386</v>
      </c>
      <c r="P4308">
        <v>64</v>
      </c>
      <c r="Q4308" t="s">
        <v>8960</v>
      </c>
    </row>
    <row r="4309" spans="1:17" x14ac:dyDescent="0.3">
      <c r="A4309" t="s">
        <v>4708</v>
      </c>
      <c r="B4309" t="str">
        <f>"300531"</f>
        <v>300531</v>
      </c>
      <c r="C4309" t="s">
        <v>8961</v>
      </c>
      <c r="D4309" t="s">
        <v>236</v>
      </c>
      <c r="P4309">
        <v>173</v>
      </c>
      <c r="Q4309" t="s">
        <v>8962</v>
      </c>
    </row>
    <row r="4310" spans="1:17" x14ac:dyDescent="0.3">
      <c r="A4310" t="s">
        <v>4708</v>
      </c>
      <c r="B4310" t="str">
        <f>"300532"</f>
        <v>300532</v>
      </c>
      <c r="C4310" t="s">
        <v>8963</v>
      </c>
      <c r="D4310" t="s">
        <v>316</v>
      </c>
      <c r="P4310">
        <v>220</v>
      </c>
      <c r="Q4310" t="s">
        <v>8964</v>
      </c>
    </row>
    <row r="4311" spans="1:17" x14ac:dyDescent="0.3">
      <c r="A4311" t="s">
        <v>4708</v>
      </c>
      <c r="B4311" t="str">
        <f>"300533"</f>
        <v>300533</v>
      </c>
      <c r="C4311" t="s">
        <v>8965</v>
      </c>
      <c r="D4311" t="s">
        <v>517</v>
      </c>
      <c r="P4311">
        <v>131</v>
      </c>
      <c r="Q4311" t="s">
        <v>8966</v>
      </c>
    </row>
    <row r="4312" spans="1:17" x14ac:dyDescent="0.3">
      <c r="A4312" t="s">
        <v>4708</v>
      </c>
      <c r="B4312" t="str">
        <f>"300534"</f>
        <v>300534</v>
      </c>
      <c r="C4312" t="s">
        <v>8967</v>
      </c>
      <c r="D4312" t="s">
        <v>188</v>
      </c>
      <c r="P4312">
        <v>109</v>
      </c>
      <c r="Q4312" t="s">
        <v>8968</v>
      </c>
    </row>
    <row r="4313" spans="1:17" x14ac:dyDescent="0.3">
      <c r="A4313" t="s">
        <v>4708</v>
      </c>
      <c r="B4313" t="str">
        <f>"300535"</f>
        <v>300535</v>
      </c>
      <c r="C4313" t="s">
        <v>8969</v>
      </c>
      <c r="D4313" t="s">
        <v>386</v>
      </c>
      <c r="P4313">
        <v>73</v>
      </c>
      <c r="Q4313" t="s">
        <v>8970</v>
      </c>
    </row>
    <row r="4314" spans="1:17" x14ac:dyDescent="0.3">
      <c r="A4314" t="s">
        <v>4708</v>
      </c>
      <c r="B4314" t="str">
        <f>"300536"</f>
        <v>300536</v>
      </c>
      <c r="C4314" t="s">
        <v>8971</v>
      </c>
      <c r="D4314" t="s">
        <v>2410</v>
      </c>
      <c r="P4314">
        <v>63</v>
      </c>
      <c r="Q4314" t="s">
        <v>8972</v>
      </c>
    </row>
    <row r="4315" spans="1:17" x14ac:dyDescent="0.3">
      <c r="A4315" t="s">
        <v>4708</v>
      </c>
      <c r="B4315" t="str">
        <f>"300537"</f>
        <v>300537</v>
      </c>
      <c r="C4315" t="s">
        <v>8973</v>
      </c>
      <c r="D4315" t="s">
        <v>2401</v>
      </c>
      <c r="P4315">
        <v>225</v>
      </c>
      <c r="Q4315" t="s">
        <v>8974</v>
      </c>
    </row>
    <row r="4316" spans="1:17" x14ac:dyDescent="0.3">
      <c r="A4316" t="s">
        <v>4708</v>
      </c>
      <c r="B4316" t="str">
        <f>"300538"</f>
        <v>300538</v>
      </c>
      <c r="C4316" t="s">
        <v>8975</v>
      </c>
      <c r="D4316" t="s">
        <v>341</v>
      </c>
      <c r="P4316">
        <v>186</v>
      </c>
      <c r="Q4316" t="s">
        <v>8976</v>
      </c>
    </row>
    <row r="4317" spans="1:17" x14ac:dyDescent="0.3">
      <c r="A4317" t="s">
        <v>4708</v>
      </c>
      <c r="B4317" t="str">
        <f>"300539"</f>
        <v>300539</v>
      </c>
      <c r="C4317" t="s">
        <v>8977</v>
      </c>
      <c r="D4317" t="s">
        <v>1192</v>
      </c>
      <c r="P4317">
        <v>84</v>
      </c>
      <c r="Q4317" t="s">
        <v>8978</v>
      </c>
    </row>
    <row r="4318" spans="1:17" x14ac:dyDescent="0.3">
      <c r="A4318" t="s">
        <v>4708</v>
      </c>
      <c r="B4318" t="str">
        <f>"300540"</f>
        <v>300540</v>
      </c>
      <c r="C4318" t="s">
        <v>8979</v>
      </c>
      <c r="D4318" t="s">
        <v>741</v>
      </c>
      <c r="P4318">
        <v>65</v>
      </c>
      <c r="Q4318" t="s">
        <v>8980</v>
      </c>
    </row>
    <row r="4319" spans="1:17" x14ac:dyDescent="0.3">
      <c r="A4319" t="s">
        <v>4708</v>
      </c>
      <c r="B4319" t="str">
        <f>"300541"</f>
        <v>300541</v>
      </c>
      <c r="C4319" t="s">
        <v>8981</v>
      </c>
      <c r="D4319" t="s">
        <v>316</v>
      </c>
      <c r="P4319">
        <v>177</v>
      </c>
      <c r="Q4319" t="s">
        <v>8982</v>
      </c>
    </row>
    <row r="4320" spans="1:17" x14ac:dyDescent="0.3">
      <c r="A4320" t="s">
        <v>4708</v>
      </c>
      <c r="B4320" t="str">
        <f>"300542"</f>
        <v>300542</v>
      </c>
      <c r="C4320" t="s">
        <v>8983</v>
      </c>
      <c r="D4320" t="s">
        <v>945</v>
      </c>
      <c r="P4320">
        <v>143</v>
      </c>
      <c r="Q4320" t="s">
        <v>8984</v>
      </c>
    </row>
    <row r="4321" spans="1:17" x14ac:dyDescent="0.3">
      <c r="A4321" t="s">
        <v>4708</v>
      </c>
      <c r="B4321" t="str">
        <f>"300543"</f>
        <v>300543</v>
      </c>
      <c r="C4321" t="s">
        <v>8985</v>
      </c>
      <c r="D4321" t="s">
        <v>313</v>
      </c>
      <c r="P4321">
        <v>152</v>
      </c>
      <c r="Q4321" t="s">
        <v>8986</v>
      </c>
    </row>
    <row r="4322" spans="1:17" x14ac:dyDescent="0.3">
      <c r="A4322" t="s">
        <v>4708</v>
      </c>
      <c r="B4322" t="str">
        <f>"300545"</f>
        <v>300545</v>
      </c>
      <c r="C4322" t="s">
        <v>8987</v>
      </c>
      <c r="D4322" t="s">
        <v>1117</v>
      </c>
      <c r="P4322">
        <v>182</v>
      </c>
      <c r="Q4322" t="s">
        <v>8988</v>
      </c>
    </row>
    <row r="4323" spans="1:17" x14ac:dyDescent="0.3">
      <c r="A4323" t="s">
        <v>4708</v>
      </c>
      <c r="B4323" t="str">
        <f>"300546"</f>
        <v>300546</v>
      </c>
      <c r="C4323" t="s">
        <v>8989</v>
      </c>
      <c r="D4323" t="s">
        <v>236</v>
      </c>
      <c r="P4323">
        <v>196</v>
      </c>
      <c r="Q4323" t="s">
        <v>8990</v>
      </c>
    </row>
    <row r="4324" spans="1:17" x14ac:dyDescent="0.3">
      <c r="A4324" t="s">
        <v>4708</v>
      </c>
      <c r="B4324" t="str">
        <f>"300547"</f>
        <v>300547</v>
      </c>
      <c r="C4324" t="s">
        <v>8991</v>
      </c>
      <c r="D4324" t="s">
        <v>348</v>
      </c>
      <c r="P4324">
        <v>181</v>
      </c>
      <c r="Q4324" t="s">
        <v>8992</v>
      </c>
    </row>
    <row r="4325" spans="1:17" x14ac:dyDescent="0.3">
      <c r="A4325" t="s">
        <v>4708</v>
      </c>
      <c r="B4325" t="str">
        <f>"300548"</f>
        <v>300548</v>
      </c>
      <c r="C4325" t="s">
        <v>8993</v>
      </c>
      <c r="D4325" t="s">
        <v>1019</v>
      </c>
      <c r="P4325">
        <v>289</v>
      </c>
      <c r="Q4325" t="s">
        <v>8994</v>
      </c>
    </row>
    <row r="4326" spans="1:17" x14ac:dyDescent="0.3">
      <c r="A4326" t="s">
        <v>4708</v>
      </c>
      <c r="B4326" t="str">
        <f>"300549"</f>
        <v>300549</v>
      </c>
      <c r="C4326" t="s">
        <v>8995</v>
      </c>
      <c r="D4326" t="s">
        <v>741</v>
      </c>
      <c r="P4326">
        <v>92</v>
      </c>
      <c r="Q4326" t="s">
        <v>8996</v>
      </c>
    </row>
    <row r="4327" spans="1:17" x14ac:dyDescent="0.3">
      <c r="A4327" t="s">
        <v>4708</v>
      </c>
      <c r="B4327" t="str">
        <f>"300550"</f>
        <v>300550</v>
      </c>
      <c r="C4327" t="s">
        <v>8997</v>
      </c>
      <c r="D4327" t="s">
        <v>945</v>
      </c>
      <c r="P4327">
        <v>123</v>
      </c>
      <c r="Q4327" t="s">
        <v>8998</v>
      </c>
    </row>
    <row r="4328" spans="1:17" x14ac:dyDescent="0.3">
      <c r="A4328" t="s">
        <v>4708</v>
      </c>
      <c r="B4328" t="str">
        <f>"300551"</f>
        <v>300551</v>
      </c>
      <c r="C4328" t="s">
        <v>8999</v>
      </c>
      <c r="D4328" t="s">
        <v>236</v>
      </c>
      <c r="P4328">
        <v>89</v>
      </c>
      <c r="Q4328" t="s">
        <v>9000</v>
      </c>
    </row>
    <row r="4329" spans="1:17" x14ac:dyDescent="0.3">
      <c r="A4329" t="s">
        <v>4708</v>
      </c>
      <c r="B4329" t="str">
        <f>"300552"</f>
        <v>300552</v>
      </c>
      <c r="C4329" t="s">
        <v>9001</v>
      </c>
      <c r="D4329" t="s">
        <v>236</v>
      </c>
      <c r="P4329">
        <v>327</v>
      </c>
      <c r="Q4329" t="s">
        <v>9002</v>
      </c>
    </row>
    <row r="4330" spans="1:17" x14ac:dyDescent="0.3">
      <c r="A4330" t="s">
        <v>4708</v>
      </c>
      <c r="B4330" t="str">
        <f>"300553"</f>
        <v>300553</v>
      </c>
      <c r="C4330" t="s">
        <v>9003</v>
      </c>
      <c r="D4330" t="s">
        <v>2557</v>
      </c>
      <c r="P4330">
        <v>72</v>
      </c>
      <c r="Q4330" t="s">
        <v>9004</v>
      </c>
    </row>
    <row r="4331" spans="1:17" x14ac:dyDescent="0.3">
      <c r="A4331" t="s">
        <v>4708</v>
      </c>
      <c r="B4331" t="str">
        <f>"300554"</f>
        <v>300554</v>
      </c>
      <c r="C4331" t="s">
        <v>9005</v>
      </c>
      <c r="D4331" t="s">
        <v>404</v>
      </c>
      <c r="P4331">
        <v>123</v>
      </c>
      <c r="Q4331" t="s">
        <v>9006</v>
      </c>
    </row>
    <row r="4332" spans="1:17" x14ac:dyDescent="0.3">
      <c r="A4332" t="s">
        <v>4708</v>
      </c>
      <c r="B4332" t="str">
        <f>"300555"</f>
        <v>300555</v>
      </c>
      <c r="C4332" t="s">
        <v>9007</v>
      </c>
      <c r="D4332" t="s">
        <v>786</v>
      </c>
      <c r="P4332">
        <v>72</v>
      </c>
      <c r="Q4332" t="s">
        <v>9008</v>
      </c>
    </row>
    <row r="4333" spans="1:17" x14ac:dyDescent="0.3">
      <c r="A4333" t="s">
        <v>4708</v>
      </c>
      <c r="B4333" t="str">
        <f>"300556"</f>
        <v>300556</v>
      </c>
      <c r="C4333" t="s">
        <v>9009</v>
      </c>
      <c r="D4333" t="s">
        <v>945</v>
      </c>
      <c r="P4333">
        <v>112</v>
      </c>
      <c r="Q4333" t="s">
        <v>9010</v>
      </c>
    </row>
    <row r="4334" spans="1:17" x14ac:dyDescent="0.3">
      <c r="A4334" t="s">
        <v>4708</v>
      </c>
      <c r="B4334" t="str">
        <f>"300557"</f>
        <v>300557</v>
      </c>
      <c r="C4334" t="s">
        <v>9011</v>
      </c>
      <c r="D4334" t="s">
        <v>2557</v>
      </c>
      <c r="P4334">
        <v>61</v>
      </c>
      <c r="Q4334" t="s">
        <v>9012</v>
      </c>
    </row>
    <row r="4335" spans="1:17" x14ac:dyDescent="0.3">
      <c r="A4335" t="s">
        <v>4708</v>
      </c>
      <c r="B4335" t="str">
        <f>"300558"</f>
        <v>300558</v>
      </c>
      <c r="C4335" t="s">
        <v>9013</v>
      </c>
      <c r="D4335" t="s">
        <v>143</v>
      </c>
      <c r="P4335">
        <v>756</v>
      </c>
      <c r="Q4335" t="s">
        <v>9014</v>
      </c>
    </row>
    <row r="4336" spans="1:17" x14ac:dyDescent="0.3">
      <c r="A4336" t="s">
        <v>4708</v>
      </c>
      <c r="B4336" t="str">
        <f>"300559"</f>
        <v>300559</v>
      </c>
      <c r="C4336" t="s">
        <v>9015</v>
      </c>
      <c r="D4336" t="s">
        <v>945</v>
      </c>
      <c r="P4336">
        <v>369</v>
      </c>
      <c r="Q4336" t="s">
        <v>9016</v>
      </c>
    </row>
    <row r="4337" spans="1:17" x14ac:dyDescent="0.3">
      <c r="A4337" t="s">
        <v>4708</v>
      </c>
      <c r="B4337" t="str">
        <f>"300560"</f>
        <v>300560</v>
      </c>
      <c r="C4337" t="s">
        <v>9017</v>
      </c>
      <c r="D4337" t="s">
        <v>654</v>
      </c>
      <c r="P4337">
        <v>192</v>
      </c>
      <c r="Q4337" t="s">
        <v>9018</v>
      </c>
    </row>
    <row r="4338" spans="1:17" x14ac:dyDescent="0.3">
      <c r="A4338" t="s">
        <v>4708</v>
      </c>
      <c r="B4338" t="str">
        <f>"300561"</f>
        <v>300561</v>
      </c>
      <c r="C4338" t="s">
        <v>9019</v>
      </c>
      <c r="D4338" t="s">
        <v>945</v>
      </c>
      <c r="P4338">
        <v>114</v>
      </c>
      <c r="Q4338" t="s">
        <v>9020</v>
      </c>
    </row>
    <row r="4339" spans="1:17" x14ac:dyDescent="0.3">
      <c r="A4339" t="s">
        <v>4708</v>
      </c>
      <c r="B4339" t="str">
        <f>"300562"</f>
        <v>300562</v>
      </c>
      <c r="C4339" t="s">
        <v>9021</v>
      </c>
      <c r="D4339" t="s">
        <v>122</v>
      </c>
      <c r="P4339">
        <v>155</v>
      </c>
      <c r="Q4339" t="s">
        <v>9022</v>
      </c>
    </row>
    <row r="4340" spans="1:17" x14ac:dyDescent="0.3">
      <c r="A4340" t="s">
        <v>4708</v>
      </c>
      <c r="B4340" t="str">
        <f>"300563"</f>
        <v>300563</v>
      </c>
      <c r="C4340" t="s">
        <v>9023</v>
      </c>
      <c r="D4340" t="s">
        <v>250</v>
      </c>
      <c r="P4340">
        <v>144</v>
      </c>
      <c r="Q4340" t="s">
        <v>9024</v>
      </c>
    </row>
    <row r="4341" spans="1:17" x14ac:dyDescent="0.3">
      <c r="A4341" t="s">
        <v>4708</v>
      </c>
      <c r="B4341" t="str">
        <f>"300564"</f>
        <v>300564</v>
      </c>
      <c r="C4341" t="s">
        <v>9025</v>
      </c>
      <c r="D4341" t="s">
        <v>1272</v>
      </c>
      <c r="P4341">
        <v>211</v>
      </c>
      <c r="Q4341" t="s">
        <v>9026</v>
      </c>
    </row>
    <row r="4342" spans="1:17" x14ac:dyDescent="0.3">
      <c r="A4342" t="s">
        <v>4708</v>
      </c>
      <c r="B4342" t="str">
        <f>"300565"</f>
        <v>300565</v>
      </c>
      <c r="C4342" t="s">
        <v>9027</v>
      </c>
      <c r="D4342" t="s">
        <v>1019</v>
      </c>
      <c r="P4342">
        <v>113</v>
      </c>
      <c r="Q4342" t="s">
        <v>9028</v>
      </c>
    </row>
    <row r="4343" spans="1:17" x14ac:dyDescent="0.3">
      <c r="A4343" t="s">
        <v>4708</v>
      </c>
      <c r="B4343" t="str">
        <f>"300566"</f>
        <v>300566</v>
      </c>
      <c r="C4343" t="s">
        <v>9029</v>
      </c>
      <c r="D4343" t="s">
        <v>164</v>
      </c>
      <c r="P4343">
        <v>197</v>
      </c>
      <c r="Q4343" t="s">
        <v>9030</v>
      </c>
    </row>
    <row r="4344" spans="1:17" x14ac:dyDescent="0.3">
      <c r="A4344" t="s">
        <v>4708</v>
      </c>
      <c r="B4344" t="str">
        <f>"300567"</f>
        <v>300567</v>
      </c>
      <c r="C4344" t="s">
        <v>9031</v>
      </c>
      <c r="D4344" t="s">
        <v>2557</v>
      </c>
      <c r="P4344">
        <v>1242</v>
      </c>
      <c r="Q4344" t="s">
        <v>9032</v>
      </c>
    </row>
    <row r="4345" spans="1:17" x14ac:dyDescent="0.3">
      <c r="A4345" t="s">
        <v>4708</v>
      </c>
      <c r="B4345" t="str">
        <f>"300568"</f>
        <v>300568</v>
      </c>
      <c r="C4345" t="s">
        <v>9033</v>
      </c>
      <c r="D4345" t="s">
        <v>1786</v>
      </c>
      <c r="P4345">
        <v>474</v>
      </c>
      <c r="Q4345" t="s">
        <v>9034</v>
      </c>
    </row>
    <row r="4346" spans="1:17" x14ac:dyDescent="0.3">
      <c r="A4346" t="s">
        <v>4708</v>
      </c>
      <c r="B4346" t="str">
        <f>"300569"</f>
        <v>300569</v>
      </c>
      <c r="C4346" t="s">
        <v>9035</v>
      </c>
      <c r="D4346" t="s">
        <v>950</v>
      </c>
      <c r="P4346">
        <v>201</v>
      </c>
      <c r="Q4346" t="s">
        <v>9036</v>
      </c>
    </row>
    <row r="4347" spans="1:17" x14ac:dyDescent="0.3">
      <c r="A4347" t="s">
        <v>4708</v>
      </c>
      <c r="B4347" t="str">
        <f>"300570"</f>
        <v>300570</v>
      </c>
      <c r="C4347" t="s">
        <v>9037</v>
      </c>
      <c r="D4347" t="s">
        <v>1019</v>
      </c>
      <c r="P4347">
        <v>229</v>
      </c>
      <c r="Q4347" t="s">
        <v>9038</v>
      </c>
    </row>
    <row r="4348" spans="1:17" x14ac:dyDescent="0.3">
      <c r="A4348" t="s">
        <v>4708</v>
      </c>
      <c r="B4348" t="str">
        <f>"300571"</f>
        <v>300571</v>
      </c>
      <c r="C4348" t="s">
        <v>9039</v>
      </c>
      <c r="D4348" t="s">
        <v>5641</v>
      </c>
      <c r="P4348">
        <v>2111</v>
      </c>
      <c r="Q4348" t="s">
        <v>9040</v>
      </c>
    </row>
    <row r="4349" spans="1:17" x14ac:dyDescent="0.3">
      <c r="A4349" t="s">
        <v>4708</v>
      </c>
      <c r="B4349" t="str">
        <f>"300572"</f>
        <v>300572</v>
      </c>
      <c r="C4349" t="s">
        <v>9041</v>
      </c>
      <c r="D4349" t="s">
        <v>2503</v>
      </c>
      <c r="P4349">
        <v>466</v>
      </c>
      <c r="Q4349" t="s">
        <v>9042</v>
      </c>
    </row>
    <row r="4350" spans="1:17" x14ac:dyDescent="0.3">
      <c r="A4350" t="s">
        <v>4708</v>
      </c>
      <c r="B4350" t="str">
        <f>"300573"</f>
        <v>300573</v>
      </c>
      <c r="C4350" t="s">
        <v>9043</v>
      </c>
      <c r="D4350" t="s">
        <v>143</v>
      </c>
      <c r="P4350">
        <v>315</v>
      </c>
      <c r="Q4350" t="s">
        <v>9044</v>
      </c>
    </row>
    <row r="4351" spans="1:17" x14ac:dyDescent="0.3">
      <c r="A4351" t="s">
        <v>4708</v>
      </c>
      <c r="B4351" t="str">
        <f>"300575"</f>
        <v>300575</v>
      </c>
      <c r="C4351" t="s">
        <v>9045</v>
      </c>
      <c r="D4351" t="s">
        <v>853</v>
      </c>
      <c r="P4351">
        <v>187</v>
      </c>
      <c r="Q4351" t="s">
        <v>9046</v>
      </c>
    </row>
    <row r="4352" spans="1:17" x14ac:dyDescent="0.3">
      <c r="A4352" t="s">
        <v>4708</v>
      </c>
      <c r="B4352" t="str">
        <f>"300576"</f>
        <v>300576</v>
      </c>
      <c r="C4352" t="s">
        <v>9047</v>
      </c>
      <c r="D4352" t="s">
        <v>2401</v>
      </c>
      <c r="P4352">
        <v>189</v>
      </c>
      <c r="Q4352" t="s">
        <v>9048</v>
      </c>
    </row>
    <row r="4353" spans="1:17" x14ac:dyDescent="0.3">
      <c r="A4353" t="s">
        <v>4708</v>
      </c>
      <c r="B4353" t="str">
        <f>"300577"</f>
        <v>300577</v>
      </c>
      <c r="C4353" t="s">
        <v>9049</v>
      </c>
      <c r="D4353" t="s">
        <v>330</v>
      </c>
      <c r="P4353">
        <v>486</v>
      </c>
      <c r="Q4353" t="s">
        <v>9050</v>
      </c>
    </row>
    <row r="4354" spans="1:17" x14ac:dyDescent="0.3">
      <c r="A4354" t="s">
        <v>4708</v>
      </c>
      <c r="B4354" t="str">
        <f>"300578"</f>
        <v>300578</v>
      </c>
      <c r="C4354" t="s">
        <v>9051</v>
      </c>
      <c r="D4354" t="s">
        <v>5641</v>
      </c>
      <c r="P4354">
        <v>305</v>
      </c>
      <c r="Q4354" t="s">
        <v>9052</v>
      </c>
    </row>
    <row r="4355" spans="1:17" x14ac:dyDescent="0.3">
      <c r="A4355" t="s">
        <v>4708</v>
      </c>
      <c r="B4355" t="str">
        <f>"300579"</f>
        <v>300579</v>
      </c>
      <c r="C4355" t="s">
        <v>9053</v>
      </c>
      <c r="D4355" t="s">
        <v>945</v>
      </c>
      <c r="P4355">
        <v>335</v>
      </c>
      <c r="Q4355" t="s">
        <v>9054</v>
      </c>
    </row>
    <row r="4356" spans="1:17" x14ac:dyDescent="0.3">
      <c r="A4356" t="s">
        <v>4708</v>
      </c>
      <c r="B4356" t="str">
        <f>"300580"</f>
        <v>300580</v>
      </c>
      <c r="C4356" t="s">
        <v>9055</v>
      </c>
      <c r="D4356" t="s">
        <v>348</v>
      </c>
      <c r="P4356">
        <v>148</v>
      </c>
      <c r="Q4356" t="s">
        <v>9056</v>
      </c>
    </row>
    <row r="4357" spans="1:17" x14ac:dyDescent="0.3">
      <c r="A4357" t="s">
        <v>4708</v>
      </c>
      <c r="B4357" t="str">
        <f>"300581"</f>
        <v>300581</v>
      </c>
      <c r="C4357" t="s">
        <v>9057</v>
      </c>
      <c r="D4357" t="s">
        <v>98</v>
      </c>
      <c r="P4357">
        <v>151</v>
      </c>
      <c r="Q4357" t="s">
        <v>9058</v>
      </c>
    </row>
    <row r="4358" spans="1:17" x14ac:dyDescent="0.3">
      <c r="A4358" t="s">
        <v>4708</v>
      </c>
      <c r="B4358" t="str">
        <f>"300582"</f>
        <v>300582</v>
      </c>
      <c r="C4358" t="s">
        <v>9059</v>
      </c>
      <c r="D4358" t="s">
        <v>803</v>
      </c>
      <c r="P4358">
        <v>152</v>
      </c>
      <c r="Q4358" t="s">
        <v>9060</v>
      </c>
    </row>
    <row r="4359" spans="1:17" x14ac:dyDescent="0.3">
      <c r="A4359" t="s">
        <v>4708</v>
      </c>
      <c r="B4359" t="str">
        <f>"300583"</f>
        <v>300583</v>
      </c>
      <c r="C4359" t="s">
        <v>9061</v>
      </c>
      <c r="D4359" t="s">
        <v>496</v>
      </c>
      <c r="P4359">
        <v>76</v>
      </c>
      <c r="Q4359" t="s">
        <v>9062</v>
      </c>
    </row>
    <row r="4360" spans="1:17" x14ac:dyDescent="0.3">
      <c r="A4360" t="s">
        <v>4708</v>
      </c>
      <c r="B4360" t="str">
        <f>"300584"</f>
        <v>300584</v>
      </c>
      <c r="C4360" t="s">
        <v>9063</v>
      </c>
      <c r="D4360" t="s">
        <v>143</v>
      </c>
      <c r="P4360">
        <v>195</v>
      </c>
      <c r="Q4360" t="s">
        <v>9064</v>
      </c>
    </row>
    <row r="4361" spans="1:17" x14ac:dyDescent="0.3">
      <c r="A4361" t="s">
        <v>4708</v>
      </c>
      <c r="B4361" t="str">
        <f>"300585"</f>
        <v>300585</v>
      </c>
      <c r="C4361" t="s">
        <v>9065</v>
      </c>
      <c r="D4361" t="s">
        <v>348</v>
      </c>
      <c r="P4361">
        <v>92</v>
      </c>
      <c r="Q4361" t="s">
        <v>9066</v>
      </c>
    </row>
    <row r="4362" spans="1:17" x14ac:dyDescent="0.3">
      <c r="A4362" t="s">
        <v>4708</v>
      </c>
      <c r="B4362" t="str">
        <f>"300586"</f>
        <v>300586</v>
      </c>
      <c r="C4362" t="s">
        <v>9067</v>
      </c>
      <c r="D4362" t="s">
        <v>341</v>
      </c>
      <c r="P4362">
        <v>132</v>
      </c>
      <c r="Q4362" t="s">
        <v>9068</v>
      </c>
    </row>
    <row r="4363" spans="1:17" x14ac:dyDescent="0.3">
      <c r="A4363" t="s">
        <v>4708</v>
      </c>
      <c r="B4363" t="str">
        <f>"300587"</f>
        <v>300587</v>
      </c>
      <c r="C4363" t="s">
        <v>9069</v>
      </c>
      <c r="D4363" t="s">
        <v>2462</v>
      </c>
      <c r="P4363">
        <v>153</v>
      </c>
      <c r="Q4363" t="s">
        <v>9070</v>
      </c>
    </row>
    <row r="4364" spans="1:17" x14ac:dyDescent="0.3">
      <c r="A4364" t="s">
        <v>4708</v>
      </c>
      <c r="B4364" t="str">
        <f>"300588"</f>
        <v>300588</v>
      </c>
      <c r="C4364" t="s">
        <v>9071</v>
      </c>
      <c r="D4364" t="s">
        <v>2965</v>
      </c>
      <c r="P4364">
        <v>144</v>
      </c>
      <c r="Q4364" t="s">
        <v>9072</v>
      </c>
    </row>
    <row r="4365" spans="1:17" x14ac:dyDescent="0.3">
      <c r="A4365" t="s">
        <v>4708</v>
      </c>
      <c r="B4365" t="str">
        <f>"300589"</f>
        <v>300589</v>
      </c>
      <c r="C4365" t="s">
        <v>9073</v>
      </c>
      <c r="D4365" t="s">
        <v>167</v>
      </c>
      <c r="P4365">
        <v>87</v>
      </c>
      <c r="Q4365" t="s">
        <v>9074</v>
      </c>
    </row>
    <row r="4366" spans="1:17" x14ac:dyDescent="0.3">
      <c r="A4366" t="s">
        <v>4708</v>
      </c>
      <c r="B4366" t="str">
        <f>"300590"</f>
        <v>300590</v>
      </c>
      <c r="C4366" t="s">
        <v>9075</v>
      </c>
      <c r="D4366" t="s">
        <v>786</v>
      </c>
      <c r="P4366">
        <v>410</v>
      </c>
      <c r="Q4366" t="s">
        <v>9076</v>
      </c>
    </row>
    <row r="4367" spans="1:17" x14ac:dyDescent="0.3">
      <c r="A4367" t="s">
        <v>4708</v>
      </c>
      <c r="B4367" t="str">
        <f>"300591"</f>
        <v>300591</v>
      </c>
      <c r="C4367" t="s">
        <v>9077</v>
      </c>
      <c r="D4367" t="s">
        <v>330</v>
      </c>
      <c r="P4367">
        <v>88</v>
      </c>
      <c r="Q4367" t="s">
        <v>9078</v>
      </c>
    </row>
    <row r="4368" spans="1:17" x14ac:dyDescent="0.3">
      <c r="A4368" t="s">
        <v>4708</v>
      </c>
      <c r="B4368" t="str">
        <f>"300592"</f>
        <v>300592</v>
      </c>
      <c r="C4368" t="s">
        <v>9079</v>
      </c>
      <c r="D4368" t="s">
        <v>450</v>
      </c>
      <c r="P4368">
        <v>65</v>
      </c>
      <c r="Q4368" t="s">
        <v>9080</v>
      </c>
    </row>
    <row r="4369" spans="1:17" x14ac:dyDescent="0.3">
      <c r="A4369" t="s">
        <v>4708</v>
      </c>
      <c r="B4369" t="str">
        <f>"300593"</f>
        <v>300593</v>
      </c>
      <c r="C4369" t="s">
        <v>9081</v>
      </c>
      <c r="D4369" t="s">
        <v>880</v>
      </c>
      <c r="P4369">
        <v>254</v>
      </c>
      <c r="Q4369" t="s">
        <v>9082</v>
      </c>
    </row>
    <row r="4370" spans="1:17" x14ac:dyDescent="0.3">
      <c r="A4370" t="s">
        <v>4708</v>
      </c>
      <c r="B4370" t="str">
        <f>"300594"</f>
        <v>300594</v>
      </c>
      <c r="C4370" t="s">
        <v>9083</v>
      </c>
      <c r="D4370" t="s">
        <v>1012</v>
      </c>
      <c r="P4370">
        <v>72</v>
      </c>
      <c r="Q4370" t="s">
        <v>9084</v>
      </c>
    </row>
    <row r="4371" spans="1:17" x14ac:dyDescent="0.3">
      <c r="A4371" t="s">
        <v>4708</v>
      </c>
      <c r="B4371" t="str">
        <f>"300595"</f>
        <v>300595</v>
      </c>
      <c r="C4371" t="s">
        <v>9085</v>
      </c>
      <c r="D4371" t="s">
        <v>1077</v>
      </c>
      <c r="P4371">
        <v>4330</v>
      </c>
      <c r="Q4371" t="s">
        <v>9086</v>
      </c>
    </row>
    <row r="4372" spans="1:17" x14ac:dyDescent="0.3">
      <c r="A4372" t="s">
        <v>4708</v>
      </c>
      <c r="B4372" t="str">
        <f>"300596"</f>
        <v>300596</v>
      </c>
      <c r="C4372" t="s">
        <v>9087</v>
      </c>
      <c r="D4372" t="s">
        <v>1192</v>
      </c>
      <c r="P4372">
        <v>391</v>
      </c>
      <c r="Q4372" t="s">
        <v>9088</v>
      </c>
    </row>
    <row r="4373" spans="1:17" x14ac:dyDescent="0.3">
      <c r="A4373" t="s">
        <v>4708</v>
      </c>
      <c r="B4373" t="str">
        <f>"300597"</f>
        <v>300597</v>
      </c>
      <c r="C4373" t="s">
        <v>9089</v>
      </c>
      <c r="D4373" t="s">
        <v>654</v>
      </c>
      <c r="P4373">
        <v>110</v>
      </c>
      <c r="Q4373" t="s">
        <v>9090</v>
      </c>
    </row>
    <row r="4374" spans="1:17" x14ac:dyDescent="0.3">
      <c r="A4374" t="s">
        <v>4708</v>
      </c>
      <c r="B4374" t="str">
        <f>"300598"</f>
        <v>300598</v>
      </c>
      <c r="C4374" t="s">
        <v>9091</v>
      </c>
      <c r="D4374" t="s">
        <v>945</v>
      </c>
      <c r="P4374">
        <v>319</v>
      </c>
      <c r="Q4374" t="s">
        <v>9092</v>
      </c>
    </row>
    <row r="4375" spans="1:17" x14ac:dyDescent="0.3">
      <c r="A4375" t="s">
        <v>4708</v>
      </c>
      <c r="B4375" t="str">
        <f>"300599"</f>
        <v>300599</v>
      </c>
      <c r="C4375" t="s">
        <v>9093</v>
      </c>
      <c r="D4375" t="s">
        <v>3332</v>
      </c>
      <c r="P4375">
        <v>102</v>
      </c>
      <c r="Q4375" t="s">
        <v>9094</v>
      </c>
    </row>
    <row r="4376" spans="1:17" x14ac:dyDescent="0.3">
      <c r="A4376" t="s">
        <v>4708</v>
      </c>
      <c r="B4376" t="str">
        <f>"300600"</f>
        <v>300600</v>
      </c>
      <c r="C4376" t="s">
        <v>9095</v>
      </c>
      <c r="D4376" t="s">
        <v>167</v>
      </c>
      <c r="P4376">
        <v>101</v>
      </c>
      <c r="Q4376" t="s">
        <v>9096</v>
      </c>
    </row>
    <row r="4377" spans="1:17" x14ac:dyDescent="0.3">
      <c r="A4377" t="s">
        <v>4708</v>
      </c>
      <c r="B4377" t="str">
        <f>"300601"</f>
        <v>300601</v>
      </c>
      <c r="C4377" t="s">
        <v>9097</v>
      </c>
      <c r="D4377" t="s">
        <v>1499</v>
      </c>
      <c r="P4377">
        <v>1384</v>
      </c>
      <c r="Q4377" t="s">
        <v>9098</v>
      </c>
    </row>
    <row r="4378" spans="1:17" x14ac:dyDescent="0.3">
      <c r="A4378" t="s">
        <v>4708</v>
      </c>
      <c r="B4378" t="str">
        <f>"300602"</f>
        <v>300602</v>
      </c>
      <c r="C4378" t="s">
        <v>9099</v>
      </c>
      <c r="D4378" t="s">
        <v>313</v>
      </c>
      <c r="P4378">
        <v>597</v>
      </c>
      <c r="Q4378" t="s">
        <v>9100</v>
      </c>
    </row>
    <row r="4379" spans="1:17" x14ac:dyDescent="0.3">
      <c r="A4379" t="s">
        <v>4708</v>
      </c>
      <c r="B4379" t="str">
        <f>"300603"</f>
        <v>300603</v>
      </c>
      <c r="C4379" t="s">
        <v>9101</v>
      </c>
      <c r="D4379" t="s">
        <v>5641</v>
      </c>
      <c r="P4379">
        <v>196</v>
      </c>
      <c r="Q4379" t="s">
        <v>9102</v>
      </c>
    </row>
    <row r="4380" spans="1:17" x14ac:dyDescent="0.3">
      <c r="A4380" t="s">
        <v>4708</v>
      </c>
      <c r="B4380" t="str">
        <f>"300604"</f>
        <v>300604</v>
      </c>
      <c r="C4380" t="s">
        <v>9103</v>
      </c>
      <c r="D4380" t="s">
        <v>3172</v>
      </c>
      <c r="P4380">
        <v>370</v>
      </c>
      <c r="Q4380" t="s">
        <v>9104</v>
      </c>
    </row>
    <row r="4381" spans="1:17" x14ac:dyDescent="0.3">
      <c r="A4381" t="s">
        <v>4708</v>
      </c>
      <c r="B4381" t="str">
        <f>"300605"</f>
        <v>300605</v>
      </c>
      <c r="C4381" t="s">
        <v>9105</v>
      </c>
      <c r="D4381" t="s">
        <v>945</v>
      </c>
      <c r="P4381">
        <v>93</v>
      </c>
      <c r="Q4381" t="s">
        <v>9106</v>
      </c>
    </row>
    <row r="4382" spans="1:17" x14ac:dyDescent="0.3">
      <c r="A4382" t="s">
        <v>4708</v>
      </c>
      <c r="B4382" t="str">
        <f>"300606"</f>
        <v>300606</v>
      </c>
      <c r="C4382" t="s">
        <v>9107</v>
      </c>
      <c r="D4382" t="s">
        <v>404</v>
      </c>
      <c r="P4382">
        <v>92</v>
      </c>
      <c r="Q4382" t="s">
        <v>9108</v>
      </c>
    </row>
    <row r="4383" spans="1:17" x14ac:dyDescent="0.3">
      <c r="A4383" t="s">
        <v>4708</v>
      </c>
      <c r="B4383" t="str">
        <f>"300607"</f>
        <v>300607</v>
      </c>
      <c r="C4383" t="s">
        <v>9109</v>
      </c>
      <c r="D4383" t="s">
        <v>2923</v>
      </c>
      <c r="P4383">
        <v>1388</v>
      </c>
      <c r="Q4383" t="s">
        <v>9110</v>
      </c>
    </row>
    <row r="4384" spans="1:17" x14ac:dyDescent="0.3">
      <c r="A4384" t="s">
        <v>4708</v>
      </c>
      <c r="B4384" t="str">
        <f>"300608"</f>
        <v>300608</v>
      </c>
      <c r="C4384" t="s">
        <v>9111</v>
      </c>
      <c r="D4384" t="s">
        <v>945</v>
      </c>
      <c r="P4384">
        <v>217</v>
      </c>
      <c r="Q4384" t="s">
        <v>9112</v>
      </c>
    </row>
    <row r="4385" spans="1:17" x14ac:dyDescent="0.3">
      <c r="A4385" t="s">
        <v>4708</v>
      </c>
      <c r="B4385" t="str">
        <f>"300609"</f>
        <v>300609</v>
      </c>
      <c r="C4385" t="s">
        <v>9113</v>
      </c>
      <c r="D4385" t="s">
        <v>316</v>
      </c>
      <c r="P4385">
        <v>155</v>
      </c>
      <c r="Q4385" t="s">
        <v>9114</v>
      </c>
    </row>
    <row r="4386" spans="1:17" x14ac:dyDescent="0.3">
      <c r="A4386" t="s">
        <v>4708</v>
      </c>
      <c r="B4386" t="str">
        <f>"300610"</f>
        <v>300610</v>
      </c>
      <c r="C4386" t="s">
        <v>9115</v>
      </c>
      <c r="D4386" t="s">
        <v>1192</v>
      </c>
      <c r="P4386">
        <v>129</v>
      </c>
      <c r="Q4386" t="s">
        <v>9116</v>
      </c>
    </row>
    <row r="4387" spans="1:17" x14ac:dyDescent="0.3">
      <c r="A4387" t="s">
        <v>4708</v>
      </c>
      <c r="B4387" t="str">
        <f>"300611"</f>
        <v>300611</v>
      </c>
      <c r="C4387" t="s">
        <v>9117</v>
      </c>
      <c r="D4387" t="s">
        <v>348</v>
      </c>
      <c r="P4387">
        <v>97</v>
      </c>
      <c r="Q4387" t="s">
        <v>9118</v>
      </c>
    </row>
    <row r="4388" spans="1:17" x14ac:dyDescent="0.3">
      <c r="A4388" t="s">
        <v>4708</v>
      </c>
      <c r="B4388" t="str">
        <f>"300612"</f>
        <v>300612</v>
      </c>
      <c r="C4388" t="s">
        <v>9119</v>
      </c>
      <c r="D4388" t="s">
        <v>207</v>
      </c>
      <c r="P4388">
        <v>84</v>
      </c>
      <c r="Q4388" t="s">
        <v>9120</v>
      </c>
    </row>
    <row r="4389" spans="1:17" x14ac:dyDescent="0.3">
      <c r="A4389" t="s">
        <v>4708</v>
      </c>
      <c r="B4389" t="str">
        <f>"300613"</f>
        <v>300613</v>
      </c>
      <c r="C4389" t="s">
        <v>9121</v>
      </c>
      <c r="D4389" t="s">
        <v>461</v>
      </c>
      <c r="P4389">
        <v>355</v>
      </c>
      <c r="Q4389" t="s">
        <v>9122</v>
      </c>
    </row>
    <row r="4390" spans="1:17" x14ac:dyDescent="0.3">
      <c r="A4390" t="s">
        <v>4708</v>
      </c>
      <c r="B4390" t="str">
        <f>"300614"</f>
        <v>300614</v>
      </c>
      <c r="C4390" t="s">
        <v>9123</v>
      </c>
      <c r="D4390" t="s">
        <v>499</v>
      </c>
      <c r="P4390">
        <v>41</v>
      </c>
      <c r="Q4390" t="s">
        <v>9124</v>
      </c>
    </row>
    <row r="4391" spans="1:17" x14ac:dyDescent="0.3">
      <c r="A4391" t="s">
        <v>4708</v>
      </c>
      <c r="B4391" t="str">
        <f>"300615"</f>
        <v>300615</v>
      </c>
      <c r="C4391" t="s">
        <v>9125</v>
      </c>
      <c r="D4391" t="s">
        <v>786</v>
      </c>
      <c r="P4391">
        <v>156</v>
      </c>
      <c r="Q4391" t="s">
        <v>9126</v>
      </c>
    </row>
    <row r="4392" spans="1:17" x14ac:dyDescent="0.3">
      <c r="A4392" t="s">
        <v>4708</v>
      </c>
      <c r="B4392" t="str">
        <f>"300616"</f>
        <v>300616</v>
      </c>
      <c r="C4392" t="s">
        <v>9127</v>
      </c>
      <c r="D4392" t="s">
        <v>2655</v>
      </c>
      <c r="P4392">
        <v>694</v>
      </c>
      <c r="Q4392" t="s">
        <v>9128</v>
      </c>
    </row>
    <row r="4393" spans="1:17" x14ac:dyDescent="0.3">
      <c r="A4393" t="s">
        <v>4708</v>
      </c>
      <c r="B4393" t="str">
        <f>"300617"</f>
        <v>300617</v>
      </c>
      <c r="C4393" t="s">
        <v>9129</v>
      </c>
      <c r="D4393" t="s">
        <v>1164</v>
      </c>
      <c r="P4393">
        <v>148</v>
      </c>
      <c r="Q4393" t="s">
        <v>9130</v>
      </c>
    </row>
    <row r="4394" spans="1:17" x14ac:dyDescent="0.3">
      <c r="A4394" t="s">
        <v>4708</v>
      </c>
      <c r="B4394" t="str">
        <f>"300618"</f>
        <v>300618</v>
      </c>
      <c r="C4394" t="s">
        <v>9131</v>
      </c>
      <c r="D4394" t="s">
        <v>1440</v>
      </c>
      <c r="P4394">
        <v>574</v>
      </c>
      <c r="Q4394" t="s">
        <v>9132</v>
      </c>
    </row>
    <row r="4395" spans="1:17" x14ac:dyDescent="0.3">
      <c r="A4395" t="s">
        <v>4708</v>
      </c>
      <c r="B4395" t="str">
        <f>"300619"</f>
        <v>300619</v>
      </c>
      <c r="C4395" t="s">
        <v>9133</v>
      </c>
      <c r="D4395" t="s">
        <v>3761</v>
      </c>
      <c r="P4395">
        <v>94</v>
      </c>
      <c r="Q4395" t="s">
        <v>9134</v>
      </c>
    </row>
    <row r="4396" spans="1:17" x14ac:dyDescent="0.3">
      <c r="A4396" t="s">
        <v>4708</v>
      </c>
      <c r="B4396" t="str">
        <f>"300620"</f>
        <v>300620</v>
      </c>
      <c r="C4396" t="s">
        <v>9135</v>
      </c>
      <c r="D4396" t="s">
        <v>1019</v>
      </c>
      <c r="P4396">
        <v>245</v>
      </c>
      <c r="Q4396" t="s">
        <v>9136</v>
      </c>
    </row>
    <row r="4397" spans="1:17" x14ac:dyDescent="0.3">
      <c r="A4397" t="s">
        <v>4708</v>
      </c>
      <c r="B4397" t="str">
        <f>"300621"</f>
        <v>300621</v>
      </c>
      <c r="C4397" t="s">
        <v>9137</v>
      </c>
      <c r="D4397" t="s">
        <v>450</v>
      </c>
      <c r="P4397">
        <v>56</v>
      </c>
      <c r="Q4397" t="s">
        <v>9138</v>
      </c>
    </row>
    <row r="4398" spans="1:17" x14ac:dyDescent="0.3">
      <c r="A4398" t="s">
        <v>4708</v>
      </c>
      <c r="B4398" t="str">
        <f>"300622"</f>
        <v>300622</v>
      </c>
      <c r="C4398" t="s">
        <v>9139</v>
      </c>
      <c r="D4398" t="s">
        <v>295</v>
      </c>
      <c r="P4398">
        <v>123</v>
      </c>
      <c r="Q4398" t="s">
        <v>9140</v>
      </c>
    </row>
    <row r="4399" spans="1:17" x14ac:dyDescent="0.3">
      <c r="A4399" t="s">
        <v>4708</v>
      </c>
      <c r="B4399" t="str">
        <f>"300623"</f>
        <v>300623</v>
      </c>
      <c r="C4399" t="s">
        <v>9141</v>
      </c>
      <c r="D4399" t="s">
        <v>795</v>
      </c>
      <c r="P4399">
        <v>664</v>
      </c>
      <c r="Q4399" t="s">
        <v>9142</v>
      </c>
    </row>
    <row r="4400" spans="1:17" x14ac:dyDescent="0.3">
      <c r="A4400" t="s">
        <v>4708</v>
      </c>
      <c r="B4400" t="str">
        <f>"300624"</f>
        <v>300624</v>
      </c>
      <c r="C4400" t="s">
        <v>9143</v>
      </c>
      <c r="D4400" t="s">
        <v>1189</v>
      </c>
      <c r="P4400">
        <v>332</v>
      </c>
      <c r="Q4400" t="s">
        <v>9144</v>
      </c>
    </row>
    <row r="4401" spans="1:17" x14ac:dyDescent="0.3">
      <c r="A4401" t="s">
        <v>4708</v>
      </c>
      <c r="B4401" t="str">
        <f>"300625"</f>
        <v>300625</v>
      </c>
      <c r="C4401" t="s">
        <v>9145</v>
      </c>
      <c r="D4401" t="s">
        <v>598</v>
      </c>
      <c r="P4401">
        <v>137</v>
      </c>
      <c r="Q4401" t="s">
        <v>9146</v>
      </c>
    </row>
    <row r="4402" spans="1:17" x14ac:dyDescent="0.3">
      <c r="A4402" t="s">
        <v>4708</v>
      </c>
      <c r="B4402" t="str">
        <f>"300626"</f>
        <v>300626</v>
      </c>
      <c r="C4402" t="s">
        <v>9147</v>
      </c>
      <c r="D4402" t="s">
        <v>1171</v>
      </c>
      <c r="P4402">
        <v>55</v>
      </c>
      <c r="Q4402" t="s">
        <v>9148</v>
      </c>
    </row>
    <row r="4403" spans="1:17" x14ac:dyDescent="0.3">
      <c r="A4403" t="s">
        <v>4708</v>
      </c>
      <c r="B4403" t="str">
        <f>"300627"</f>
        <v>300627</v>
      </c>
      <c r="C4403" t="s">
        <v>9149</v>
      </c>
      <c r="D4403" t="s">
        <v>786</v>
      </c>
      <c r="P4403">
        <v>295</v>
      </c>
      <c r="Q4403" t="s">
        <v>9150</v>
      </c>
    </row>
    <row r="4404" spans="1:17" x14ac:dyDescent="0.3">
      <c r="A4404" t="s">
        <v>4708</v>
      </c>
      <c r="B4404" t="str">
        <f>"300628"</f>
        <v>300628</v>
      </c>
      <c r="C4404" t="s">
        <v>9151</v>
      </c>
      <c r="D4404" t="s">
        <v>786</v>
      </c>
      <c r="P4404">
        <v>2264</v>
      </c>
      <c r="Q4404" t="s">
        <v>9152</v>
      </c>
    </row>
    <row r="4405" spans="1:17" x14ac:dyDescent="0.3">
      <c r="A4405" t="s">
        <v>4708</v>
      </c>
      <c r="B4405" t="str">
        <f>"300629"</f>
        <v>300629</v>
      </c>
      <c r="C4405" t="s">
        <v>9153</v>
      </c>
      <c r="D4405" t="s">
        <v>404</v>
      </c>
      <c r="P4405">
        <v>65</v>
      </c>
      <c r="Q4405" t="s">
        <v>9154</v>
      </c>
    </row>
    <row r="4406" spans="1:17" x14ac:dyDescent="0.3">
      <c r="A4406" t="s">
        <v>4708</v>
      </c>
      <c r="B4406" t="str">
        <f>"300630"</f>
        <v>300630</v>
      </c>
      <c r="C4406" t="s">
        <v>9155</v>
      </c>
      <c r="D4406" t="s">
        <v>143</v>
      </c>
      <c r="P4406">
        <v>1261</v>
      </c>
      <c r="Q4406" t="s">
        <v>9156</v>
      </c>
    </row>
    <row r="4407" spans="1:17" x14ac:dyDescent="0.3">
      <c r="A4407" t="s">
        <v>4708</v>
      </c>
      <c r="B4407" t="str">
        <f>"300631"</f>
        <v>300631</v>
      </c>
      <c r="C4407" t="s">
        <v>9157</v>
      </c>
      <c r="D4407" t="s">
        <v>1070</v>
      </c>
      <c r="P4407">
        <v>135</v>
      </c>
      <c r="Q4407" t="s">
        <v>9158</v>
      </c>
    </row>
    <row r="4408" spans="1:17" x14ac:dyDescent="0.3">
      <c r="A4408" t="s">
        <v>4708</v>
      </c>
      <c r="B4408" t="str">
        <f>"300632"</f>
        <v>300632</v>
      </c>
      <c r="C4408" t="s">
        <v>9159</v>
      </c>
      <c r="D4408" t="s">
        <v>803</v>
      </c>
      <c r="P4408">
        <v>201</v>
      </c>
      <c r="Q4408" t="s">
        <v>9160</v>
      </c>
    </row>
    <row r="4409" spans="1:17" x14ac:dyDescent="0.3">
      <c r="A4409" t="s">
        <v>4708</v>
      </c>
      <c r="B4409" t="str">
        <f>"300633"</f>
        <v>300633</v>
      </c>
      <c r="C4409" t="s">
        <v>9161</v>
      </c>
      <c r="D4409" t="s">
        <v>122</v>
      </c>
      <c r="P4409">
        <v>515</v>
      </c>
      <c r="Q4409" t="s">
        <v>9162</v>
      </c>
    </row>
    <row r="4410" spans="1:17" x14ac:dyDescent="0.3">
      <c r="A4410" t="s">
        <v>4708</v>
      </c>
      <c r="B4410" t="str">
        <f>"300634"</f>
        <v>300634</v>
      </c>
      <c r="C4410" t="s">
        <v>9163</v>
      </c>
      <c r="D4410" t="s">
        <v>316</v>
      </c>
      <c r="P4410">
        <v>159</v>
      </c>
      <c r="Q4410" t="s">
        <v>9164</v>
      </c>
    </row>
    <row r="4411" spans="1:17" x14ac:dyDescent="0.3">
      <c r="A4411" t="s">
        <v>4708</v>
      </c>
      <c r="B4411" t="str">
        <f>"300635"</f>
        <v>300635</v>
      </c>
      <c r="C4411" t="s">
        <v>9165</v>
      </c>
      <c r="D4411" t="s">
        <v>1272</v>
      </c>
      <c r="P4411">
        <v>113</v>
      </c>
      <c r="Q4411" t="s">
        <v>9166</v>
      </c>
    </row>
    <row r="4412" spans="1:17" x14ac:dyDescent="0.3">
      <c r="A4412" t="s">
        <v>4708</v>
      </c>
      <c r="B4412" t="str">
        <f>"300636"</f>
        <v>300636</v>
      </c>
      <c r="C4412" t="s">
        <v>9167</v>
      </c>
      <c r="D4412" t="s">
        <v>496</v>
      </c>
      <c r="P4412">
        <v>136</v>
      </c>
      <c r="Q4412" t="s">
        <v>9168</v>
      </c>
    </row>
    <row r="4413" spans="1:17" x14ac:dyDescent="0.3">
      <c r="A4413" t="s">
        <v>4708</v>
      </c>
      <c r="B4413" t="str">
        <f>"300637"</f>
        <v>300637</v>
      </c>
      <c r="C4413" t="s">
        <v>9169</v>
      </c>
      <c r="D4413" t="s">
        <v>2401</v>
      </c>
      <c r="P4413">
        <v>117</v>
      </c>
      <c r="Q4413" t="s">
        <v>9170</v>
      </c>
    </row>
    <row r="4414" spans="1:17" x14ac:dyDescent="0.3">
      <c r="A4414" t="s">
        <v>4708</v>
      </c>
      <c r="B4414" t="str">
        <f>"300638"</f>
        <v>300638</v>
      </c>
      <c r="C4414" t="s">
        <v>9171</v>
      </c>
      <c r="D4414" t="s">
        <v>786</v>
      </c>
      <c r="P4414">
        <v>757</v>
      </c>
      <c r="Q4414" t="s">
        <v>9172</v>
      </c>
    </row>
    <row r="4415" spans="1:17" x14ac:dyDescent="0.3">
      <c r="A4415" t="s">
        <v>4708</v>
      </c>
      <c r="B4415" t="str">
        <f>"300639"</f>
        <v>300639</v>
      </c>
      <c r="C4415" t="s">
        <v>9173</v>
      </c>
      <c r="D4415" t="s">
        <v>1305</v>
      </c>
      <c r="P4415">
        <v>535</v>
      </c>
      <c r="Q4415" t="s">
        <v>9174</v>
      </c>
    </row>
    <row r="4416" spans="1:17" x14ac:dyDescent="0.3">
      <c r="A4416" t="s">
        <v>4708</v>
      </c>
      <c r="B4416" t="str">
        <f>"300640"</f>
        <v>300640</v>
      </c>
      <c r="C4416" t="s">
        <v>9175</v>
      </c>
      <c r="D4416" t="s">
        <v>2438</v>
      </c>
      <c r="P4416">
        <v>79</v>
      </c>
      <c r="Q4416" t="s">
        <v>9176</v>
      </c>
    </row>
    <row r="4417" spans="1:17" x14ac:dyDescent="0.3">
      <c r="A4417" t="s">
        <v>4708</v>
      </c>
      <c r="B4417" t="str">
        <f>"300641"</f>
        <v>300641</v>
      </c>
      <c r="C4417" t="s">
        <v>9177</v>
      </c>
      <c r="D4417" t="s">
        <v>386</v>
      </c>
      <c r="P4417">
        <v>79</v>
      </c>
      <c r="Q4417" t="s">
        <v>9178</v>
      </c>
    </row>
    <row r="4418" spans="1:17" x14ac:dyDescent="0.3">
      <c r="A4418" t="s">
        <v>4708</v>
      </c>
      <c r="B4418" t="str">
        <f>"300642"</f>
        <v>300642</v>
      </c>
      <c r="C4418" t="s">
        <v>9179</v>
      </c>
      <c r="D4418" t="s">
        <v>1305</v>
      </c>
      <c r="P4418">
        <v>417</v>
      </c>
      <c r="Q4418" t="s">
        <v>9180</v>
      </c>
    </row>
    <row r="4419" spans="1:17" x14ac:dyDescent="0.3">
      <c r="A4419" t="s">
        <v>4708</v>
      </c>
      <c r="B4419" t="str">
        <f>"300643"</f>
        <v>300643</v>
      </c>
      <c r="C4419" t="s">
        <v>9181</v>
      </c>
      <c r="D4419" t="s">
        <v>985</v>
      </c>
      <c r="P4419">
        <v>96</v>
      </c>
      <c r="Q4419" t="s">
        <v>9182</v>
      </c>
    </row>
    <row r="4420" spans="1:17" x14ac:dyDescent="0.3">
      <c r="A4420" t="s">
        <v>4708</v>
      </c>
      <c r="B4420" t="str">
        <f>"300644"</f>
        <v>300644</v>
      </c>
      <c r="C4420" t="s">
        <v>9183</v>
      </c>
      <c r="D4420" t="s">
        <v>341</v>
      </c>
      <c r="P4420">
        <v>133</v>
      </c>
      <c r="Q4420" t="s">
        <v>9184</v>
      </c>
    </row>
    <row r="4421" spans="1:17" x14ac:dyDescent="0.3">
      <c r="A4421" t="s">
        <v>4708</v>
      </c>
      <c r="B4421" t="str">
        <f>"300645"</f>
        <v>300645</v>
      </c>
      <c r="C4421" t="s">
        <v>9185</v>
      </c>
      <c r="D4421" t="s">
        <v>236</v>
      </c>
      <c r="P4421">
        <v>111</v>
      </c>
      <c r="Q4421" t="s">
        <v>9186</v>
      </c>
    </row>
    <row r="4422" spans="1:17" x14ac:dyDescent="0.3">
      <c r="A4422" t="s">
        <v>4708</v>
      </c>
      <c r="B4422" t="str">
        <f>"300647"</f>
        <v>300647</v>
      </c>
      <c r="C4422" t="s">
        <v>9187</v>
      </c>
      <c r="D4422" t="s">
        <v>313</v>
      </c>
      <c r="P4422">
        <v>116</v>
      </c>
      <c r="Q4422" t="s">
        <v>9188</v>
      </c>
    </row>
    <row r="4423" spans="1:17" x14ac:dyDescent="0.3">
      <c r="A4423" t="s">
        <v>4708</v>
      </c>
      <c r="B4423" t="str">
        <f>"300648"</f>
        <v>300648</v>
      </c>
      <c r="C4423" t="s">
        <v>9189</v>
      </c>
      <c r="D4423" t="s">
        <v>3761</v>
      </c>
      <c r="P4423">
        <v>266</v>
      </c>
      <c r="Q4423" t="s">
        <v>9190</v>
      </c>
    </row>
    <row r="4424" spans="1:17" x14ac:dyDescent="0.3">
      <c r="A4424" t="s">
        <v>4708</v>
      </c>
      <c r="B4424" t="str">
        <f>"300649"</f>
        <v>300649</v>
      </c>
      <c r="C4424" t="s">
        <v>9191</v>
      </c>
      <c r="D4424" t="s">
        <v>2410</v>
      </c>
      <c r="P4424">
        <v>91</v>
      </c>
      <c r="Q4424" t="s">
        <v>9192</v>
      </c>
    </row>
    <row r="4425" spans="1:17" x14ac:dyDescent="0.3">
      <c r="A4425" t="s">
        <v>4708</v>
      </c>
      <c r="B4425" t="str">
        <f>"300650"</f>
        <v>300650</v>
      </c>
      <c r="C4425" t="s">
        <v>9193</v>
      </c>
      <c r="D4425" t="s">
        <v>803</v>
      </c>
      <c r="P4425">
        <v>125</v>
      </c>
      <c r="Q4425" t="s">
        <v>9194</v>
      </c>
    </row>
    <row r="4426" spans="1:17" x14ac:dyDescent="0.3">
      <c r="A4426" t="s">
        <v>4708</v>
      </c>
      <c r="B4426" t="str">
        <f>"300651"</f>
        <v>300651</v>
      </c>
      <c r="C4426" t="s">
        <v>9195</v>
      </c>
      <c r="D4426" t="s">
        <v>327</v>
      </c>
      <c r="P4426">
        <v>99</v>
      </c>
      <c r="Q4426" t="s">
        <v>9196</v>
      </c>
    </row>
    <row r="4427" spans="1:17" x14ac:dyDescent="0.3">
      <c r="A4427" t="s">
        <v>4708</v>
      </c>
      <c r="B4427" t="str">
        <f>"300652"</f>
        <v>300652</v>
      </c>
      <c r="C4427" t="s">
        <v>9197</v>
      </c>
      <c r="D4427" t="s">
        <v>422</v>
      </c>
      <c r="P4427">
        <v>92</v>
      </c>
      <c r="Q4427" t="s">
        <v>9198</v>
      </c>
    </row>
    <row r="4428" spans="1:17" x14ac:dyDescent="0.3">
      <c r="A4428" t="s">
        <v>4708</v>
      </c>
      <c r="B4428" t="str">
        <f>"300653"</f>
        <v>300653</v>
      </c>
      <c r="C4428" t="s">
        <v>9199</v>
      </c>
      <c r="D4428" t="s">
        <v>1077</v>
      </c>
      <c r="P4428">
        <v>898</v>
      </c>
      <c r="Q4428" t="s">
        <v>9200</v>
      </c>
    </row>
    <row r="4429" spans="1:17" x14ac:dyDescent="0.3">
      <c r="A4429" t="s">
        <v>4708</v>
      </c>
      <c r="B4429" t="str">
        <f>"300654"</f>
        <v>300654</v>
      </c>
      <c r="C4429" t="s">
        <v>9201</v>
      </c>
      <c r="D4429" t="s">
        <v>1536</v>
      </c>
      <c r="P4429">
        <v>73</v>
      </c>
      <c r="Q4429" t="s">
        <v>9202</v>
      </c>
    </row>
    <row r="4430" spans="1:17" x14ac:dyDescent="0.3">
      <c r="A4430" t="s">
        <v>4708</v>
      </c>
      <c r="B4430" t="str">
        <f>"300655"</f>
        <v>300655</v>
      </c>
      <c r="C4430" t="s">
        <v>9203</v>
      </c>
      <c r="D4430" t="s">
        <v>2401</v>
      </c>
      <c r="P4430">
        <v>3076</v>
      </c>
      <c r="Q4430" t="s">
        <v>9204</v>
      </c>
    </row>
    <row r="4431" spans="1:17" x14ac:dyDescent="0.3">
      <c r="A4431" t="s">
        <v>4708</v>
      </c>
      <c r="B4431" t="str">
        <f>"300656"</f>
        <v>300656</v>
      </c>
      <c r="C4431" t="s">
        <v>9205</v>
      </c>
      <c r="D4431" t="s">
        <v>651</v>
      </c>
      <c r="P4431">
        <v>80</v>
      </c>
      <c r="Q4431" t="s">
        <v>9206</v>
      </c>
    </row>
    <row r="4432" spans="1:17" x14ac:dyDescent="0.3">
      <c r="A4432" t="s">
        <v>4708</v>
      </c>
      <c r="B4432" t="str">
        <f>"300657"</f>
        <v>300657</v>
      </c>
      <c r="C4432" t="s">
        <v>9207</v>
      </c>
      <c r="D4432" t="s">
        <v>425</v>
      </c>
      <c r="P4432">
        <v>257</v>
      </c>
      <c r="Q4432" t="s">
        <v>9208</v>
      </c>
    </row>
    <row r="4433" spans="1:17" x14ac:dyDescent="0.3">
      <c r="A4433" t="s">
        <v>4708</v>
      </c>
      <c r="B4433" t="str">
        <f>"300658"</f>
        <v>300658</v>
      </c>
      <c r="C4433" t="s">
        <v>9209</v>
      </c>
      <c r="D4433" t="s">
        <v>2740</v>
      </c>
      <c r="P4433">
        <v>232</v>
      </c>
      <c r="Q4433" t="s">
        <v>9210</v>
      </c>
    </row>
    <row r="4434" spans="1:17" x14ac:dyDescent="0.3">
      <c r="A4434" t="s">
        <v>4708</v>
      </c>
      <c r="B4434" t="str">
        <f>"300659"</f>
        <v>300659</v>
      </c>
      <c r="C4434" t="s">
        <v>9211</v>
      </c>
      <c r="D4434" t="s">
        <v>236</v>
      </c>
      <c r="P4434">
        <v>272</v>
      </c>
      <c r="Q4434" t="s">
        <v>9212</v>
      </c>
    </row>
    <row r="4435" spans="1:17" x14ac:dyDescent="0.3">
      <c r="A4435" t="s">
        <v>4708</v>
      </c>
      <c r="B4435" t="str">
        <f>"300660"</f>
        <v>300660</v>
      </c>
      <c r="C4435" t="s">
        <v>9213</v>
      </c>
      <c r="D4435" t="s">
        <v>1171</v>
      </c>
      <c r="P4435">
        <v>108</v>
      </c>
      <c r="Q4435" t="s">
        <v>9214</v>
      </c>
    </row>
    <row r="4436" spans="1:17" x14ac:dyDescent="0.3">
      <c r="A4436" t="s">
        <v>4708</v>
      </c>
      <c r="B4436" t="str">
        <f>"300661"</f>
        <v>300661</v>
      </c>
      <c r="C4436" t="s">
        <v>9215</v>
      </c>
      <c r="D4436" t="s">
        <v>401</v>
      </c>
      <c r="P4436">
        <v>1054</v>
      </c>
      <c r="Q4436" t="s">
        <v>9216</v>
      </c>
    </row>
    <row r="4437" spans="1:17" x14ac:dyDescent="0.3">
      <c r="A4437" t="s">
        <v>4708</v>
      </c>
      <c r="B4437" t="str">
        <f>"300662"</f>
        <v>300662</v>
      </c>
      <c r="C4437" t="s">
        <v>9217</v>
      </c>
      <c r="D4437" t="s">
        <v>9218</v>
      </c>
      <c r="P4437">
        <v>688</v>
      </c>
      <c r="Q4437" t="s">
        <v>9219</v>
      </c>
    </row>
    <row r="4438" spans="1:17" x14ac:dyDescent="0.3">
      <c r="A4438" t="s">
        <v>4708</v>
      </c>
      <c r="B4438" t="str">
        <f>"300663"</f>
        <v>300663</v>
      </c>
      <c r="C4438" t="s">
        <v>9220</v>
      </c>
      <c r="D4438" t="s">
        <v>945</v>
      </c>
      <c r="P4438">
        <v>261</v>
      </c>
      <c r="Q4438" t="s">
        <v>9221</v>
      </c>
    </row>
    <row r="4439" spans="1:17" x14ac:dyDescent="0.3">
      <c r="A4439" t="s">
        <v>4708</v>
      </c>
      <c r="B4439" t="str">
        <f>"300664"</f>
        <v>300664</v>
      </c>
      <c r="C4439" t="s">
        <v>9222</v>
      </c>
      <c r="D4439" t="s">
        <v>33</v>
      </c>
      <c r="P4439">
        <v>118</v>
      </c>
      <c r="Q4439" t="s">
        <v>9223</v>
      </c>
    </row>
    <row r="4440" spans="1:17" x14ac:dyDescent="0.3">
      <c r="A4440" t="s">
        <v>4708</v>
      </c>
      <c r="B4440" t="str">
        <f>"300665"</f>
        <v>300665</v>
      </c>
      <c r="C4440" t="s">
        <v>9224</v>
      </c>
      <c r="D4440" t="s">
        <v>2576</v>
      </c>
      <c r="P4440">
        <v>109</v>
      </c>
      <c r="Q4440" t="s">
        <v>9225</v>
      </c>
    </row>
    <row r="4441" spans="1:17" x14ac:dyDescent="0.3">
      <c r="A4441" t="s">
        <v>4708</v>
      </c>
      <c r="B4441" t="str">
        <f>"300666"</f>
        <v>300666</v>
      </c>
      <c r="C4441" t="s">
        <v>9226</v>
      </c>
      <c r="D4441" t="s">
        <v>475</v>
      </c>
      <c r="P4441">
        <v>519</v>
      </c>
      <c r="Q4441" t="s">
        <v>9227</v>
      </c>
    </row>
    <row r="4442" spans="1:17" x14ac:dyDescent="0.3">
      <c r="A4442" t="s">
        <v>4708</v>
      </c>
      <c r="B4442" t="str">
        <f>"300667"</f>
        <v>300667</v>
      </c>
      <c r="C4442" t="s">
        <v>9228</v>
      </c>
      <c r="D4442" t="s">
        <v>2557</v>
      </c>
      <c r="P4442">
        <v>144</v>
      </c>
      <c r="Q4442" t="s">
        <v>9229</v>
      </c>
    </row>
    <row r="4443" spans="1:17" x14ac:dyDescent="0.3">
      <c r="A4443" t="s">
        <v>4708</v>
      </c>
      <c r="B4443" t="str">
        <f>"300668"</f>
        <v>300668</v>
      </c>
      <c r="C4443" t="s">
        <v>9230</v>
      </c>
      <c r="D4443" t="s">
        <v>1272</v>
      </c>
      <c r="P4443">
        <v>207</v>
      </c>
      <c r="Q4443" t="s">
        <v>9231</v>
      </c>
    </row>
    <row r="4444" spans="1:17" x14ac:dyDescent="0.3">
      <c r="A4444" t="s">
        <v>4708</v>
      </c>
      <c r="B4444" t="str">
        <f>"300669"</f>
        <v>300669</v>
      </c>
      <c r="C4444" t="s">
        <v>9232</v>
      </c>
      <c r="D4444" t="s">
        <v>1689</v>
      </c>
      <c r="P4444">
        <v>102</v>
      </c>
      <c r="Q4444" t="s">
        <v>9233</v>
      </c>
    </row>
    <row r="4445" spans="1:17" x14ac:dyDescent="0.3">
      <c r="A4445" t="s">
        <v>4708</v>
      </c>
      <c r="B4445" t="str">
        <f>"300670"</f>
        <v>300670</v>
      </c>
      <c r="C4445" t="s">
        <v>9234</v>
      </c>
      <c r="D4445" t="s">
        <v>657</v>
      </c>
      <c r="P4445">
        <v>67</v>
      </c>
      <c r="Q4445" t="s">
        <v>9235</v>
      </c>
    </row>
    <row r="4446" spans="1:17" x14ac:dyDescent="0.3">
      <c r="A4446" t="s">
        <v>4708</v>
      </c>
      <c r="B4446" t="str">
        <f>"300671"</f>
        <v>300671</v>
      </c>
      <c r="C4446" t="s">
        <v>9236</v>
      </c>
      <c r="D4446" t="s">
        <v>401</v>
      </c>
      <c r="P4446">
        <v>301</v>
      </c>
      <c r="Q4446" t="s">
        <v>9237</v>
      </c>
    </row>
    <row r="4447" spans="1:17" x14ac:dyDescent="0.3">
      <c r="A4447" t="s">
        <v>4708</v>
      </c>
      <c r="B4447" t="str">
        <f>"300672"</f>
        <v>300672</v>
      </c>
      <c r="C4447" t="s">
        <v>9238</v>
      </c>
      <c r="D4447" t="s">
        <v>461</v>
      </c>
      <c r="P4447">
        <v>305</v>
      </c>
      <c r="Q4447" t="s">
        <v>9239</v>
      </c>
    </row>
    <row r="4448" spans="1:17" x14ac:dyDescent="0.3">
      <c r="A4448" t="s">
        <v>4708</v>
      </c>
      <c r="B4448" t="str">
        <f>"300673"</f>
        <v>300673</v>
      </c>
      <c r="C4448" t="s">
        <v>9240</v>
      </c>
      <c r="D4448" t="s">
        <v>7514</v>
      </c>
      <c r="P4448">
        <v>512</v>
      </c>
      <c r="Q4448" t="s">
        <v>9241</v>
      </c>
    </row>
    <row r="4449" spans="1:17" x14ac:dyDescent="0.3">
      <c r="A4449" t="s">
        <v>4708</v>
      </c>
      <c r="B4449" t="str">
        <f>"300674"</f>
        <v>300674</v>
      </c>
      <c r="C4449" t="s">
        <v>9242</v>
      </c>
      <c r="D4449" t="s">
        <v>316</v>
      </c>
      <c r="P4449">
        <v>348</v>
      </c>
      <c r="Q4449" t="s">
        <v>9243</v>
      </c>
    </row>
    <row r="4450" spans="1:17" x14ac:dyDescent="0.3">
      <c r="A4450" t="s">
        <v>4708</v>
      </c>
      <c r="B4450" t="str">
        <f>"300675"</f>
        <v>300675</v>
      </c>
      <c r="C4450" t="s">
        <v>9244</v>
      </c>
      <c r="D4450" t="s">
        <v>1272</v>
      </c>
      <c r="P4450">
        <v>85</v>
      </c>
      <c r="Q4450" t="s">
        <v>9245</v>
      </c>
    </row>
    <row r="4451" spans="1:17" x14ac:dyDescent="0.3">
      <c r="A4451" t="s">
        <v>4708</v>
      </c>
      <c r="B4451" t="str">
        <f>"300676"</f>
        <v>300676</v>
      </c>
      <c r="C4451" t="s">
        <v>9246</v>
      </c>
      <c r="D4451" t="s">
        <v>1305</v>
      </c>
      <c r="P4451">
        <v>1481</v>
      </c>
      <c r="Q4451" t="s">
        <v>9247</v>
      </c>
    </row>
    <row r="4452" spans="1:17" x14ac:dyDescent="0.3">
      <c r="A4452" t="s">
        <v>4708</v>
      </c>
      <c r="B4452" t="str">
        <f>"300677"</f>
        <v>300677</v>
      </c>
      <c r="C4452" t="s">
        <v>9248</v>
      </c>
      <c r="D4452" t="s">
        <v>1077</v>
      </c>
      <c r="P4452">
        <v>1821</v>
      </c>
      <c r="Q4452" t="s">
        <v>9249</v>
      </c>
    </row>
    <row r="4453" spans="1:17" x14ac:dyDescent="0.3">
      <c r="A4453" t="s">
        <v>4708</v>
      </c>
      <c r="B4453" t="str">
        <f>"300678"</f>
        <v>300678</v>
      </c>
      <c r="C4453" t="s">
        <v>9250</v>
      </c>
      <c r="D4453" t="s">
        <v>316</v>
      </c>
      <c r="P4453">
        <v>105</v>
      </c>
      <c r="Q4453" t="s">
        <v>9251</v>
      </c>
    </row>
    <row r="4454" spans="1:17" x14ac:dyDescent="0.3">
      <c r="A4454" t="s">
        <v>4708</v>
      </c>
      <c r="B4454" t="str">
        <f>"300679"</f>
        <v>300679</v>
      </c>
      <c r="C4454" t="s">
        <v>9252</v>
      </c>
      <c r="D4454" t="s">
        <v>313</v>
      </c>
      <c r="P4454">
        <v>334</v>
      </c>
      <c r="Q4454" t="s">
        <v>9253</v>
      </c>
    </row>
    <row r="4455" spans="1:17" x14ac:dyDescent="0.3">
      <c r="A4455" t="s">
        <v>4708</v>
      </c>
      <c r="B4455" t="str">
        <f>"300680"</f>
        <v>300680</v>
      </c>
      <c r="C4455" t="s">
        <v>9254</v>
      </c>
      <c r="D4455" t="s">
        <v>348</v>
      </c>
      <c r="P4455">
        <v>114</v>
      </c>
      <c r="Q4455" t="s">
        <v>9255</v>
      </c>
    </row>
    <row r="4456" spans="1:17" x14ac:dyDescent="0.3">
      <c r="A4456" t="s">
        <v>4708</v>
      </c>
      <c r="B4456" t="str">
        <f>"300681"</f>
        <v>300681</v>
      </c>
      <c r="C4456" t="s">
        <v>9256</v>
      </c>
      <c r="D4456" t="s">
        <v>1415</v>
      </c>
      <c r="P4456">
        <v>89</v>
      </c>
      <c r="Q4456" t="s">
        <v>9257</v>
      </c>
    </row>
    <row r="4457" spans="1:17" x14ac:dyDescent="0.3">
      <c r="A4457" t="s">
        <v>4708</v>
      </c>
      <c r="B4457" t="str">
        <f>"300682"</f>
        <v>300682</v>
      </c>
      <c r="C4457" t="s">
        <v>9258</v>
      </c>
      <c r="D4457" t="s">
        <v>316</v>
      </c>
      <c r="P4457">
        <v>254</v>
      </c>
      <c r="Q4457" t="s">
        <v>9259</v>
      </c>
    </row>
    <row r="4458" spans="1:17" x14ac:dyDescent="0.3">
      <c r="A4458" t="s">
        <v>4708</v>
      </c>
      <c r="B4458" t="str">
        <f>"300683"</f>
        <v>300683</v>
      </c>
      <c r="C4458" t="s">
        <v>9260</v>
      </c>
      <c r="D4458" t="s">
        <v>1379</v>
      </c>
      <c r="P4458">
        <v>123</v>
      </c>
      <c r="Q4458" t="s">
        <v>9261</v>
      </c>
    </row>
    <row r="4459" spans="1:17" x14ac:dyDescent="0.3">
      <c r="A4459" t="s">
        <v>4708</v>
      </c>
      <c r="B4459" t="str">
        <f>"300684"</f>
        <v>300684</v>
      </c>
      <c r="C4459" t="s">
        <v>9262</v>
      </c>
      <c r="D4459" t="s">
        <v>313</v>
      </c>
      <c r="P4459">
        <v>348</v>
      </c>
      <c r="Q4459" t="s">
        <v>9263</v>
      </c>
    </row>
    <row r="4460" spans="1:17" x14ac:dyDescent="0.3">
      <c r="A4460" t="s">
        <v>4708</v>
      </c>
      <c r="B4460" t="str">
        <f>"300685"</f>
        <v>300685</v>
      </c>
      <c r="C4460" t="s">
        <v>9264</v>
      </c>
      <c r="D4460" t="s">
        <v>1305</v>
      </c>
      <c r="P4460">
        <v>974</v>
      </c>
      <c r="Q4460" t="s">
        <v>9265</v>
      </c>
    </row>
    <row r="4461" spans="1:17" x14ac:dyDescent="0.3">
      <c r="A4461" t="s">
        <v>4708</v>
      </c>
      <c r="B4461" t="str">
        <f>"300686"</f>
        <v>300686</v>
      </c>
      <c r="C4461" t="s">
        <v>9266</v>
      </c>
      <c r="D4461" t="s">
        <v>313</v>
      </c>
      <c r="P4461">
        <v>192</v>
      </c>
      <c r="Q4461" t="s">
        <v>9267</v>
      </c>
    </row>
    <row r="4462" spans="1:17" x14ac:dyDescent="0.3">
      <c r="A4462" t="s">
        <v>4708</v>
      </c>
      <c r="B4462" t="str">
        <f>"300687"</f>
        <v>300687</v>
      </c>
      <c r="C4462" t="s">
        <v>9268</v>
      </c>
      <c r="D4462" t="s">
        <v>316</v>
      </c>
      <c r="P4462">
        <v>266</v>
      </c>
      <c r="Q4462" t="s">
        <v>9269</v>
      </c>
    </row>
    <row r="4463" spans="1:17" x14ac:dyDescent="0.3">
      <c r="A4463" t="s">
        <v>4708</v>
      </c>
      <c r="B4463" t="str">
        <f>"300688"</f>
        <v>300688</v>
      </c>
      <c r="C4463" t="s">
        <v>9270</v>
      </c>
      <c r="D4463" t="s">
        <v>1336</v>
      </c>
      <c r="P4463">
        <v>83</v>
      </c>
      <c r="Q4463" t="s">
        <v>9271</v>
      </c>
    </row>
    <row r="4464" spans="1:17" x14ac:dyDescent="0.3">
      <c r="A4464" t="s">
        <v>4708</v>
      </c>
      <c r="B4464" t="str">
        <f>"300689"</f>
        <v>300689</v>
      </c>
      <c r="C4464" t="s">
        <v>9272</v>
      </c>
      <c r="D4464" t="s">
        <v>786</v>
      </c>
      <c r="P4464">
        <v>76</v>
      </c>
      <c r="Q4464" t="s">
        <v>9273</v>
      </c>
    </row>
    <row r="4465" spans="1:17" x14ac:dyDescent="0.3">
      <c r="A4465" t="s">
        <v>4708</v>
      </c>
      <c r="B4465" t="str">
        <f>"300690"</f>
        <v>300690</v>
      </c>
      <c r="C4465" t="s">
        <v>9274</v>
      </c>
      <c r="D4465" t="s">
        <v>950</v>
      </c>
      <c r="P4465">
        <v>214</v>
      </c>
      <c r="Q4465" t="s">
        <v>9275</v>
      </c>
    </row>
    <row r="4466" spans="1:17" x14ac:dyDescent="0.3">
      <c r="A4466" t="s">
        <v>4708</v>
      </c>
      <c r="B4466" t="str">
        <f>"300691"</f>
        <v>300691</v>
      </c>
      <c r="C4466" t="s">
        <v>9276</v>
      </c>
      <c r="D4466" t="s">
        <v>2965</v>
      </c>
      <c r="P4466">
        <v>186</v>
      </c>
      <c r="Q4466" t="s">
        <v>9277</v>
      </c>
    </row>
    <row r="4467" spans="1:17" x14ac:dyDescent="0.3">
      <c r="A4467" t="s">
        <v>4708</v>
      </c>
      <c r="B4467" t="str">
        <f>"300692"</f>
        <v>300692</v>
      </c>
      <c r="C4467" t="s">
        <v>9278</v>
      </c>
      <c r="D4467" t="s">
        <v>33</v>
      </c>
      <c r="P4467">
        <v>162</v>
      </c>
      <c r="Q4467" t="s">
        <v>9279</v>
      </c>
    </row>
    <row r="4468" spans="1:17" x14ac:dyDescent="0.3">
      <c r="A4468" t="s">
        <v>4708</v>
      </c>
      <c r="B4468" t="str">
        <f>"300693"</f>
        <v>300693</v>
      </c>
      <c r="C4468" t="s">
        <v>9280</v>
      </c>
      <c r="D4468" t="s">
        <v>880</v>
      </c>
      <c r="P4468">
        <v>214</v>
      </c>
      <c r="Q4468" t="s">
        <v>9281</v>
      </c>
    </row>
    <row r="4469" spans="1:17" x14ac:dyDescent="0.3">
      <c r="A4469" t="s">
        <v>4708</v>
      </c>
      <c r="B4469" t="str">
        <f>"300694"</f>
        <v>300694</v>
      </c>
      <c r="C4469" t="s">
        <v>9282</v>
      </c>
      <c r="D4469" t="s">
        <v>348</v>
      </c>
      <c r="P4469">
        <v>74</v>
      </c>
      <c r="Q4469" t="s">
        <v>9283</v>
      </c>
    </row>
    <row r="4470" spans="1:17" x14ac:dyDescent="0.3">
      <c r="A4470" t="s">
        <v>4708</v>
      </c>
      <c r="B4470" t="str">
        <f>"300695"</f>
        <v>300695</v>
      </c>
      <c r="C4470" t="s">
        <v>9284</v>
      </c>
      <c r="D4470" t="s">
        <v>422</v>
      </c>
      <c r="P4470">
        <v>125</v>
      </c>
      <c r="Q4470" t="s">
        <v>9285</v>
      </c>
    </row>
    <row r="4471" spans="1:17" x14ac:dyDescent="0.3">
      <c r="A4471" t="s">
        <v>4708</v>
      </c>
      <c r="B4471" t="str">
        <f>"300696"</f>
        <v>300696</v>
      </c>
      <c r="C4471" t="s">
        <v>9286</v>
      </c>
      <c r="D4471" t="s">
        <v>98</v>
      </c>
      <c r="P4471">
        <v>222</v>
      </c>
      <c r="Q4471" t="s">
        <v>9287</v>
      </c>
    </row>
    <row r="4472" spans="1:17" x14ac:dyDescent="0.3">
      <c r="A4472" t="s">
        <v>4708</v>
      </c>
      <c r="B4472" t="str">
        <f>"300697"</f>
        <v>300697</v>
      </c>
      <c r="C4472" t="s">
        <v>9288</v>
      </c>
      <c r="D4472" t="s">
        <v>263</v>
      </c>
      <c r="P4472">
        <v>77</v>
      </c>
      <c r="Q4472" t="s">
        <v>9289</v>
      </c>
    </row>
    <row r="4473" spans="1:17" x14ac:dyDescent="0.3">
      <c r="A4473" t="s">
        <v>4708</v>
      </c>
      <c r="B4473" t="str">
        <f>"300698"</f>
        <v>300698</v>
      </c>
      <c r="C4473" t="s">
        <v>9290</v>
      </c>
      <c r="D4473" t="s">
        <v>1019</v>
      </c>
      <c r="P4473">
        <v>121</v>
      </c>
      <c r="Q4473" t="s">
        <v>9291</v>
      </c>
    </row>
    <row r="4474" spans="1:17" x14ac:dyDescent="0.3">
      <c r="A4474" t="s">
        <v>4708</v>
      </c>
      <c r="B4474" t="str">
        <f>"300699"</f>
        <v>300699</v>
      </c>
      <c r="C4474" t="s">
        <v>9292</v>
      </c>
      <c r="D4474" t="s">
        <v>98</v>
      </c>
      <c r="P4474">
        <v>914</v>
      </c>
      <c r="Q4474" t="s">
        <v>9293</v>
      </c>
    </row>
    <row r="4475" spans="1:17" x14ac:dyDescent="0.3">
      <c r="A4475" t="s">
        <v>4708</v>
      </c>
      <c r="B4475" t="str">
        <f>"300700"</f>
        <v>300700</v>
      </c>
      <c r="C4475" t="s">
        <v>9294</v>
      </c>
      <c r="D4475" t="s">
        <v>404</v>
      </c>
      <c r="P4475">
        <v>140</v>
      </c>
      <c r="Q4475" t="s">
        <v>9295</v>
      </c>
    </row>
    <row r="4476" spans="1:17" x14ac:dyDescent="0.3">
      <c r="A4476" t="s">
        <v>4708</v>
      </c>
      <c r="B4476" t="str">
        <f>"300701"</f>
        <v>300701</v>
      </c>
      <c r="C4476" t="s">
        <v>9296</v>
      </c>
      <c r="D4476" t="s">
        <v>164</v>
      </c>
      <c r="P4476">
        <v>746</v>
      </c>
      <c r="Q4476" t="s">
        <v>9297</v>
      </c>
    </row>
    <row r="4477" spans="1:17" x14ac:dyDescent="0.3">
      <c r="A4477" t="s">
        <v>4708</v>
      </c>
      <c r="B4477" t="str">
        <f>"300702"</f>
        <v>300702</v>
      </c>
      <c r="C4477" t="s">
        <v>9298</v>
      </c>
      <c r="D4477" t="s">
        <v>496</v>
      </c>
      <c r="P4477">
        <v>411</v>
      </c>
      <c r="Q4477" t="s">
        <v>9299</v>
      </c>
    </row>
    <row r="4478" spans="1:17" x14ac:dyDescent="0.3">
      <c r="A4478" t="s">
        <v>4708</v>
      </c>
      <c r="B4478" t="str">
        <f>"300703"</f>
        <v>300703</v>
      </c>
      <c r="C4478" t="s">
        <v>9300</v>
      </c>
      <c r="D4478" t="s">
        <v>3395</v>
      </c>
      <c r="P4478">
        <v>109</v>
      </c>
      <c r="Q4478" t="s">
        <v>9301</v>
      </c>
    </row>
    <row r="4479" spans="1:17" x14ac:dyDescent="0.3">
      <c r="A4479" t="s">
        <v>4708</v>
      </c>
      <c r="B4479" t="str">
        <f>"300705"</f>
        <v>300705</v>
      </c>
      <c r="C4479" t="s">
        <v>9302</v>
      </c>
      <c r="D4479" t="s">
        <v>143</v>
      </c>
      <c r="P4479">
        <v>167</v>
      </c>
      <c r="Q4479" t="s">
        <v>9303</v>
      </c>
    </row>
    <row r="4480" spans="1:17" x14ac:dyDescent="0.3">
      <c r="A4480" t="s">
        <v>4708</v>
      </c>
      <c r="B4480" t="str">
        <f>"300706"</f>
        <v>300706</v>
      </c>
      <c r="C4480" t="s">
        <v>9304</v>
      </c>
      <c r="D4480" t="s">
        <v>475</v>
      </c>
      <c r="P4480">
        <v>178</v>
      </c>
      <c r="Q4480" t="s">
        <v>9305</v>
      </c>
    </row>
    <row r="4481" spans="1:17" x14ac:dyDescent="0.3">
      <c r="A4481" t="s">
        <v>4708</v>
      </c>
      <c r="B4481" t="str">
        <f>"300707"</f>
        <v>300707</v>
      </c>
      <c r="C4481" t="s">
        <v>9306</v>
      </c>
      <c r="D4481" t="s">
        <v>985</v>
      </c>
      <c r="P4481">
        <v>140</v>
      </c>
      <c r="Q4481" t="s">
        <v>9307</v>
      </c>
    </row>
    <row r="4482" spans="1:17" x14ac:dyDescent="0.3">
      <c r="A4482" t="s">
        <v>4708</v>
      </c>
      <c r="B4482" t="str">
        <f>"300708"</f>
        <v>300708</v>
      </c>
      <c r="C4482" t="s">
        <v>9308</v>
      </c>
      <c r="D4482" t="s">
        <v>803</v>
      </c>
      <c r="P4482">
        <v>164</v>
      </c>
      <c r="Q4482" t="s">
        <v>9309</v>
      </c>
    </row>
    <row r="4483" spans="1:17" x14ac:dyDescent="0.3">
      <c r="A4483" t="s">
        <v>4708</v>
      </c>
      <c r="B4483" t="str">
        <f>"300709"</f>
        <v>300709</v>
      </c>
      <c r="C4483" t="s">
        <v>9310</v>
      </c>
      <c r="D4483" t="s">
        <v>313</v>
      </c>
      <c r="P4483">
        <v>220</v>
      </c>
      <c r="Q4483" t="s">
        <v>9311</v>
      </c>
    </row>
    <row r="4484" spans="1:17" x14ac:dyDescent="0.3">
      <c r="A4484" t="s">
        <v>4708</v>
      </c>
      <c r="B4484" t="str">
        <f>"300710"</f>
        <v>300710</v>
      </c>
      <c r="C4484" t="s">
        <v>9312</v>
      </c>
      <c r="D4484" t="s">
        <v>1019</v>
      </c>
      <c r="P4484">
        <v>107</v>
      </c>
      <c r="Q4484" t="s">
        <v>9313</v>
      </c>
    </row>
    <row r="4485" spans="1:17" x14ac:dyDescent="0.3">
      <c r="A4485" t="s">
        <v>4708</v>
      </c>
      <c r="B4485" t="str">
        <f>"300711"</f>
        <v>300711</v>
      </c>
      <c r="C4485" t="s">
        <v>9314</v>
      </c>
      <c r="D4485" t="s">
        <v>595</v>
      </c>
      <c r="P4485">
        <v>130</v>
      </c>
      <c r="Q4485" t="s">
        <v>9315</v>
      </c>
    </row>
    <row r="4486" spans="1:17" x14ac:dyDescent="0.3">
      <c r="A4486" t="s">
        <v>4708</v>
      </c>
      <c r="B4486" t="str">
        <f>"300712"</f>
        <v>300712</v>
      </c>
      <c r="C4486" t="s">
        <v>9316</v>
      </c>
      <c r="D4486" t="s">
        <v>1988</v>
      </c>
      <c r="P4486">
        <v>125</v>
      </c>
      <c r="Q4486" t="s">
        <v>9317</v>
      </c>
    </row>
    <row r="4487" spans="1:17" x14ac:dyDescent="0.3">
      <c r="A4487" t="s">
        <v>4708</v>
      </c>
      <c r="B4487" t="str">
        <f>"300713"</f>
        <v>300713</v>
      </c>
      <c r="C4487" t="s">
        <v>9318</v>
      </c>
      <c r="D4487" t="s">
        <v>880</v>
      </c>
      <c r="P4487">
        <v>81</v>
      </c>
      <c r="Q4487" t="s">
        <v>9319</v>
      </c>
    </row>
    <row r="4488" spans="1:17" x14ac:dyDescent="0.3">
      <c r="A4488" t="s">
        <v>4708</v>
      </c>
      <c r="B4488" t="str">
        <f>"300715"</f>
        <v>300715</v>
      </c>
      <c r="C4488" t="s">
        <v>9320</v>
      </c>
      <c r="D4488" t="s">
        <v>6298</v>
      </c>
      <c r="P4488">
        <v>413</v>
      </c>
      <c r="Q4488" t="s">
        <v>9321</v>
      </c>
    </row>
    <row r="4489" spans="1:17" x14ac:dyDescent="0.3">
      <c r="A4489" t="s">
        <v>4708</v>
      </c>
      <c r="B4489" t="str">
        <f>"300716"</f>
        <v>300716</v>
      </c>
      <c r="C4489" t="s">
        <v>9322</v>
      </c>
      <c r="D4489" t="s">
        <v>341</v>
      </c>
      <c r="P4489">
        <v>59</v>
      </c>
      <c r="Q4489" t="s">
        <v>9323</v>
      </c>
    </row>
    <row r="4490" spans="1:17" x14ac:dyDescent="0.3">
      <c r="A4490" t="s">
        <v>4708</v>
      </c>
      <c r="B4490" t="str">
        <f>"300717"</f>
        <v>300717</v>
      </c>
      <c r="C4490" t="s">
        <v>9324</v>
      </c>
      <c r="D4490" t="s">
        <v>1192</v>
      </c>
      <c r="P4490">
        <v>71</v>
      </c>
      <c r="Q4490" t="s">
        <v>9325</v>
      </c>
    </row>
    <row r="4491" spans="1:17" x14ac:dyDescent="0.3">
      <c r="A4491" t="s">
        <v>4708</v>
      </c>
      <c r="B4491" t="str">
        <f>"300718"</f>
        <v>300718</v>
      </c>
      <c r="C4491" t="s">
        <v>9326</v>
      </c>
      <c r="D4491" t="s">
        <v>2003</v>
      </c>
      <c r="P4491">
        <v>100</v>
      </c>
      <c r="Q4491" t="s">
        <v>9327</v>
      </c>
    </row>
    <row r="4492" spans="1:17" x14ac:dyDescent="0.3">
      <c r="A4492" t="s">
        <v>4708</v>
      </c>
      <c r="B4492" t="str">
        <f>"300719"</f>
        <v>300719</v>
      </c>
      <c r="C4492" t="s">
        <v>9328</v>
      </c>
      <c r="D4492" t="s">
        <v>98</v>
      </c>
      <c r="P4492">
        <v>93</v>
      </c>
      <c r="Q4492" t="s">
        <v>9329</v>
      </c>
    </row>
    <row r="4493" spans="1:17" x14ac:dyDescent="0.3">
      <c r="A4493" t="s">
        <v>4708</v>
      </c>
      <c r="B4493" t="str">
        <f>"300720"</f>
        <v>300720</v>
      </c>
      <c r="C4493" t="s">
        <v>9330</v>
      </c>
      <c r="D4493" t="s">
        <v>2557</v>
      </c>
      <c r="P4493">
        <v>70</v>
      </c>
      <c r="Q4493" t="s">
        <v>9331</v>
      </c>
    </row>
    <row r="4494" spans="1:17" x14ac:dyDescent="0.3">
      <c r="A4494" t="s">
        <v>4708</v>
      </c>
      <c r="B4494" t="str">
        <f>"300721"</f>
        <v>300721</v>
      </c>
      <c r="C4494" t="s">
        <v>9332</v>
      </c>
      <c r="D4494" t="s">
        <v>386</v>
      </c>
      <c r="P4494">
        <v>73</v>
      </c>
      <c r="Q4494" t="s">
        <v>9333</v>
      </c>
    </row>
    <row r="4495" spans="1:17" x14ac:dyDescent="0.3">
      <c r="A4495" t="s">
        <v>4708</v>
      </c>
      <c r="B4495" t="str">
        <f>"300722"</f>
        <v>300722</v>
      </c>
      <c r="C4495" t="s">
        <v>9334</v>
      </c>
      <c r="D4495" t="s">
        <v>284</v>
      </c>
      <c r="P4495">
        <v>113</v>
      </c>
      <c r="Q4495" t="s">
        <v>9335</v>
      </c>
    </row>
    <row r="4496" spans="1:17" x14ac:dyDescent="0.3">
      <c r="A4496" t="s">
        <v>4708</v>
      </c>
      <c r="B4496" t="str">
        <f>"300723"</f>
        <v>300723</v>
      </c>
      <c r="C4496" t="s">
        <v>9336</v>
      </c>
      <c r="D4496" t="s">
        <v>143</v>
      </c>
      <c r="P4496">
        <v>222</v>
      </c>
      <c r="Q4496" t="s">
        <v>9337</v>
      </c>
    </row>
    <row r="4497" spans="1:17" x14ac:dyDescent="0.3">
      <c r="A4497" t="s">
        <v>4708</v>
      </c>
      <c r="B4497" t="str">
        <f>"300724"</f>
        <v>300724</v>
      </c>
      <c r="C4497" t="s">
        <v>9338</v>
      </c>
      <c r="D4497" t="s">
        <v>2662</v>
      </c>
      <c r="P4497">
        <v>573</v>
      </c>
      <c r="Q4497" t="s">
        <v>9339</v>
      </c>
    </row>
    <row r="4498" spans="1:17" x14ac:dyDescent="0.3">
      <c r="A4498" t="s">
        <v>4708</v>
      </c>
      <c r="B4498" t="str">
        <f>"300725"</f>
        <v>300725</v>
      </c>
      <c r="C4498" t="s">
        <v>9340</v>
      </c>
      <c r="D4498" t="s">
        <v>1461</v>
      </c>
      <c r="P4498">
        <v>1114</v>
      </c>
      <c r="Q4498" t="s">
        <v>9341</v>
      </c>
    </row>
    <row r="4499" spans="1:17" x14ac:dyDescent="0.3">
      <c r="A4499" t="s">
        <v>4708</v>
      </c>
      <c r="B4499" t="str">
        <f>"300726"</f>
        <v>300726</v>
      </c>
      <c r="C4499" t="s">
        <v>9342</v>
      </c>
      <c r="D4499" t="s">
        <v>1136</v>
      </c>
      <c r="P4499">
        <v>748</v>
      </c>
      <c r="Q4499" t="s">
        <v>9343</v>
      </c>
    </row>
    <row r="4500" spans="1:17" x14ac:dyDescent="0.3">
      <c r="A4500" t="s">
        <v>4708</v>
      </c>
      <c r="B4500" t="str">
        <f>"300727"</f>
        <v>300727</v>
      </c>
      <c r="C4500" t="s">
        <v>9344</v>
      </c>
      <c r="D4500" t="s">
        <v>1205</v>
      </c>
      <c r="P4500">
        <v>73</v>
      </c>
      <c r="Q4500" t="s">
        <v>9345</v>
      </c>
    </row>
    <row r="4501" spans="1:17" x14ac:dyDescent="0.3">
      <c r="A4501" t="s">
        <v>4708</v>
      </c>
      <c r="B4501" t="str">
        <f>"300728"</f>
        <v>300728</v>
      </c>
      <c r="C4501" t="s">
        <v>9346</v>
      </c>
      <c r="P4501">
        <v>10</v>
      </c>
      <c r="Q4501" t="s">
        <v>9347</v>
      </c>
    </row>
    <row r="4502" spans="1:17" x14ac:dyDescent="0.3">
      <c r="A4502" t="s">
        <v>4708</v>
      </c>
      <c r="B4502" t="str">
        <f>"300729"</f>
        <v>300729</v>
      </c>
      <c r="C4502" t="s">
        <v>9348</v>
      </c>
      <c r="D4502" t="s">
        <v>2438</v>
      </c>
      <c r="P4502">
        <v>219</v>
      </c>
      <c r="Q4502" t="s">
        <v>9349</v>
      </c>
    </row>
    <row r="4503" spans="1:17" x14ac:dyDescent="0.3">
      <c r="A4503" t="s">
        <v>4708</v>
      </c>
      <c r="B4503" t="str">
        <f>"300730"</f>
        <v>300730</v>
      </c>
      <c r="C4503" t="s">
        <v>9350</v>
      </c>
      <c r="D4503" t="s">
        <v>945</v>
      </c>
      <c r="P4503">
        <v>98</v>
      </c>
      <c r="Q4503" t="s">
        <v>9351</v>
      </c>
    </row>
    <row r="4504" spans="1:17" x14ac:dyDescent="0.3">
      <c r="A4504" t="s">
        <v>4708</v>
      </c>
      <c r="B4504" t="str">
        <f>"300731"</f>
        <v>300731</v>
      </c>
      <c r="C4504" t="s">
        <v>9352</v>
      </c>
      <c r="D4504" t="s">
        <v>2462</v>
      </c>
      <c r="P4504">
        <v>186</v>
      </c>
      <c r="Q4504" t="s">
        <v>9353</v>
      </c>
    </row>
    <row r="4505" spans="1:17" x14ac:dyDescent="0.3">
      <c r="A4505" t="s">
        <v>4708</v>
      </c>
      <c r="B4505" t="str">
        <f>"300732"</f>
        <v>300732</v>
      </c>
      <c r="C4505" t="s">
        <v>9354</v>
      </c>
      <c r="D4505" t="s">
        <v>1272</v>
      </c>
      <c r="P4505">
        <v>151</v>
      </c>
      <c r="Q4505" t="s">
        <v>9355</v>
      </c>
    </row>
    <row r="4506" spans="1:17" x14ac:dyDescent="0.3">
      <c r="A4506" t="s">
        <v>4708</v>
      </c>
      <c r="B4506" t="str">
        <f>"300733"</f>
        <v>300733</v>
      </c>
      <c r="C4506" t="s">
        <v>9356</v>
      </c>
      <c r="D4506" t="s">
        <v>348</v>
      </c>
      <c r="P4506">
        <v>60</v>
      </c>
      <c r="Q4506" t="s">
        <v>9357</v>
      </c>
    </row>
    <row r="4507" spans="1:17" x14ac:dyDescent="0.3">
      <c r="A4507" t="s">
        <v>4708</v>
      </c>
      <c r="B4507" t="str">
        <f>"300735"</f>
        <v>300735</v>
      </c>
      <c r="C4507" t="s">
        <v>9358</v>
      </c>
      <c r="D4507" t="s">
        <v>313</v>
      </c>
      <c r="P4507">
        <v>453</v>
      </c>
      <c r="Q4507" t="s">
        <v>9359</v>
      </c>
    </row>
    <row r="4508" spans="1:17" x14ac:dyDescent="0.3">
      <c r="A4508" t="s">
        <v>4708</v>
      </c>
      <c r="B4508" t="str">
        <f>"300736"</f>
        <v>300736</v>
      </c>
      <c r="C4508" t="s">
        <v>9360</v>
      </c>
      <c r="D4508" t="s">
        <v>651</v>
      </c>
      <c r="P4508">
        <v>114</v>
      </c>
      <c r="Q4508" t="s">
        <v>9361</v>
      </c>
    </row>
    <row r="4509" spans="1:17" x14ac:dyDescent="0.3">
      <c r="A4509" t="s">
        <v>4708</v>
      </c>
      <c r="B4509" t="str">
        <f>"300737"</f>
        <v>300737</v>
      </c>
      <c r="C4509" t="s">
        <v>9362</v>
      </c>
      <c r="D4509" t="s">
        <v>6298</v>
      </c>
      <c r="P4509">
        <v>459</v>
      </c>
      <c r="Q4509" t="s">
        <v>9363</v>
      </c>
    </row>
    <row r="4510" spans="1:17" x14ac:dyDescent="0.3">
      <c r="A4510" t="s">
        <v>4708</v>
      </c>
      <c r="B4510" t="str">
        <f>"300738"</f>
        <v>300738</v>
      </c>
      <c r="C4510" t="s">
        <v>9364</v>
      </c>
      <c r="D4510" t="s">
        <v>316</v>
      </c>
      <c r="P4510">
        <v>300</v>
      </c>
      <c r="Q4510" t="s">
        <v>9365</v>
      </c>
    </row>
    <row r="4511" spans="1:17" x14ac:dyDescent="0.3">
      <c r="A4511" t="s">
        <v>4708</v>
      </c>
      <c r="B4511" t="str">
        <f>"300739"</f>
        <v>300739</v>
      </c>
      <c r="C4511" t="s">
        <v>9366</v>
      </c>
      <c r="D4511" t="s">
        <v>425</v>
      </c>
      <c r="P4511">
        <v>170</v>
      </c>
      <c r="Q4511" t="s">
        <v>9367</v>
      </c>
    </row>
    <row r="4512" spans="1:17" x14ac:dyDescent="0.3">
      <c r="A4512" t="s">
        <v>4708</v>
      </c>
      <c r="B4512" t="str">
        <f>"300740"</f>
        <v>300740</v>
      </c>
      <c r="C4512" t="s">
        <v>9368</v>
      </c>
      <c r="D4512" t="s">
        <v>709</v>
      </c>
      <c r="P4512">
        <v>256</v>
      </c>
      <c r="Q4512" t="s">
        <v>9369</v>
      </c>
    </row>
    <row r="4513" spans="1:17" x14ac:dyDescent="0.3">
      <c r="A4513" t="s">
        <v>4708</v>
      </c>
      <c r="B4513" t="str">
        <f>"300741"</f>
        <v>300741</v>
      </c>
      <c r="C4513" t="s">
        <v>9370</v>
      </c>
      <c r="D4513" t="s">
        <v>677</v>
      </c>
      <c r="P4513">
        <v>458</v>
      </c>
      <c r="Q4513" t="s">
        <v>9371</v>
      </c>
    </row>
    <row r="4514" spans="1:17" x14ac:dyDescent="0.3">
      <c r="A4514" t="s">
        <v>4708</v>
      </c>
      <c r="B4514" t="str">
        <f>"300742"</f>
        <v>300742</v>
      </c>
      <c r="C4514" t="s">
        <v>9372</v>
      </c>
      <c r="D4514" t="s">
        <v>348</v>
      </c>
      <c r="P4514">
        <v>90</v>
      </c>
      <c r="Q4514" t="s">
        <v>9373</v>
      </c>
    </row>
    <row r="4515" spans="1:17" x14ac:dyDescent="0.3">
      <c r="A4515" t="s">
        <v>4708</v>
      </c>
      <c r="B4515" t="str">
        <f>"300743"</f>
        <v>300743</v>
      </c>
      <c r="C4515" t="s">
        <v>9374</v>
      </c>
      <c r="D4515" t="s">
        <v>236</v>
      </c>
      <c r="P4515">
        <v>54</v>
      </c>
      <c r="Q4515" t="s">
        <v>9375</v>
      </c>
    </row>
    <row r="4516" spans="1:17" x14ac:dyDescent="0.3">
      <c r="A4516" t="s">
        <v>4708</v>
      </c>
      <c r="B4516" t="str">
        <f>"300745"</f>
        <v>300745</v>
      </c>
      <c r="C4516" t="s">
        <v>9376</v>
      </c>
      <c r="D4516" t="s">
        <v>985</v>
      </c>
      <c r="P4516">
        <v>76</v>
      </c>
      <c r="Q4516" t="s">
        <v>9377</v>
      </c>
    </row>
    <row r="4517" spans="1:17" x14ac:dyDescent="0.3">
      <c r="A4517" t="s">
        <v>4708</v>
      </c>
      <c r="B4517" t="str">
        <f>"300746"</f>
        <v>300746</v>
      </c>
      <c r="C4517" t="s">
        <v>9378</v>
      </c>
      <c r="D4517" t="s">
        <v>1272</v>
      </c>
      <c r="P4517">
        <v>66</v>
      </c>
      <c r="Q4517" t="s">
        <v>9379</v>
      </c>
    </row>
    <row r="4518" spans="1:17" x14ac:dyDescent="0.3">
      <c r="A4518" t="s">
        <v>4708</v>
      </c>
      <c r="B4518" t="str">
        <f>"300747"</f>
        <v>300747</v>
      </c>
      <c r="C4518" t="s">
        <v>9380</v>
      </c>
      <c r="D4518" t="s">
        <v>3796</v>
      </c>
      <c r="P4518">
        <v>3347</v>
      </c>
      <c r="Q4518" t="s">
        <v>9381</v>
      </c>
    </row>
    <row r="4519" spans="1:17" x14ac:dyDescent="0.3">
      <c r="A4519" t="s">
        <v>4708</v>
      </c>
      <c r="B4519" t="str">
        <f>"300748"</f>
        <v>300748</v>
      </c>
      <c r="C4519" t="s">
        <v>9382</v>
      </c>
      <c r="D4519" t="s">
        <v>808</v>
      </c>
      <c r="P4519">
        <v>341</v>
      </c>
      <c r="Q4519" t="s">
        <v>9383</v>
      </c>
    </row>
    <row r="4520" spans="1:17" x14ac:dyDescent="0.3">
      <c r="A4520" t="s">
        <v>4708</v>
      </c>
      <c r="B4520" t="str">
        <f>"300749"</f>
        <v>300749</v>
      </c>
      <c r="C4520" t="s">
        <v>9384</v>
      </c>
      <c r="D4520" t="s">
        <v>2655</v>
      </c>
      <c r="P4520">
        <v>97</v>
      </c>
      <c r="Q4520" t="s">
        <v>9385</v>
      </c>
    </row>
    <row r="4521" spans="1:17" x14ac:dyDescent="0.3">
      <c r="A4521" t="s">
        <v>4708</v>
      </c>
      <c r="B4521" t="str">
        <f>"300750"</f>
        <v>300750</v>
      </c>
      <c r="C4521" t="s">
        <v>9386</v>
      </c>
      <c r="D4521" t="s">
        <v>359</v>
      </c>
      <c r="P4521">
        <v>4825</v>
      </c>
      <c r="Q4521" t="s">
        <v>9387</v>
      </c>
    </row>
    <row r="4522" spans="1:17" x14ac:dyDescent="0.3">
      <c r="A4522" t="s">
        <v>4708</v>
      </c>
      <c r="B4522" t="str">
        <f>"300751"</f>
        <v>300751</v>
      </c>
      <c r="C4522" t="s">
        <v>9388</v>
      </c>
      <c r="D4522" t="s">
        <v>2662</v>
      </c>
      <c r="P4522">
        <v>627</v>
      </c>
      <c r="Q4522" t="s">
        <v>9389</v>
      </c>
    </row>
    <row r="4523" spans="1:17" x14ac:dyDescent="0.3">
      <c r="A4523" t="s">
        <v>4708</v>
      </c>
      <c r="B4523" t="str">
        <f>"300752"</f>
        <v>300752</v>
      </c>
      <c r="C4523" t="s">
        <v>9390</v>
      </c>
      <c r="D4523" t="s">
        <v>803</v>
      </c>
      <c r="P4523">
        <v>140</v>
      </c>
      <c r="Q4523" t="s">
        <v>9391</v>
      </c>
    </row>
    <row r="4524" spans="1:17" x14ac:dyDescent="0.3">
      <c r="A4524" t="s">
        <v>4708</v>
      </c>
      <c r="B4524" t="str">
        <f>"300753"</f>
        <v>300753</v>
      </c>
      <c r="C4524" t="s">
        <v>9392</v>
      </c>
      <c r="D4524" t="s">
        <v>122</v>
      </c>
      <c r="P4524">
        <v>243</v>
      </c>
      <c r="Q4524" t="s">
        <v>9393</v>
      </c>
    </row>
    <row r="4525" spans="1:17" x14ac:dyDescent="0.3">
      <c r="A4525" t="s">
        <v>4708</v>
      </c>
      <c r="B4525" t="str">
        <f>"300755"</f>
        <v>300755</v>
      </c>
      <c r="C4525" t="s">
        <v>9394</v>
      </c>
      <c r="D4525" t="s">
        <v>295</v>
      </c>
      <c r="P4525">
        <v>246</v>
      </c>
      <c r="Q4525" t="s">
        <v>9395</v>
      </c>
    </row>
    <row r="4526" spans="1:17" x14ac:dyDescent="0.3">
      <c r="A4526" t="s">
        <v>4708</v>
      </c>
      <c r="B4526" t="str">
        <f>"300756"</f>
        <v>300756</v>
      </c>
      <c r="C4526" t="s">
        <v>9396</v>
      </c>
      <c r="D4526" t="s">
        <v>2916</v>
      </c>
      <c r="P4526">
        <v>76</v>
      </c>
      <c r="Q4526" t="s">
        <v>9397</v>
      </c>
    </row>
    <row r="4527" spans="1:17" x14ac:dyDescent="0.3">
      <c r="A4527" t="s">
        <v>4708</v>
      </c>
      <c r="B4527" t="str">
        <f>"300757"</f>
        <v>300757</v>
      </c>
      <c r="C4527" t="s">
        <v>9398</v>
      </c>
      <c r="D4527" t="s">
        <v>3462</v>
      </c>
      <c r="P4527">
        <v>76</v>
      </c>
      <c r="Q4527" t="s">
        <v>9399</v>
      </c>
    </row>
    <row r="4528" spans="1:17" x14ac:dyDescent="0.3">
      <c r="A4528" t="s">
        <v>4708</v>
      </c>
      <c r="B4528" t="str">
        <f>"300758"</f>
        <v>300758</v>
      </c>
      <c r="C4528" t="s">
        <v>9400</v>
      </c>
      <c r="D4528" t="s">
        <v>2576</v>
      </c>
      <c r="P4528">
        <v>104</v>
      </c>
      <c r="Q4528" t="s">
        <v>9401</v>
      </c>
    </row>
    <row r="4529" spans="1:17" x14ac:dyDescent="0.3">
      <c r="A4529" t="s">
        <v>4708</v>
      </c>
      <c r="B4529" t="str">
        <f>"300759"</f>
        <v>300759</v>
      </c>
      <c r="C4529" t="s">
        <v>9402</v>
      </c>
      <c r="D4529" t="s">
        <v>1461</v>
      </c>
      <c r="P4529">
        <v>1080</v>
      </c>
      <c r="Q4529" t="s">
        <v>9403</v>
      </c>
    </row>
    <row r="4530" spans="1:17" x14ac:dyDescent="0.3">
      <c r="A4530" t="s">
        <v>4708</v>
      </c>
      <c r="B4530" t="str">
        <f>"300760"</f>
        <v>300760</v>
      </c>
      <c r="C4530" t="s">
        <v>9404</v>
      </c>
      <c r="D4530" t="s">
        <v>122</v>
      </c>
      <c r="P4530">
        <v>4593</v>
      </c>
      <c r="Q4530" t="s">
        <v>9405</v>
      </c>
    </row>
    <row r="4531" spans="1:17" x14ac:dyDescent="0.3">
      <c r="A4531" t="s">
        <v>4708</v>
      </c>
      <c r="B4531" t="str">
        <f>"300761"</f>
        <v>300761</v>
      </c>
      <c r="C4531" t="s">
        <v>9406</v>
      </c>
      <c r="D4531" t="s">
        <v>6225</v>
      </c>
      <c r="P4531">
        <v>369</v>
      </c>
      <c r="Q4531" t="s">
        <v>9407</v>
      </c>
    </row>
    <row r="4532" spans="1:17" x14ac:dyDescent="0.3">
      <c r="A4532" t="s">
        <v>4708</v>
      </c>
      <c r="B4532" t="str">
        <f>"300762"</f>
        <v>300762</v>
      </c>
      <c r="C4532" t="s">
        <v>9408</v>
      </c>
      <c r="D4532" t="s">
        <v>1136</v>
      </c>
      <c r="P4532">
        <v>181</v>
      </c>
      <c r="Q4532" t="s">
        <v>9409</v>
      </c>
    </row>
    <row r="4533" spans="1:17" x14ac:dyDescent="0.3">
      <c r="A4533" t="s">
        <v>4708</v>
      </c>
      <c r="B4533" t="str">
        <f>"300763"</f>
        <v>300763</v>
      </c>
      <c r="C4533" t="s">
        <v>9410</v>
      </c>
      <c r="D4533" t="s">
        <v>3809</v>
      </c>
      <c r="P4533">
        <v>582</v>
      </c>
      <c r="Q4533" t="s">
        <v>9411</v>
      </c>
    </row>
    <row r="4534" spans="1:17" x14ac:dyDescent="0.3">
      <c r="A4534" t="s">
        <v>4708</v>
      </c>
      <c r="B4534" t="str">
        <f>"300765"</f>
        <v>300765</v>
      </c>
      <c r="C4534" t="s">
        <v>9412</v>
      </c>
      <c r="D4534" t="s">
        <v>496</v>
      </c>
      <c r="P4534">
        <v>173</v>
      </c>
      <c r="Q4534" t="s">
        <v>9413</v>
      </c>
    </row>
    <row r="4535" spans="1:17" x14ac:dyDescent="0.3">
      <c r="A4535" t="s">
        <v>4708</v>
      </c>
      <c r="B4535" t="str">
        <f>"300766"</f>
        <v>300766</v>
      </c>
      <c r="C4535" t="s">
        <v>9414</v>
      </c>
      <c r="D4535" t="s">
        <v>1189</v>
      </c>
      <c r="P4535">
        <v>140</v>
      </c>
      <c r="Q4535" t="s">
        <v>9415</v>
      </c>
    </row>
    <row r="4536" spans="1:17" x14ac:dyDescent="0.3">
      <c r="A4536" t="s">
        <v>4708</v>
      </c>
      <c r="B4536" t="str">
        <f>"300767"</f>
        <v>300767</v>
      </c>
      <c r="C4536" t="s">
        <v>9416</v>
      </c>
      <c r="D4536" t="s">
        <v>2462</v>
      </c>
      <c r="P4536">
        <v>197</v>
      </c>
      <c r="Q4536" t="s">
        <v>9417</v>
      </c>
    </row>
    <row r="4537" spans="1:17" x14ac:dyDescent="0.3">
      <c r="A4537" t="s">
        <v>4708</v>
      </c>
      <c r="B4537" t="str">
        <f>"300768"</f>
        <v>300768</v>
      </c>
      <c r="C4537" t="s">
        <v>9418</v>
      </c>
      <c r="D4537" t="s">
        <v>1189</v>
      </c>
      <c r="P4537">
        <v>240</v>
      </c>
      <c r="Q4537" t="s">
        <v>9419</v>
      </c>
    </row>
    <row r="4538" spans="1:17" x14ac:dyDescent="0.3">
      <c r="A4538" t="s">
        <v>4708</v>
      </c>
      <c r="B4538" t="str">
        <f>"300769"</f>
        <v>300769</v>
      </c>
      <c r="C4538" t="s">
        <v>9420</v>
      </c>
      <c r="D4538" t="s">
        <v>1786</v>
      </c>
      <c r="P4538">
        <v>325</v>
      </c>
      <c r="Q4538" t="s">
        <v>9421</v>
      </c>
    </row>
    <row r="4539" spans="1:17" x14ac:dyDescent="0.3">
      <c r="A4539" t="s">
        <v>4708</v>
      </c>
      <c r="B4539" t="str">
        <f>"300770"</f>
        <v>300770</v>
      </c>
      <c r="C4539" t="s">
        <v>9422</v>
      </c>
      <c r="D4539" t="s">
        <v>95</v>
      </c>
      <c r="P4539">
        <v>632</v>
      </c>
      <c r="Q4539" t="s">
        <v>9423</v>
      </c>
    </row>
    <row r="4540" spans="1:17" x14ac:dyDescent="0.3">
      <c r="A4540" t="s">
        <v>4708</v>
      </c>
      <c r="B4540" t="str">
        <f>"300771"</f>
        <v>300771</v>
      </c>
      <c r="C4540" t="s">
        <v>9424</v>
      </c>
      <c r="D4540" t="s">
        <v>236</v>
      </c>
      <c r="P4540">
        <v>229</v>
      </c>
      <c r="Q4540" t="s">
        <v>9425</v>
      </c>
    </row>
    <row r="4541" spans="1:17" x14ac:dyDescent="0.3">
      <c r="A4541" t="s">
        <v>4708</v>
      </c>
      <c r="B4541" t="str">
        <f>"300772"</f>
        <v>300772</v>
      </c>
      <c r="C4541" t="s">
        <v>9426</v>
      </c>
      <c r="D4541" t="s">
        <v>895</v>
      </c>
      <c r="P4541">
        <v>177</v>
      </c>
      <c r="Q4541" t="s">
        <v>9427</v>
      </c>
    </row>
    <row r="4542" spans="1:17" x14ac:dyDescent="0.3">
      <c r="A4542" t="s">
        <v>4708</v>
      </c>
      <c r="B4542" t="str">
        <f>"300773"</f>
        <v>300773</v>
      </c>
      <c r="C4542" t="s">
        <v>9428</v>
      </c>
      <c r="D4542" t="s">
        <v>6389</v>
      </c>
      <c r="P4542">
        <v>472</v>
      </c>
      <c r="Q4542" t="s">
        <v>9429</v>
      </c>
    </row>
    <row r="4543" spans="1:17" x14ac:dyDescent="0.3">
      <c r="A4543" t="s">
        <v>4708</v>
      </c>
      <c r="B4543" t="str">
        <f>"300774"</f>
        <v>300774</v>
      </c>
      <c r="C4543" t="s">
        <v>9430</v>
      </c>
      <c r="D4543" t="s">
        <v>33</v>
      </c>
      <c r="P4543">
        <v>24</v>
      </c>
      <c r="Q4543" t="s">
        <v>9431</v>
      </c>
    </row>
    <row r="4544" spans="1:17" x14ac:dyDescent="0.3">
      <c r="A4544" t="s">
        <v>4708</v>
      </c>
      <c r="B4544" t="str">
        <f>"300775"</f>
        <v>300775</v>
      </c>
      <c r="C4544" t="s">
        <v>9432</v>
      </c>
      <c r="D4544" t="s">
        <v>98</v>
      </c>
      <c r="P4544">
        <v>186</v>
      </c>
      <c r="Q4544" t="s">
        <v>9433</v>
      </c>
    </row>
    <row r="4545" spans="1:17" x14ac:dyDescent="0.3">
      <c r="A4545" t="s">
        <v>4708</v>
      </c>
      <c r="B4545" t="str">
        <f>"300776"</f>
        <v>300776</v>
      </c>
      <c r="C4545" t="s">
        <v>9434</v>
      </c>
      <c r="D4545" t="s">
        <v>2662</v>
      </c>
      <c r="P4545">
        <v>397</v>
      </c>
      <c r="Q4545" t="s">
        <v>9435</v>
      </c>
    </row>
    <row r="4546" spans="1:17" x14ac:dyDescent="0.3">
      <c r="A4546" t="s">
        <v>4708</v>
      </c>
      <c r="B4546" t="str">
        <f>"300777"</f>
        <v>300777</v>
      </c>
      <c r="C4546" t="s">
        <v>9436</v>
      </c>
      <c r="D4546" t="s">
        <v>98</v>
      </c>
      <c r="P4546">
        <v>371</v>
      </c>
      <c r="Q4546" t="s">
        <v>9437</v>
      </c>
    </row>
    <row r="4547" spans="1:17" x14ac:dyDescent="0.3">
      <c r="A4547" t="s">
        <v>4708</v>
      </c>
      <c r="B4547" t="str">
        <f>"300778"</f>
        <v>300778</v>
      </c>
      <c r="C4547" t="s">
        <v>9438</v>
      </c>
      <c r="D4547" t="s">
        <v>1272</v>
      </c>
      <c r="P4547">
        <v>104</v>
      </c>
      <c r="Q4547" t="s">
        <v>9439</v>
      </c>
    </row>
    <row r="4548" spans="1:17" x14ac:dyDescent="0.3">
      <c r="A4548" t="s">
        <v>4708</v>
      </c>
      <c r="B4548" t="str">
        <f>"300779"</f>
        <v>300779</v>
      </c>
      <c r="C4548" t="s">
        <v>9440</v>
      </c>
      <c r="D4548" t="s">
        <v>499</v>
      </c>
      <c r="P4548">
        <v>62</v>
      </c>
      <c r="Q4548" t="s">
        <v>9441</v>
      </c>
    </row>
    <row r="4549" spans="1:17" x14ac:dyDescent="0.3">
      <c r="A4549" t="s">
        <v>4708</v>
      </c>
      <c r="B4549" t="str">
        <f>"300780"</f>
        <v>300780</v>
      </c>
      <c r="C4549" t="s">
        <v>9442</v>
      </c>
      <c r="D4549" t="s">
        <v>274</v>
      </c>
      <c r="P4549">
        <v>56</v>
      </c>
      <c r="Q4549" t="s">
        <v>9443</v>
      </c>
    </row>
    <row r="4550" spans="1:17" x14ac:dyDescent="0.3">
      <c r="A4550" t="s">
        <v>4708</v>
      </c>
      <c r="B4550" t="str">
        <f>"300781"</f>
        <v>300781</v>
      </c>
      <c r="C4550" t="s">
        <v>9444</v>
      </c>
      <c r="D4550" t="s">
        <v>207</v>
      </c>
      <c r="P4550">
        <v>100</v>
      </c>
      <c r="Q4550" t="s">
        <v>9445</v>
      </c>
    </row>
    <row r="4551" spans="1:17" x14ac:dyDescent="0.3">
      <c r="A4551" t="s">
        <v>4708</v>
      </c>
      <c r="B4551" t="str">
        <f>"300782"</f>
        <v>300782</v>
      </c>
      <c r="C4551" t="s">
        <v>9446</v>
      </c>
      <c r="D4551" t="s">
        <v>401</v>
      </c>
      <c r="P4551">
        <v>1609</v>
      </c>
      <c r="Q4551" t="s">
        <v>9447</v>
      </c>
    </row>
    <row r="4552" spans="1:17" x14ac:dyDescent="0.3">
      <c r="A4552" t="s">
        <v>4708</v>
      </c>
      <c r="B4552" t="str">
        <f>"300783"</f>
        <v>300783</v>
      </c>
      <c r="C4552" t="s">
        <v>9448</v>
      </c>
      <c r="D4552" t="s">
        <v>3179</v>
      </c>
      <c r="P4552">
        <v>730</v>
      </c>
      <c r="Q4552" t="s">
        <v>9449</v>
      </c>
    </row>
    <row r="4553" spans="1:17" x14ac:dyDescent="0.3">
      <c r="A4553" t="s">
        <v>4708</v>
      </c>
      <c r="B4553" t="str">
        <f>"300785"</f>
        <v>300785</v>
      </c>
      <c r="C4553" t="s">
        <v>9450</v>
      </c>
      <c r="D4553" t="s">
        <v>522</v>
      </c>
      <c r="P4553">
        <v>332</v>
      </c>
      <c r="Q4553" t="s">
        <v>9451</v>
      </c>
    </row>
    <row r="4554" spans="1:17" x14ac:dyDescent="0.3">
      <c r="A4554" t="s">
        <v>4708</v>
      </c>
      <c r="B4554" t="str">
        <f>"300786"</f>
        <v>300786</v>
      </c>
      <c r="C4554" t="s">
        <v>9452</v>
      </c>
      <c r="D4554" t="s">
        <v>1070</v>
      </c>
      <c r="P4554">
        <v>95</v>
      </c>
      <c r="Q4554" t="s">
        <v>9453</v>
      </c>
    </row>
    <row r="4555" spans="1:17" x14ac:dyDescent="0.3">
      <c r="A4555" t="s">
        <v>4708</v>
      </c>
      <c r="B4555" t="str">
        <f>"300787"</f>
        <v>300787</v>
      </c>
      <c r="C4555" t="s">
        <v>9454</v>
      </c>
      <c r="D4555" t="s">
        <v>313</v>
      </c>
      <c r="P4555">
        <v>87</v>
      </c>
      <c r="Q4555" t="s">
        <v>9455</v>
      </c>
    </row>
    <row r="4556" spans="1:17" x14ac:dyDescent="0.3">
      <c r="A4556" t="s">
        <v>4708</v>
      </c>
      <c r="B4556" t="str">
        <f>"300788"</f>
        <v>300788</v>
      </c>
      <c r="C4556" t="s">
        <v>9456</v>
      </c>
      <c r="D4556" t="s">
        <v>525</v>
      </c>
      <c r="P4556">
        <v>347</v>
      </c>
      <c r="Q4556" t="s">
        <v>9457</v>
      </c>
    </row>
    <row r="4557" spans="1:17" x14ac:dyDescent="0.3">
      <c r="A4557" t="s">
        <v>4708</v>
      </c>
      <c r="B4557" t="str">
        <f>"300789"</f>
        <v>300789</v>
      </c>
      <c r="C4557" t="s">
        <v>9458</v>
      </c>
      <c r="D4557" t="s">
        <v>236</v>
      </c>
      <c r="P4557">
        <v>79</v>
      </c>
      <c r="Q4557" t="s">
        <v>9459</v>
      </c>
    </row>
    <row r="4558" spans="1:17" x14ac:dyDescent="0.3">
      <c r="A4558" t="s">
        <v>4708</v>
      </c>
      <c r="B4558" t="str">
        <f>"300790"</f>
        <v>300790</v>
      </c>
      <c r="C4558" t="s">
        <v>9460</v>
      </c>
      <c r="D4558" t="s">
        <v>2965</v>
      </c>
      <c r="P4558">
        <v>158</v>
      </c>
      <c r="Q4558" t="s">
        <v>9461</v>
      </c>
    </row>
    <row r="4559" spans="1:17" x14ac:dyDescent="0.3">
      <c r="A4559" t="s">
        <v>4708</v>
      </c>
      <c r="B4559" t="str">
        <f>"300791"</f>
        <v>300791</v>
      </c>
      <c r="C4559" t="s">
        <v>9462</v>
      </c>
      <c r="D4559" t="s">
        <v>838</v>
      </c>
      <c r="P4559">
        <v>286</v>
      </c>
      <c r="Q4559" t="s">
        <v>9463</v>
      </c>
    </row>
    <row r="4560" spans="1:17" x14ac:dyDescent="0.3">
      <c r="A4560" t="s">
        <v>4708</v>
      </c>
      <c r="B4560" t="str">
        <f>"300792"</f>
        <v>300792</v>
      </c>
      <c r="C4560" t="s">
        <v>9464</v>
      </c>
      <c r="D4560" t="s">
        <v>3602</v>
      </c>
      <c r="P4560">
        <v>369</v>
      </c>
      <c r="Q4560" t="s">
        <v>9465</v>
      </c>
    </row>
    <row r="4561" spans="1:17" x14ac:dyDescent="0.3">
      <c r="A4561" t="s">
        <v>4708</v>
      </c>
      <c r="B4561" t="str">
        <f>"300793"</f>
        <v>300793</v>
      </c>
      <c r="C4561" t="s">
        <v>9466</v>
      </c>
      <c r="D4561" t="s">
        <v>313</v>
      </c>
      <c r="P4561">
        <v>144</v>
      </c>
      <c r="Q4561" t="s">
        <v>9467</v>
      </c>
    </row>
    <row r="4562" spans="1:17" x14ac:dyDescent="0.3">
      <c r="A4562" t="s">
        <v>4708</v>
      </c>
      <c r="B4562" t="str">
        <f>"300795"</f>
        <v>300795</v>
      </c>
      <c r="C4562" t="s">
        <v>9468</v>
      </c>
      <c r="D4562" t="s">
        <v>1671</v>
      </c>
      <c r="P4562">
        <v>109</v>
      </c>
      <c r="Q4562" t="s">
        <v>9469</v>
      </c>
    </row>
    <row r="4563" spans="1:17" x14ac:dyDescent="0.3">
      <c r="A4563" t="s">
        <v>4708</v>
      </c>
      <c r="B4563" t="str">
        <f>"300796"</f>
        <v>300796</v>
      </c>
      <c r="C4563" t="s">
        <v>9470</v>
      </c>
      <c r="D4563" t="s">
        <v>853</v>
      </c>
      <c r="P4563">
        <v>45</v>
      </c>
      <c r="Q4563" t="s">
        <v>9471</v>
      </c>
    </row>
    <row r="4564" spans="1:17" x14ac:dyDescent="0.3">
      <c r="A4564" t="s">
        <v>4708</v>
      </c>
      <c r="B4564" t="str">
        <f>"300797"</f>
        <v>300797</v>
      </c>
      <c r="C4564" t="s">
        <v>9472</v>
      </c>
      <c r="D4564" t="s">
        <v>110</v>
      </c>
      <c r="P4564">
        <v>67</v>
      </c>
      <c r="Q4564" t="s">
        <v>9473</v>
      </c>
    </row>
    <row r="4565" spans="1:17" x14ac:dyDescent="0.3">
      <c r="A4565" t="s">
        <v>4708</v>
      </c>
      <c r="B4565" t="str">
        <f>"300798"</f>
        <v>300798</v>
      </c>
      <c r="C4565" t="s">
        <v>9474</v>
      </c>
      <c r="D4565" t="s">
        <v>779</v>
      </c>
      <c r="P4565">
        <v>55</v>
      </c>
      <c r="Q4565" t="s">
        <v>9475</v>
      </c>
    </row>
    <row r="4566" spans="1:17" x14ac:dyDescent="0.3">
      <c r="A4566" t="s">
        <v>4708</v>
      </c>
      <c r="B4566" t="str">
        <f>"300799"</f>
        <v>300799</v>
      </c>
      <c r="C4566" t="s">
        <v>9476</v>
      </c>
      <c r="D4566" t="s">
        <v>1189</v>
      </c>
      <c r="P4566">
        <v>140</v>
      </c>
      <c r="Q4566" t="s">
        <v>9477</v>
      </c>
    </row>
    <row r="4567" spans="1:17" x14ac:dyDescent="0.3">
      <c r="A4567" t="s">
        <v>4708</v>
      </c>
      <c r="B4567" t="str">
        <f>"300800"</f>
        <v>300800</v>
      </c>
      <c r="C4567" t="s">
        <v>9478</v>
      </c>
      <c r="D4567" t="s">
        <v>1070</v>
      </c>
      <c r="P4567">
        <v>362</v>
      </c>
      <c r="Q4567" t="s">
        <v>9479</v>
      </c>
    </row>
    <row r="4568" spans="1:17" x14ac:dyDescent="0.3">
      <c r="A4568" t="s">
        <v>4708</v>
      </c>
      <c r="B4568" t="str">
        <f>"300801"</f>
        <v>300801</v>
      </c>
      <c r="C4568" t="s">
        <v>9480</v>
      </c>
      <c r="D4568" t="s">
        <v>386</v>
      </c>
      <c r="P4568">
        <v>112</v>
      </c>
      <c r="Q4568" t="s">
        <v>9481</v>
      </c>
    </row>
    <row r="4569" spans="1:17" x14ac:dyDescent="0.3">
      <c r="A4569" t="s">
        <v>4708</v>
      </c>
      <c r="B4569" t="str">
        <f>"300802"</f>
        <v>300802</v>
      </c>
      <c r="C4569" t="s">
        <v>9482</v>
      </c>
      <c r="D4569" t="s">
        <v>3462</v>
      </c>
      <c r="P4569">
        <v>182</v>
      </c>
      <c r="Q4569" t="s">
        <v>9483</v>
      </c>
    </row>
    <row r="4570" spans="1:17" x14ac:dyDescent="0.3">
      <c r="A4570" t="s">
        <v>4708</v>
      </c>
      <c r="B4570" t="str">
        <f>"300803"</f>
        <v>300803</v>
      </c>
      <c r="C4570" t="s">
        <v>9484</v>
      </c>
      <c r="D4570" t="s">
        <v>945</v>
      </c>
      <c r="P4570">
        <v>194</v>
      </c>
      <c r="Q4570" t="s">
        <v>9485</v>
      </c>
    </row>
    <row r="4571" spans="1:17" x14ac:dyDescent="0.3">
      <c r="A4571" t="s">
        <v>4708</v>
      </c>
      <c r="B4571" t="str">
        <f>"300805"</f>
        <v>300805</v>
      </c>
      <c r="C4571" t="s">
        <v>9486</v>
      </c>
      <c r="D4571" t="s">
        <v>207</v>
      </c>
      <c r="P4571">
        <v>71</v>
      </c>
      <c r="Q4571" t="s">
        <v>9487</v>
      </c>
    </row>
    <row r="4572" spans="1:17" x14ac:dyDescent="0.3">
      <c r="A4572" t="s">
        <v>4708</v>
      </c>
      <c r="B4572" t="str">
        <f>"300806"</f>
        <v>300806</v>
      </c>
      <c r="C4572" t="s">
        <v>9488</v>
      </c>
      <c r="D4572" t="s">
        <v>324</v>
      </c>
      <c r="P4572">
        <v>168</v>
      </c>
      <c r="Q4572" t="s">
        <v>9489</v>
      </c>
    </row>
    <row r="4573" spans="1:17" x14ac:dyDescent="0.3">
      <c r="A4573" t="s">
        <v>4708</v>
      </c>
      <c r="B4573" t="str">
        <f>"300807"</f>
        <v>300807</v>
      </c>
      <c r="C4573" t="s">
        <v>9490</v>
      </c>
      <c r="D4573" t="s">
        <v>236</v>
      </c>
      <c r="P4573">
        <v>103</v>
      </c>
      <c r="Q4573" t="s">
        <v>9491</v>
      </c>
    </row>
    <row r="4574" spans="1:17" x14ac:dyDescent="0.3">
      <c r="A4574" t="s">
        <v>4708</v>
      </c>
      <c r="B4574" t="str">
        <f>"300808"</f>
        <v>300808</v>
      </c>
      <c r="C4574" t="s">
        <v>9492</v>
      </c>
      <c r="D4574" t="s">
        <v>803</v>
      </c>
      <c r="P4574">
        <v>55</v>
      </c>
      <c r="Q4574" t="s">
        <v>9493</v>
      </c>
    </row>
    <row r="4575" spans="1:17" x14ac:dyDescent="0.3">
      <c r="A4575" t="s">
        <v>4708</v>
      </c>
      <c r="B4575" t="str">
        <f>"300809"</f>
        <v>300809</v>
      </c>
      <c r="C4575" t="s">
        <v>9494</v>
      </c>
      <c r="D4575" t="s">
        <v>2314</v>
      </c>
      <c r="P4575">
        <v>110</v>
      </c>
      <c r="Q4575" t="s">
        <v>9495</v>
      </c>
    </row>
    <row r="4576" spans="1:17" x14ac:dyDescent="0.3">
      <c r="A4576" t="s">
        <v>4708</v>
      </c>
      <c r="B4576" t="str">
        <f>"300810"</f>
        <v>300810</v>
      </c>
      <c r="C4576" t="s">
        <v>9496</v>
      </c>
      <c r="D4576" t="s">
        <v>167</v>
      </c>
      <c r="P4576">
        <v>57</v>
      </c>
      <c r="Q4576" t="s">
        <v>9497</v>
      </c>
    </row>
    <row r="4577" spans="1:17" x14ac:dyDescent="0.3">
      <c r="A4577" t="s">
        <v>4708</v>
      </c>
      <c r="B4577" t="str">
        <f>"300811"</f>
        <v>300811</v>
      </c>
      <c r="C4577" t="s">
        <v>9498</v>
      </c>
      <c r="D4577" t="s">
        <v>808</v>
      </c>
      <c r="P4577">
        <v>163</v>
      </c>
      <c r="Q4577" t="s">
        <v>9499</v>
      </c>
    </row>
    <row r="4578" spans="1:17" x14ac:dyDescent="0.3">
      <c r="A4578" t="s">
        <v>4708</v>
      </c>
      <c r="B4578" t="str">
        <f>"300812"</f>
        <v>300812</v>
      </c>
      <c r="C4578" t="s">
        <v>9500</v>
      </c>
      <c r="D4578" t="s">
        <v>3172</v>
      </c>
      <c r="P4578">
        <v>111</v>
      </c>
      <c r="Q4578" t="s">
        <v>9501</v>
      </c>
    </row>
    <row r="4579" spans="1:17" x14ac:dyDescent="0.3">
      <c r="A4579" t="s">
        <v>4708</v>
      </c>
      <c r="B4579" t="str">
        <f>"300813"</f>
        <v>300813</v>
      </c>
      <c r="C4579" t="s">
        <v>9502</v>
      </c>
      <c r="D4579" t="s">
        <v>741</v>
      </c>
      <c r="P4579">
        <v>106</v>
      </c>
      <c r="Q4579" t="s">
        <v>9503</v>
      </c>
    </row>
    <row r="4580" spans="1:17" x14ac:dyDescent="0.3">
      <c r="A4580" t="s">
        <v>4708</v>
      </c>
      <c r="B4580" t="str">
        <f>"300814"</f>
        <v>300814</v>
      </c>
      <c r="C4580" t="s">
        <v>9504</v>
      </c>
      <c r="D4580" t="s">
        <v>425</v>
      </c>
      <c r="P4580">
        <v>14</v>
      </c>
      <c r="Q4580" t="s">
        <v>9505</v>
      </c>
    </row>
    <row r="4581" spans="1:17" x14ac:dyDescent="0.3">
      <c r="A4581" t="s">
        <v>4708</v>
      </c>
      <c r="B4581" t="str">
        <f>"300815"</f>
        <v>300815</v>
      </c>
      <c r="C4581" t="s">
        <v>9506</v>
      </c>
      <c r="D4581" t="s">
        <v>499</v>
      </c>
      <c r="P4581">
        <v>345</v>
      </c>
      <c r="Q4581" t="s">
        <v>9507</v>
      </c>
    </row>
    <row r="4582" spans="1:17" x14ac:dyDescent="0.3">
      <c r="A4582" t="s">
        <v>4708</v>
      </c>
      <c r="B4582" t="str">
        <f>"300816"</f>
        <v>300816</v>
      </c>
      <c r="C4582" t="s">
        <v>9508</v>
      </c>
      <c r="D4582" t="s">
        <v>985</v>
      </c>
      <c r="P4582">
        <v>150</v>
      </c>
      <c r="Q4582" t="s">
        <v>9509</v>
      </c>
    </row>
    <row r="4583" spans="1:17" x14ac:dyDescent="0.3">
      <c r="A4583" t="s">
        <v>4708</v>
      </c>
      <c r="B4583" t="str">
        <f>"300817"</f>
        <v>300817</v>
      </c>
      <c r="C4583" t="s">
        <v>9510</v>
      </c>
      <c r="D4583" t="s">
        <v>274</v>
      </c>
      <c r="P4583">
        <v>63</v>
      </c>
      <c r="Q4583" t="s">
        <v>9511</v>
      </c>
    </row>
    <row r="4584" spans="1:17" x14ac:dyDescent="0.3">
      <c r="A4584" t="s">
        <v>4708</v>
      </c>
      <c r="B4584" t="str">
        <f>"300818"</f>
        <v>300818</v>
      </c>
      <c r="C4584" t="s">
        <v>9512</v>
      </c>
      <c r="D4584" t="s">
        <v>404</v>
      </c>
      <c r="P4584">
        <v>92</v>
      </c>
      <c r="Q4584" t="s">
        <v>9513</v>
      </c>
    </row>
    <row r="4585" spans="1:17" x14ac:dyDescent="0.3">
      <c r="A4585" t="s">
        <v>4708</v>
      </c>
      <c r="B4585" t="str">
        <f>"300819"</f>
        <v>300819</v>
      </c>
      <c r="C4585" t="s">
        <v>9514</v>
      </c>
      <c r="D4585" t="s">
        <v>366</v>
      </c>
      <c r="P4585">
        <v>50</v>
      </c>
      <c r="Q4585" t="s">
        <v>9515</v>
      </c>
    </row>
    <row r="4586" spans="1:17" x14ac:dyDescent="0.3">
      <c r="A4586" t="s">
        <v>4708</v>
      </c>
      <c r="B4586" t="str">
        <f>"300820"</f>
        <v>300820</v>
      </c>
      <c r="C4586" t="s">
        <v>9516</v>
      </c>
      <c r="D4586" t="s">
        <v>880</v>
      </c>
      <c r="P4586">
        <v>369</v>
      </c>
      <c r="Q4586" t="s">
        <v>9517</v>
      </c>
    </row>
    <row r="4587" spans="1:17" x14ac:dyDescent="0.3">
      <c r="A4587" t="s">
        <v>4708</v>
      </c>
      <c r="B4587" t="str">
        <f>"300821"</f>
        <v>300821</v>
      </c>
      <c r="C4587" t="s">
        <v>9518</v>
      </c>
      <c r="D4587" t="s">
        <v>1205</v>
      </c>
      <c r="P4587">
        <v>159</v>
      </c>
      <c r="Q4587" t="s">
        <v>9519</v>
      </c>
    </row>
    <row r="4588" spans="1:17" x14ac:dyDescent="0.3">
      <c r="A4588" t="s">
        <v>4708</v>
      </c>
      <c r="B4588" t="str">
        <f>"300822"</f>
        <v>300822</v>
      </c>
      <c r="C4588" t="s">
        <v>9520</v>
      </c>
      <c r="D4588" t="s">
        <v>313</v>
      </c>
      <c r="P4588">
        <v>131</v>
      </c>
      <c r="Q4588" t="s">
        <v>9521</v>
      </c>
    </row>
    <row r="4589" spans="1:17" x14ac:dyDescent="0.3">
      <c r="A4589" t="s">
        <v>4708</v>
      </c>
      <c r="B4589" t="str">
        <f>"300823"</f>
        <v>300823</v>
      </c>
      <c r="C4589" t="s">
        <v>9522</v>
      </c>
      <c r="D4589" t="s">
        <v>741</v>
      </c>
      <c r="P4589">
        <v>109</v>
      </c>
      <c r="Q4589" t="s">
        <v>9523</v>
      </c>
    </row>
    <row r="4590" spans="1:17" x14ac:dyDescent="0.3">
      <c r="A4590" t="s">
        <v>4708</v>
      </c>
      <c r="B4590" t="str">
        <f>"300824"</f>
        <v>300824</v>
      </c>
      <c r="C4590" t="s">
        <v>9524</v>
      </c>
      <c r="D4590" t="s">
        <v>5764</v>
      </c>
      <c r="P4590">
        <v>167</v>
      </c>
      <c r="Q4590" t="s">
        <v>9525</v>
      </c>
    </row>
    <row r="4591" spans="1:17" x14ac:dyDescent="0.3">
      <c r="A4591" t="s">
        <v>4708</v>
      </c>
      <c r="B4591" t="str">
        <f>"300825"</f>
        <v>300825</v>
      </c>
      <c r="C4591" t="s">
        <v>9526</v>
      </c>
      <c r="D4591" t="s">
        <v>2361</v>
      </c>
      <c r="P4591">
        <v>92</v>
      </c>
      <c r="Q4591" t="s">
        <v>9527</v>
      </c>
    </row>
    <row r="4592" spans="1:17" x14ac:dyDescent="0.3">
      <c r="A4592" t="s">
        <v>4708</v>
      </c>
      <c r="B4592" t="str">
        <f>"300826"</f>
        <v>300826</v>
      </c>
      <c r="C4592" t="s">
        <v>9528</v>
      </c>
      <c r="D4592" t="s">
        <v>1272</v>
      </c>
      <c r="P4592">
        <v>61</v>
      </c>
      <c r="Q4592" t="s">
        <v>9529</v>
      </c>
    </row>
    <row r="4593" spans="1:17" x14ac:dyDescent="0.3">
      <c r="A4593" t="s">
        <v>4708</v>
      </c>
      <c r="B4593" t="str">
        <f>"300827"</f>
        <v>300827</v>
      </c>
      <c r="C4593" t="s">
        <v>9530</v>
      </c>
      <c r="D4593" t="s">
        <v>3809</v>
      </c>
      <c r="P4593">
        <v>233</v>
      </c>
      <c r="Q4593" t="s">
        <v>9531</v>
      </c>
    </row>
    <row r="4594" spans="1:17" x14ac:dyDescent="0.3">
      <c r="A4594" t="s">
        <v>4708</v>
      </c>
      <c r="B4594" t="str">
        <f>"300828"</f>
        <v>300828</v>
      </c>
      <c r="C4594" t="s">
        <v>9532</v>
      </c>
      <c r="D4594" t="s">
        <v>274</v>
      </c>
      <c r="P4594">
        <v>91</v>
      </c>
      <c r="Q4594" t="s">
        <v>9533</v>
      </c>
    </row>
    <row r="4595" spans="1:17" x14ac:dyDescent="0.3">
      <c r="A4595" t="s">
        <v>4708</v>
      </c>
      <c r="B4595" t="str">
        <f>"300829"</f>
        <v>300829</v>
      </c>
      <c r="C4595" t="s">
        <v>9534</v>
      </c>
      <c r="D4595" t="s">
        <v>677</v>
      </c>
      <c r="P4595">
        <v>125</v>
      </c>
      <c r="Q4595" t="s">
        <v>9535</v>
      </c>
    </row>
    <row r="4596" spans="1:17" x14ac:dyDescent="0.3">
      <c r="A4596" t="s">
        <v>4708</v>
      </c>
      <c r="B4596" t="str">
        <f>"300830"</f>
        <v>300830</v>
      </c>
      <c r="C4596" t="s">
        <v>9536</v>
      </c>
      <c r="D4596" t="s">
        <v>945</v>
      </c>
      <c r="P4596">
        <v>74</v>
      </c>
      <c r="Q4596" t="s">
        <v>9537</v>
      </c>
    </row>
    <row r="4597" spans="1:17" x14ac:dyDescent="0.3">
      <c r="A4597" t="s">
        <v>4708</v>
      </c>
      <c r="B4597" t="str">
        <f>"300831"</f>
        <v>300831</v>
      </c>
      <c r="C4597" t="s">
        <v>9538</v>
      </c>
      <c r="D4597" t="s">
        <v>795</v>
      </c>
      <c r="P4597">
        <v>129</v>
      </c>
      <c r="Q4597" t="s">
        <v>9539</v>
      </c>
    </row>
    <row r="4598" spans="1:17" x14ac:dyDescent="0.3">
      <c r="A4598" t="s">
        <v>4708</v>
      </c>
      <c r="B4598" t="str">
        <f>"300832"</f>
        <v>300832</v>
      </c>
      <c r="C4598" t="s">
        <v>9540</v>
      </c>
      <c r="D4598" t="s">
        <v>1305</v>
      </c>
      <c r="P4598">
        <v>513</v>
      </c>
      <c r="Q4598" t="s">
        <v>9541</v>
      </c>
    </row>
    <row r="4599" spans="1:17" x14ac:dyDescent="0.3">
      <c r="A4599" t="s">
        <v>4708</v>
      </c>
      <c r="B4599" t="str">
        <f>"300833"</f>
        <v>300833</v>
      </c>
      <c r="C4599" t="s">
        <v>9542</v>
      </c>
      <c r="D4599" t="s">
        <v>741</v>
      </c>
      <c r="P4599">
        <v>89</v>
      </c>
      <c r="Q4599" t="s">
        <v>9543</v>
      </c>
    </row>
    <row r="4600" spans="1:17" x14ac:dyDescent="0.3">
      <c r="A4600" t="s">
        <v>4708</v>
      </c>
      <c r="B4600" t="str">
        <f>"300834"</f>
        <v>300834</v>
      </c>
      <c r="C4600" t="s">
        <v>9544</v>
      </c>
      <c r="D4600" t="s">
        <v>3362</v>
      </c>
      <c r="P4600">
        <v>19</v>
      </c>
      <c r="Q4600" t="s">
        <v>9545</v>
      </c>
    </row>
    <row r="4601" spans="1:17" x14ac:dyDescent="0.3">
      <c r="A4601" t="s">
        <v>4708</v>
      </c>
      <c r="B4601" t="str">
        <f>"300835"</f>
        <v>300835</v>
      </c>
      <c r="C4601" t="s">
        <v>9546</v>
      </c>
      <c r="D4601" t="s">
        <v>808</v>
      </c>
      <c r="P4601">
        <v>67</v>
      </c>
      <c r="Q4601" t="s">
        <v>9547</v>
      </c>
    </row>
    <row r="4602" spans="1:17" x14ac:dyDescent="0.3">
      <c r="A4602" t="s">
        <v>4708</v>
      </c>
      <c r="B4602" t="str">
        <f>"300836"</f>
        <v>300836</v>
      </c>
      <c r="C4602" t="s">
        <v>9548</v>
      </c>
      <c r="D4602" t="s">
        <v>741</v>
      </c>
      <c r="P4602">
        <v>61</v>
      </c>
      <c r="Q4602" t="s">
        <v>9549</v>
      </c>
    </row>
    <row r="4603" spans="1:17" x14ac:dyDescent="0.3">
      <c r="A4603" t="s">
        <v>4708</v>
      </c>
      <c r="B4603" t="str">
        <f>"300837"</f>
        <v>300837</v>
      </c>
      <c r="C4603" t="s">
        <v>9550</v>
      </c>
      <c r="D4603" t="s">
        <v>395</v>
      </c>
      <c r="P4603">
        <v>154</v>
      </c>
      <c r="Q4603" t="s">
        <v>9551</v>
      </c>
    </row>
    <row r="4604" spans="1:17" x14ac:dyDescent="0.3">
      <c r="A4604" t="s">
        <v>4708</v>
      </c>
      <c r="B4604" t="str">
        <f>"300838"</f>
        <v>300838</v>
      </c>
      <c r="C4604" t="s">
        <v>9552</v>
      </c>
      <c r="D4604" t="s">
        <v>274</v>
      </c>
      <c r="P4604">
        <v>39</v>
      </c>
      <c r="Q4604" t="s">
        <v>9553</v>
      </c>
    </row>
    <row r="4605" spans="1:17" x14ac:dyDescent="0.3">
      <c r="A4605" t="s">
        <v>4708</v>
      </c>
      <c r="B4605" t="str">
        <f>"300839"</f>
        <v>300839</v>
      </c>
      <c r="C4605" t="s">
        <v>9554</v>
      </c>
      <c r="D4605" t="s">
        <v>1615</v>
      </c>
      <c r="P4605">
        <v>58</v>
      </c>
      <c r="Q4605" t="s">
        <v>9555</v>
      </c>
    </row>
    <row r="4606" spans="1:17" x14ac:dyDescent="0.3">
      <c r="A4606" t="s">
        <v>4708</v>
      </c>
      <c r="B4606" t="str">
        <f>"300840"</f>
        <v>300840</v>
      </c>
      <c r="C4606" t="s">
        <v>9556</v>
      </c>
      <c r="D4606" t="s">
        <v>255</v>
      </c>
      <c r="P4606">
        <v>64</v>
      </c>
      <c r="Q4606" t="s">
        <v>9557</v>
      </c>
    </row>
    <row r="4607" spans="1:17" x14ac:dyDescent="0.3">
      <c r="A4607" t="s">
        <v>4708</v>
      </c>
      <c r="B4607" t="str">
        <f>"300841"</f>
        <v>300841</v>
      </c>
      <c r="C4607" t="s">
        <v>9558</v>
      </c>
      <c r="D4607" t="s">
        <v>1499</v>
      </c>
      <c r="P4607">
        <v>314</v>
      </c>
      <c r="Q4607" t="s">
        <v>9559</v>
      </c>
    </row>
    <row r="4608" spans="1:17" x14ac:dyDescent="0.3">
      <c r="A4608" t="s">
        <v>4708</v>
      </c>
      <c r="B4608" t="str">
        <f>"300842"</f>
        <v>300842</v>
      </c>
      <c r="C4608" t="s">
        <v>9560</v>
      </c>
      <c r="D4608" t="s">
        <v>478</v>
      </c>
      <c r="P4608">
        <v>130</v>
      </c>
      <c r="Q4608" t="s">
        <v>9561</v>
      </c>
    </row>
    <row r="4609" spans="1:17" x14ac:dyDescent="0.3">
      <c r="A4609" t="s">
        <v>4708</v>
      </c>
      <c r="B4609" t="str">
        <f>"300843"</f>
        <v>300843</v>
      </c>
      <c r="C4609" t="s">
        <v>9562</v>
      </c>
      <c r="D4609" t="s">
        <v>313</v>
      </c>
      <c r="P4609">
        <v>80</v>
      </c>
      <c r="Q4609" t="s">
        <v>9563</v>
      </c>
    </row>
    <row r="4610" spans="1:17" x14ac:dyDescent="0.3">
      <c r="A4610" t="s">
        <v>4708</v>
      </c>
      <c r="B4610" t="str">
        <f>"300844"</f>
        <v>300844</v>
      </c>
      <c r="C4610" t="s">
        <v>9564</v>
      </c>
      <c r="D4610" t="s">
        <v>1272</v>
      </c>
      <c r="P4610">
        <v>16</v>
      </c>
      <c r="Q4610" t="s">
        <v>9565</v>
      </c>
    </row>
    <row r="4611" spans="1:17" x14ac:dyDescent="0.3">
      <c r="A4611" t="s">
        <v>4708</v>
      </c>
      <c r="B4611" t="str">
        <f>"300845"</f>
        <v>300845</v>
      </c>
      <c r="C4611" t="s">
        <v>9566</v>
      </c>
      <c r="D4611" t="s">
        <v>236</v>
      </c>
      <c r="P4611">
        <v>83</v>
      </c>
      <c r="Q4611" t="s">
        <v>9567</v>
      </c>
    </row>
    <row r="4612" spans="1:17" x14ac:dyDescent="0.3">
      <c r="A4612" t="s">
        <v>4708</v>
      </c>
      <c r="B4612" t="str">
        <f>"300846"</f>
        <v>300846</v>
      </c>
      <c r="C4612" t="s">
        <v>9568</v>
      </c>
      <c r="D4612" t="s">
        <v>316</v>
      </c>
      <c r="P4612">
        <v>78</v>
      </c>
      <c r="Q4612" t="s">
        <v>9569</v>
      </c>
    </row>
    <row r="4613" spans="1:17" x14ac:dyDescent="0.3">
      <c r="A4613" t="s">
        <v>4708</v>
      </c>
      <c r="B4613" t="str">
        <f>"300847"</f>
        <v>300847</v>
      </c>
      <c r="C4613" t="s">
        <v>9570</v>
      </c>
      <c r="D4613" t="s">
        <v>386</v>
      </c>
      <c r="P4613">
        <v>53</v>
      </c>
      <c r="Q4613" t="s">
        <v>9571</v>
      </c>
    </row>
    <row r="4614" spans="1:17" x14ac:dyDescent="0.3">
      <c r="A4614" t="s">
        <v>4708</v>
      </c>
      <c r="B4614" t="str">
        <f>"300848"</f>
        <v>300848</v>
      </c>
      <c r="C4614" t="s">
        <v>9572</v>
      </c>
      <c r="D4614" t="s">
        <v>528</v>
      </c>
      <c r="P4614">
        <v>125</v>
      </c>
      <c r="Q4614" t="s">
        <v>9573</v>
      </c>
    </row>
    <row r="4615" spans="1:17" x14ac:dyDescent="0.3">
      <c r="A4615" t="s">
        <v>4708</v>
      </c>
      <c r="B4615" t="str">
        <f>"300849"</f>
        <v>300849</v>
      </c>
      <c r="C4615" t="s">
        <v>9574</v>
      </c>
      <c r="D4615" t="s">
        <v>5944</v>
      </c>
      <c r="P4615">
        <v>44</v>
      </c>
      <c r="Q4615" t="s">
        <v>9575</v>
      </c>
    </row>
    <row r="4616" spans="1:17" x14ac:dyDescent="0.3">
      <c r="A4616" t="s">
        <v>4708</v>
      </c>
      <c r="B4616" t="str">
        <f>"300850"</f>
        <v>300850</v>
      </c>
      <c r="C4616" t="s">
        <v>9576</v>
      </c>
      <c r="D4616" t="s">
        <v>950</v>
      </c>
      <c r="P4616">
        <v>264</v>
      </c>
      <c r="Q4616" t="s">
        <v>9577</v>
      </c>
    </row>
    <row r="4617" spans="1:17" x14ac:dyDescent="0.3">
      <c r="A4617" t="s">
        <v>4708</v>
      </c>
      <c r="B4617" t="str">
        <f>"300851"</f>
        <v>300851</v>
      </c>
      <c r="C4617" t="s">
        <v>9578</v>
      </c>
      <c r="D4617" t="s">
        <v>1012</v>
      </c>
      <c r="P4617">
        <v>45</v>
      </c>
      <c r="Q4617" t="s">
        <v>9579</v>
      </c>
    </row>
    <row r="4618" spans="1:17" x14ac:dyDescent="0.3">
      <c r="A4618" t="s">
        <v>4708</v>
      </c>
      <c r="B4618" t="str">
        <f>"300852"</f>
        <v>300852</v>
      </c>
      <c r="C4618" t="s">
        <v>9580</v>
      </c>
      <c r="D4618" t="s">
        <v>425</v>
      </c>
      <c r="P4618">
        <v>103</v>
      </c>
      <c r="Q4618" t="s">
        <v>9581</v>
      </c>
    </row>
    <row r="4619" spans="1:17" x14ac:dyDescent="0.3">
      <c r="A4619" t="s">
        <v>4708</v>
      </c>
      <c r="B4619" t="str">
        <f>"300853"</f>
        <v>300853</v>
      </c>
      <c r="C4619" t="s">
        <v>9582</v>
      </c>
      <c r="D4619" t="s">
        <v>2923</v>
      </c>
      <c r="P4619">
        <v>142</v>
      </c>
      <c r="Q4619" t="s">
        <v>9583</v>
      </c>
    </row>
    <row r="4620" spans="1:17" x14ac:dyDescent="0.3">
      <c r="A4620" t="s">
        <v>4708</v>
      </c>
      <c r="B4620" t="str">
        <f>"300854"</f>
        <v>300854</v>
      </c>
      <c r="C4620" t="s">
        <v>9584</v>
      </c>
      <c r="D4620" t="s">
        <v>499</v>
      </c>
      <c r="P4620">
        <v>19</v>
      </c>
      <c r="Q4620" t="s">
        <v>9585</v>
      </c>
    </row>
    <row r="4621" spans="1:17" x14ac:dyDescent="0.3">
      <c r="A4621" t="s">
        <v>4708</v>
      </c>
      <c r="B4621" t="str">
        <f>"300855"</f>
        <v>300855</v>
      </c>
      <c r="C4621" t="s">
        <v>9586</v>
      </c>
      <c r="D4621" t="s">
        <v>581</v>
      </c>
      <c r="P4621">
        <v>139</v>
      </c>
      <c r="Q4621" t="s">
        <v>9587</v>
      </c>
    </row>
    <row r="4622" spans="1:17" x14ac:dyDescent="0.3">
      <c r="A4622" t="s">
        <v>4708</v>
      </c>
      <c r="B4622" t="str">
        <f>"300856"</f>
        <v>300856</v>
      </c>
      <c r="C4622" t="s">
        <v>9588</v>
      </c>
      <c r="D4622" t="s">
        <v>5944</v>
      </c>
      <c r="P4622">
        <v>131</v>
      </c>
      <c r="Q4622" t="s">
        <v>9589</v>
      </c>
    </row>
    <row r="4623" spans="1:17" x14ac:dyDescent="0.3">
      <c r="A4623" t="s">
        <v>4708</v>
      </c>
      <c r="B4623" t="str">
        <f>"300857"</f>
        <v>300857</v>
      </c>
      <c r="C4623" t="s">
        <v>9590</v>
      </c>
      <c r="D4623" t="s">
        <v>313</v>
      </c>
      <c r="P4623">
        <v>59</v>
      </c>
      <c r="Q4623" t="s">
        <v>9591</v>
      </c>
    </row>
    <row r="4624" spans="1:17" x14ac:dyDescent="0.3">
      <c r="A4624" t="s">
        <v>4708</v>
      </c>
      <c r="B4624" t="str">
        <f>"300858"</f>
        <v>300858</v>
      </c>
      <c r="C4624" t="s">
        <v>9592</v>
      </c>
      <c r="D4624" t="s">
        <v>677</v>
      </c>
      <c r="P4624">
        <v>75</v>
      </c>
      <c r="Q4624" t="s">
        <v>9593</v>
      </c>
    </row>
    <row r="4625" spans="1:17" x14ac:dyDescent="0.3">
      <c r="A4625" t="s">
        <v>4708</v>
      </c>
      <c r="B4625" t="str">
        <f>"300859"</f>
        <v>300859</v>
      </c>
      <c r="C4625" t="s">
        <v>9594</v>
      </c>
      <c r="D4625" t="s">
        <v>119</v>
      </c>
      <c r="P4625">
        <v>69</v>
      </c>
      <c r="Q4625" t="s">
        <v>9595</v>
      </c>
    </row>
    <row r="4626" spans="1:17" x14ac:dyDescent="0.3">
      <c r="A4626" t="s">
        <v>4708</v>
      </c>
      <c r="B4626" t="str">
        <f>"300860"</f>
        <v>300860</v>
      </c>
      <c r="C4626" t="s">
        <v>9596</v>
      </c>
      <c r="D4626" t="s">
        <v>1671</v>
      </c>
      <c r="P4626">
        <v>95</v>
      </c>
      <c r="Q4626" t="s">
        <v>9597</v>
      </c>
    </row>
    <row r="4627" spans="1:17" x14ac:dyDescent="0.3">
      <c r="A4627" t="s">
        <v>4708</v>
      </c>
      <c r="B4627" t="str">
        <f>"300861"</f>
        <v>300861</v>
      </c>
      <c r="C4627" t="s">
        <v>9598</v>
      </c>
      <c r="D4627" t="s">
        <v>404</v>
      </c>
      <c r="P4627">
        <v>147</v>
      </c>
      <c r="Q4627" t="s">
        <v>9599</v>
      </c>
    </row>
    <row r="4628" spans="1:17" x14ac:dyDescent="0.3">
      <c r="A4628" t="s">
        <v>4708</v>
      </c>
      <c r="B4628" t="str">
        <f>"300862"</f>
        <v>300862</v>
      </c>
      <c r="C4628" t="s">
        <v>9600</v>
      </c>
      <c r="D4628" t="s">
        <v>2557</v>
      </c>
      <c r="P4628">
        <v>68</v>
      </c>
      <c r="Q4628" t="s">
        <v>9601</v>
      </c>
    </row>
    <row r="4629" spans="1:17" x14ac:dyDescent="0.3">
      <c r="A4629" t="s">
        <v>4708</v>
      </c>
      <c r="B4629" t="str">
        <f>"300863"</f>
        <v>300863</v>
      </c>
      <c r="C4629" t="s">
        <v>9602</v>
      </c>
      <c r="D4629" t="s">
        <v>1415</v>
      </c>
      <c r="P4629">
        <v>75</v>
      </c>
      <c r="Q4629" t="s">
        <v>9603</v>
      </c>
    </row>
    <row r="4630" spans="1:17" x14ac:dyDescent="0.3">
      <c r="A4630" t="s">
        <v>4708</v>
      </c>
      <c r="B4630" t="str">
        <f>"300864"</f>
        <v>300864</v>
      </c>
      <c r="C4630" t="s">
        <v>9604</v>
      </c>
      <c r="D4630" t="s">
        <v>3560</v>
      </c>
      <c r="P4630">
        <v>121</v>
      </c>
      <c r="Q4630" t="s">
        <v>9605</v>
      </c>
    </row>
    <row r="4631" spans="1:17" x14ac:dyDescent="0.3">
      <c r="A4631" t="s">
        <v>4708</v>
      </c>
      <c r="B4631" t="str">
        <f>"300865"</f>
        <v>300865</v>
      </c>
      <c r="C4631" t="s">
        <v>9606</v>
      </c>
      <c r="D4631" t="s">
        <v>395</v>
      </c>
      <c r="P4631">
        <v>43</v>
      </c>
      <c r="Q4631" t="s">
        <v>9607</v>
      </c>
    </row>
    <row r="4632" spans="1:17" x14ac:dyDescent="0.3">
      <c r="A4632" t="s">
        <v>4708</v>
      </c>
      <c r="B4632" t="str">
        <f>"300866"</f>
        <v>300866</v>
      </c>
      <c r="C4632" t="s">
        <v>9608</v>
      </c>
      <c r="D4632" t="s">
        <v>3511</v>
      </c>
      <c r="P4632">
        <v>311</v>
      </c>
      <c r="Q4632" t="s">
        <v>9609</v>
      </c>
    </row>
    <row r="4633" spans="1:17" x14ac:dyDescent="0.3">
      <c r="A4633" t="s">
        <v>4708</v>
      </c>
      <c r="B4633" t="str">
        <f>"300867"</f>
        <v>300867</v>
      </c>
      <c r="C4633" t="s">
        <v>9610</v>
      </c>
      <c r="D4633" t="s">
        <v>499</v>
      </c>
      <c r="P4633">
        <v>103</v>
      </c>
      <c r="Q4633" t="s">
        <v>9611</v>
      </c>
    </row>
    <row r="4634" spans="1:17" x14ac:dyDescent="0.3">
      <c r="A4634" t="s">
        <v>4708</v>
      </c>
      <c r="B4634" t="str">
        <f>"300868"</f>
        <v>300868</v>
      </c>
      <c r="C4634" t="s">
        <v>9612</v>
      </c>
      <c r="D4634" t="s">
        <v>651</v>
      </c>
      <c r="P4634">
        <v>40</v>
      </c>
      <c r="Q4634" t="s">
        <v>9613</v>
      </c>
    </row>
    <row r="4635" spans="1:17" x14ac:dyDescent="0.3">
      <c r="A4635" t="s">
        <v>4708</v>
      </c>
      <c r="B4635" t="str">
        <f>"300869"</f>
        <v>300869</v>
      </c>
      <c r="C4635" t="s">
        <v>9614</v>
      </c>
      <c r="D4635" t="s">
        <v>122</v>
      </c>
      <c r="P4635">
        <v>174</v>
      </c>
      <c r="Q4635" t="s">
        <v>9615</v>
      </c>
    </row>
    <row r="4636" spans="1:17" x14ac:dyDescent="0.3">
      <c r="A4636" t="s">
        <v>4708</v>
      </c>
      <c r="B4636" t="str">
        <f>"300870"</f>
        <v>300870</v>
      </c>
      <c r="C4636" t="s">
        <v>9616</v>
      </c>
      <c r="D4636" t="s">
        <v>880</v>
      </c>
      <c r="P4636">
        <v>131</v>
      </c>
      <c r="Q4636" t="s">
        <v>9617</v>
      </c>
    </row>
    <row r="4637" spans="1:17" x14ac:dyDescent="0.3">
      <c r="A4637" t="s">
        <v>4708</v>
      </c>
      <c r="B4637" t="str">
        <f>"300871"</f>
        <v>300871</v>
      </c>
      <c r="C4637" t="s">
        <v>9618</v>
      </c>
      <c r="D4637" t="s">
        <v>453</v>
      </c>
      <c r="P4637">
        <v>83</v>
      </c>
      <c r="Q4637" t="s">
        <v>9619</v>
      </c>
    </row>
    <row r="4638" spans="1:17" x14ac:dyDescent="0.3">
      <c r="A4638" t="s">
        <v>4708</v>
      </c>
      <c r="B4638" t="str">
        <f>"300872"</f>
        <v>300872</v>
      </c>
      <c r="C4638" t="s">
        <v>9620</v>
      </c>
      <c r="D4638" t="s">
        <v>316</v>
      </c>
      <c r="P4638">
        <v>74</v>
      </c>
      <c r="Q4638" t="s">
        <v>9621</v>
      </c>
    </row>
    <row r="4639" spans="1:17" x14ac:dyDescent="0.3">
      <c r="A4639" t="s">
        <v>4708</v>
      </c>
      <c r="B4639" t="str">
        <f>"300873"</f>
        <v>300873</v>
      </c>
      <c r="C4639" t="s">
        <v>9622</v>
      </c>
      <c r="D4639" t="s">
        <v>3110</v>
      </c>
      <c r="P4639">
        <v>88</v>
      </c>
      <c r="Q4639" t="s">
        <v>9623</v>
      </c>
    </row>
    <row r="4640" spans="1:17" x14ac:dyDescent="0.3">
      <c r="A4640" t="s">
        <v>4708</v>
      </c>
      <c r="B4640" t="str">
        <f>"300875"</f>
        <v>300875</v>
      </c>
      <c r="C4640" t="s">
        <v>9624</v>
      </c>
      <c r="D4640" t="s">
        <v>428</v>
      </c>
      <c r="P4640">
        <v>106</v>
      </c>
      <c r="Q4640" t="s">
        <v>9625</v>
      </c>
    </row>
    <row r="4641" spans="1:17" x14ac:dyDescent="0.3">
      <c r="A4641" t="s">
        <v>4708</v>
      </c>
      <c r="B4641" t="str">
        <f>"300876"</f>
        <v>300876</v>
      </c>
      <c r="C4641" t="s">
        <v>9626</v>
      </c>
      <c r="D4641" t="s">
        <v>146</v>
      </c>
      <c r="P4641">
        <v>67</v>
      </c>
      <c r="Q4641" t="s">
        <v>9627</v>
      </c>
    </row>
    <row r="4642" spans="1:17" x14ac:dyDescent="0.3">
      <c r="A4642" t="s">
        <v>4708</v>
      </c>
      <c r="B4642" t="str">
        <f>"300877"</f>
        <v>300877</v>
      </c>
      <c r="C4642" t="s">
        <v>9628</v>
      </c>
      <c r="D4642" t="s">
        <v>366</v>
      </c>
      <c r="P4642">
        <v>75</v>
      </c>
      <c r="Q4642" t="s">
        <v>9629</v>
      </c>
    </row>
    <row r="4643" spans="1:17" x14ac:dyDescent="0.3">
      <c r="A4643" t="s">
        <v>4708</v>
      </c>
      <c r="B4643" t="str">
        <f>"300878"</f>
        <v>300878</v>
      </c>
      <c r="C4643" t="s">
        <v>9630</v>
      </c>
      <c r="D4643" t="s">
        <v>188</v>
      </c>
      <c r="P4643">
        <v>132</v>
      </c>
      <c r="Q4643" t="s">
        <v>9631</v>
      </c>
    </row>
    <row r="4644" spans="1:17" x14ac:dyDescent="0.3">
      <c r="A4644" t="s">
        <v>4708</v>
      </c>
      <c r="B4644" t="str">
        <f>"300879"</f>
        <v>300879</v>
      </c>
      <c r="C4644" t="s">
        <v>9632</v>
      </c>
      <c r="D4644" t="s">
        <v>741</v>
      </c>
      <c r="P4644">
        <v>52</v>
      </c>
      <c r="Q4644" t="s">
        <v>9633</v>
      </c>
    </row>
    <row r="4645" spans="1:17" x14ac:dyDescent="0.3">
      <c r="A4645" t="s">
        <v>4708</v>
      </c>
      <c r="B4645" t="str">
        <f>"300880"</f>
        <v>300880</v>
      </c>
      <c r="C4645" t="s">
        <v>9634</v>
      </c>
      <c r="D4645" t="s">
        <v>2173</v>
      </c>
      <c r="P4645">
        <v>55</v>
      </c>
      <c r="Q4645" t="s">
        <v>9635</v>
      </c>
    </row>
    <row r="4646" spans="1:17" x14ac:dyDescent="0.3">
      <c r="A4646" t="s">
        <v>4708</v>
      </c>
      <c r="B4646" t="str">
        <f>"300881"</f>
        <v>300881</v>
      </c>
      <c r="C4646" t="s">
        <v>9636</v>
      </c>
      <c r="D4646" t="s">
        <v>281</v>
      </c>
      <c r="P4646">
        <v>31</v>
      </c>
      <c r="Q4646" t="s">
        <v>9637</v>
      </c>
    </row>
    <row r="4647" spans="1:17" x14ac:dyDescent="0.3">
      <c r="A4647" t="s">
        <v>4708</v>
      </c>
      <c r="B4647" t="str">
        <f>"300882"</f>
        <v>300882</v>
      </c>
      <c r="C4647" t="s">
        <v>9638</v>
      </c>
      <c r="D4647" t="s">
        <v>2173</v>
      </c>
      <c r="P4647">
        <v>41</v>
      </c>
      <c r="Q4647" t="s">
        <v>9639</v>
      </c>
    </row>
    <row r="4648" spans="1:17" x14ac:dyDescent="0.3">
      <c r="A4648" t="s">
        <v>4708</v>
      </c>
      <c r="B4648" t="str">
        <f>"300883"</f>
        <v>300883</v>
      </c>
      <c r="C4648" t="s">
        <v>9640</v>
      </c>
      <c r="D4648" t="s">
        <v>2158</v>
      </c>
      <c r="P4648">
        <v>37</v>
      </c>
      <c r="Q4648" t="s">
        <v>9641</v>
      </c>
    </row>
    <row r="4649" spans="1:17" x14ac:dyDescent="0.3">
      <c r="A4649" t="s">
        <v>4708</v>
      </c>
      <c r="B4649" t="str">
        <f>"300884"</f>
        <v>300884</v>
      </c>
      <c r="C4649" t="s">
        <v>9642</v>
      </c>
      <c r="D4649" t="s">
        <v>2965</v>
      </c>
      <c r="P4649">
        <v>68</v>
      </c>
      <c r="Q4649" t="s">
        <v>9643</v>
      </c>
    </row>
    <row r="4650" spans="1:17" x14ac:dyDescent="0.3">
      <c r="A4650" t="s">
        <v>4708</v>
      </c>
      <c r="B4650" t="str">
        <f>"300885"</f>
        <v>300885</v>
      </c>
      <c r="C4650" t="s">
        <v>9644</v>
      </c>
      <c r="D4650" t="s">
        <v>274</v>
      </c>
      <c r="P4650">
        <v>45</v>
      </c>
      <c r="Q4650" t="s">
        <v>9645</v>
      </c>
    </row>
    <row r="4651" spans="1:17" x14ac:dyDescent="0.3">
      <c r="A4651" t="s">
        <v>4708</v>
      </c>
      <c r="B4651" t="str">
        <f>"300886"</f>
        <v>300886</v>
      </c>
      <c r="C4651" t="s">
        <v>9646</v>
      </c>
      <c r="D4651" t="s">
        <v>5944</v>
      </c>
      <c r="P4651">
        <v>49</v>
      </c>
      <c r="Q4651" t="s">
        <v>9647</v>
      </c>
    </row>
    <row r="4652" spans="1:17" x14ac:dyDescent="0.3">
      <c r="A4652" t="s">
        <v>4708</v>
      </c>
      <c r="B4652" t="str">
        <f>"300887"</f>
        <v>300887</v>
      </c>
      <c r="C4652" t="s">
        <v>9648</v>
      </c>
      <c r="D4652" t="s">
        <v>2503</v>
      </c>
      <c r="P4652">
        <v>117</v>
      </c>
      <c r="Q4652" t="s">
        <v>9649</v>
      </c>
    </row>
    <row r="4653" spans="1:17" x14ac:dyDescent="0.3">
      <c r="A4653" t="s">
        <v>4708</v>
      </c>
      <c r="B4653" t="str">
        <f>"300888"</f>
        <v>300888</v>
      </c>
      <c r="C4653" t="s">
        <v>9650</v>
      </c>
      <c r="D4653" t="s">
        <v>2740</v>
      </c>
      <c r="P4653">
        <v>457</v>
      </c>
      <c r="Q4653" t="s">
        <v>9651</v>
      </c>
    </row>
    <row r="4654" spans="1:17" x14ac:dyDescent="0.3">
      <c r="A4654" t="s">
        <v>4708</v>
      </c>
      <c r="B4654" t="str">
        <f>"300889"</f>
        <v>300889</v>
      </c>
      <c r="C4654" t="s">
        <v>9652</v>
      </c>
      <c r="D4654" t="s">
        <v>803</v>
      </c>
      <c r="P4654">
        <v>37</v>
      </c>
      <c r="Q4654" t="s">
        <v>9653</v>
      </c>
    </row>
    <row r="4655" spans="1:17" x14ac:dyDescent="0.3">
      <c r="A4655" t="s">
        <v>4708</v>
      </c>
      <c r="B4655" t="str">
        <f>"300890"</f>
        <v>300890</v>
      </c>
      <c r="C4655" t="s">
        <v>9654</v>
      </c>
      <c r="D4655" t="s">
        <v>1786</v>
      </c>
      <c r="P4655">
        <v>62</v>
      </c>
      <c r="Q4655" t="s">
        <v>9655</v>
      </c>
    </row>
    <row r="4656" spans="1:17" x14ac:dyDescent="0.3">
      <c r="A4656" t="s">
        <v>4708</v>
      </c>
      <c r="B4656" t="str">
        <f>"300891"</f>
        <v>300891</v>
      </c>
      <c r="C4656" t="s">
        <v>9656</v>
      </c>
      <c r="D4656" t="s">
        <v>1474</v>
      </c>
      <c r="P4656">
        <v>59</v>
      </c>
      <c r="Q4656" t="s">
        <v>9657</v>
      </c>
    </row>
    <row r="4657" spans="1:17" x14ac:dyDescent="0.3">
      <c r="A4657" t="s">
        <v>4708</v>
      </c>
      <c r="B4657" t="str">
        <f>"300892"</f>
        <v>300892</v>
      </c>
      <c r="C4657" t="s">
        <v>9658</v>
      </c>
      <c r="D4657" t="s">
        <v>131</v>
      </c>
      <c r="P4657">
        <v>99</v>
      </c>
      <c r="Q4657" t="s">
        <v>9659</v>
      </c>
    </row>
    <row r="4658" spans="1:17" x14ac:dyDescent="0.3">
      <c r="A4658" t="s">
        <v>4708</v>
      </c>
      <c r="B4658" t="str">
        <f>"300893"</f>
        <v>300893</v>
      </c>
      <c r="C4658" t="s">
        <v>9660</v>
      </c>
      <c r="D4658" t="s">
        <v>985</v>
      </c>
      <c r="P4658">
        <v>48</v>
      </c>
      <c r="Q4658" t="s">
        <v>9661</v>
      </c>
    </row>
    <row r="4659" spans="1:17" x14ac:dyDescent="0.3">
      <c r="A4659" t="s">
        <v>4708</v>
      </c>
      <c r="B4659" t="str">
        <f>"300894"</f>
        <v>300894</v>
      </c>
      <c r="C4659" t="s">
        <v>9662</v>
      </c>
      <c r="D4659" t="s">
        <v>3692</v>
      </c>
      <c r="P4659">
        <v>230</v>
      </c>
      <c r="Q4659" t="s">
        <v>9663</v>
      </c>
    </row>
    <row r="4660" spans="1:17" x14ac:dyDescent="0.3">
      <c r="A4660" t="s">
        <v>4708</v>
      </c>
      <c r="B4660" t="str">
        <f>"300895"</f>
        <v>300895</v>
      </c>
      <c r="C4660" t="s">
        <v>9664</v>
      </c>
      <c r="D4660" t="s">
        <v>316</v>
      </c>
      <c r="P4660">
        <v>48</v>
      </c>
      <c r="Q4660" t="s">
        <v>9665</v>
      </c>
    </row>
    <row r="4661" spans="1:17" x14ac:dyDescent="0.3">
      <c r="A4661" t="s">
        <v>4708</v>
      </c>
      <c r="B4661" t="str">
        <f>"300896"</f>
        <v>300896</v>
      </c>
      <c r="C4661" t="s">
        <v>9666</v>
      </c>
      <c r="D4661" t="s">
        <v>4278</v>
      </c>
      <c r="P4661">
        <v>1332</v>
      </c>
      <c r="Q4661" t="s">
        <v>9667</v>
      </c>
    </row>
    <row r="4662" spans="1:17" x14ac:dyDescent="0.3">
      <c r="A4662" t="s">
        <v>4708</v>
      </c>
      <c r="B4662" t="str">
        <f>"300897"</f>
        <v>300897</v>
      </c>
      <c r="C4662" t="s">
        <v>9668</v>
      </c>
      <c r="D4662" t="s">
        <v>2557</v>
      </c>
      <c r="P4662">
        <v>50</v>
      </c>
      <c r="Q4662" t="s">
        <v>9669</v>
      </c>
    </row>
    <row r="4663" spans="1:17" x14ac:dyDescent="0.3">
      <c r="A4663" t="s">
        <v>4708</v>
      </c>
      <c r="B4663" t="str">
        <f>"300898"</f>
        <v>300898</v>
      </c>
      <c r="C4663" t="s">
        <v>9670</v>
      </c>
      <c r="D4663" t="s">
        <v>900</v>
      </c>
      <c r="P4663">
        <v>73</v>
      </c>
      <c r="Q4663" t="s">
        <v>9671</v>
      </c>
    </row>
    <row r="4664" spans="1:17" x14ac:dyDescent="0.3">
      <c r="A4664" t="s">
        <v>4708</v>
      </c>
      <c r="B4664" t="str">
        <f>"300899"</f>
        <v>300899</v>
      </c>
      <c r="C4664" t="s">
        <v>9672</v>
      </c>
      <c r="D4664" t="s">
        <v>33</v>
      </c>
      <c r="P4664">
        <v>58</v>
      </c>
      <c r="Q4664" t="s">
        <v>9673</v>
      </c>
    </row>
    <row r="4665" spans="1:17" x14ac:dyDescent="0.3">
      <c r="A4665" t="s">
        <v>4708</v>
      </c>
      <c r="B4665" t="str">
        <f>"300900"</f>
        <v>300900</v>
      </c>
      <c r="C4665" t="s">
        <v>9674</v>
      </c>
      <c r="D4665" t="s">
        <v>98</v>
      </c>
      <c r="P4665">
        <v>76</v>
      </c>
      <c r="Q4665" t="s">
        <v>9675</v>
      </c>
    </row>
    <row r="4666" spans="1:17" x14ac:dyDescent="0.3">
      <c r="A4666" t="s">
        <v>4708</v>
      </c>
      <c r="B4666" t="str">
        <f>"300901"</f>
        <v>300901</v>
      </c>
      <c r="C4666" t="s">
        <v>9676</v>
      </c>
      <c r="D4666" t="s">
        <v>255</v>
      </c>
      <c r="P4666">
        <v>45</v>
      </c>
      <c r="Q4666" t="s">
        <v>9677</v>
      </c>
    </row>
    <row r="4667" spans="1:17" x14ac:dyDescent="0.3">
      <c r="A4667" t="s">
        <v>4708</v>
      </c>
      <c r="B4667" t="str">
        <f>"300902"</f>
        <v>300902</v>
      </c>
      <c r="C4667" t="s">
        <v>9678</v>
      </c>
      <c r="D4667" t="s">
        <v>741</v>
      </c>
      <c r="P4667">
        <v>40</v>
      </c>
      <c r="Q4667" t="s">
        <v>9679</v>
      </c>
    </row>
    <row r="4668" spans="1:17" x14ac:dyDescent="0.3">
      <c r="A4668" t="s">
        <v>4708</v>
      </c>
      <c r="B4668" t="str">
        <f>"300903"</f>
        <v>300903</v>
      </c>
      <c r="C4668" t="s">
        <v>9680</v>
      </c>
      <c r="D4668" t="s">
        <v>425</v>
      </c>
      <c r="P4668">
        <v>61</v>
      </c>
      <c r="Q4668" t="s">
        <v>9681</v>
      </c>
    </row>
    <row r="4669" spans="1:17" x14ac:dyDescent="0.3">
      <c r="A4669" t="s">
        <v>4708</v>
      </c>
      <c r="B4669" t="str">
        <f>"300905"</f>
        <v>300905</v>
      </c>
      <c r="C4669" t="s">
        <v>9682</v>
      </c>
      <c r="D4669" t="s">
        <v>779</v>
      </c>
      <c r="P4669">
        <v>54</v>
      </c>
      <c r="Q4669" t="s">
        <v>9683</v>
      </c>
    </row>
    <row r="4670" spans="1:17" x14ac:dyDescent="0.3">
      <c r="A4670" t="s">
        <v>4708</v>
      </c>
      <c r="B4670" t="str">
        <f>"300906"</f>
        <v>300906</v>
      </c>
      <c r="C4670" t="s">
        <v>9684</v>
      </c>
      <c r="D4670" t="s">
        <v>2557</v>
      </c>
      <c r="P4670">
        <v>60</v>
      </c>
      <c r="Q4670" t="s">
        <v>9685</v>
      </c>
    </row>
    <row r="4671" spans="1:17" x14ac:dyDescent="0.3">
      <c r="A4671" t="s">
        <v>4708</v>
      </c>
      <c r="B4671" t="str">
        <f>"300907"</f>
        <v>300907</v>
      </c>
      <c r="C4671" t="s">
        <v>9686</v>
      </c>
      <c r="D4671" t="s">
        <v>1171</v>
      </c>
      <c r="P4671">
        <v>36</v>
      </c>
      <c r="Q4671" t="s">
        <v>9687</v>
      </c>
    </row>
    <row r="4672" spans="1:17" x14ac:dyDescent="0.3">
      <c r="A4672" t="s">
        <v>4708</v>
      </c>
      <c r="B4672" t="str">
        <f>"300908"</f>
        <v>300908</v>
      </c>
      <c r="C4672" t="s">
        <v>9688</v>
      </c>
      <c r="D4672" t="s">
        <v>433</v>
      </c>
      <c r="P4672">
        <v>173</v>
      </c>
      <c r="Q4672" t="s">
        <v>9689</v>
      </c>
    </row>
    <row r="4673" spans="1:17" x14ac:dyDescent="0.3">
      <c r="A4673" t="s">
        <v>4708</v>
      </c>
      <c r="B4673" t="str">
        <f>"300909"</f>
        <v>300909</v>
      </c>
      <c r="C4673" t="s">
        <v>9690</v>
      </c>
      <c r="D4673" t="s">
        <v>1117</v>
      </c>
      <c r="P4673">
        <v>65</v>
      </c>
      <c r="Q4673" t="s">
        <v>9691</v>
      </c>
    </row>
    <row r="4674" spans="1:17" x14ac:dyDescent="0.3">
      <c r="A4674" t="s">
        <v>4708</v>
      </c>
      <c r="B4674" t="str">
        <f>"300910"</f>
        <v>300910</v>
      </c>
      <c r="C4674" t="s">
        <v>9692</v>
      </c>
      <c r="D4674" t="s">
        <v>386</v>
      </c>
      <c r="P4674">
        <v>116</v>
      </c>
      <c r="Q4674" t="s">
        <v>9693</v>
      </c>
    </row>
    <row r="4675" spans="1:17" x14ac:dyDescent="0.3">
      <c r="A4675" t="s">
        <v>4708</v>
      </c>
      <c r="B4675" t="str">
        <f>"300911"</f>
        <v>300911</v>
      </c>
      <c r="C4675" t="s">
        <v>9694</v>
      </c>
      <c r="D4675" t="s">
        <v>3692</v>
      </c>
      <c r="P4675">
        <v>151</v>
      </c>
      <c r="Q4675" t="s">
        <v>9695</v>
      </c>
    </row>
    <row r="4676" spans="1:17" x14ac:dyDescent="0.3">
      <c r="A4676" t="s">
        <v>4708</v>
      </c>
      <c r="B4676" t="str">
        <f>"300912"</f>
        <v>300912</v>
      </c>
      <c r="C4676" t="s">
        <v>9696</v>
      </c>
      <c r="D4676" t="s">
        <v>985</v>
      </c>
      <c r="P4676">
        <v>39</v>
      </c>
      <c r="Q4676" t="s">
        <v>9697</v>
      </c>
    </row>
    <row r="4677" spans="1:17" x14ac:dyDescent="0.3">
      <c r="A4677" t="s">
        <v>4708</v>
      </c>
      <c r="B4677" t="str">
        <f>"300913"</f>
        <v>300913</v>
      </c>
      <c r="C4677" t="s">
        <v>9698</v>
      </c>
      <c r="D4677" t="s">
        <v>250</v>
      </c>
      <c r="P4677">
        <v>33</v>
      </c>
      <c r="Q4677" t="s">
        <v>9699</v>
      </c>
    </row>
    <row r="4678" spans="1:17" x14ac:dyDescent="0.3">
      <c r="A4678" t="s">
        <v>4708</v>
      </c>
      <c r="B4678" t="str">
        <f>"300915"</f>
        <v>300915</v>
      </c>
      <c r="C4678" t="s">
        <v>9700</v>
      </c>
      <c r="D4678" t="s">
        <v>900</v>
      </c>
      <c r="P4678">
        <v>101</v>
      </c>
      <c r="Q4678" t="s">
        <v>9701</v>
      </c>
    </row>
    <row r="4679" spans="1:17" x14ac:dyDescent="0.3">
      <c r="A4679" t="s">
        <v>4708</v>
      </c>
      <c r="B4679" t="str">
        <f>"300916"</f>
        <v>300916</v>
      </c>
      <c r="C4679" t="s">
        <v>9702</v>
      </c>
      <c r="D4679" t="s">
        <v>313</v>
      </c>
      <c r="P4679">
        <v>79</v>
      </c>
      <c r="Q4679" t="s">
        <v>9703</v>
      </c>
    </row>
    <row r="4680" spans="1:17" x14ac:dyDescent="0.3">
      <c r="A4680" t="s">
        <v>4708</v>
      </c>
      <c r="B4680" t="str">
        <f>"300917"</f>
        <v>300917</v>
      </c>
      <c r="C4680" t="s">
        <v>9704</v>
      </c>
      <c r="D4680" t="s">
        <v>2960</v>
      </c>
      <c r="P4680">
        <v>80</v>
      </c>
      <c r="Q4680" t="s">
        <v>9705</v>
      </c>
    </row>
    <row r="4681" spans="1:17" x14ac:dyDescent="0.3">
      <c r="A4681" t="s">
        <v>4708</v>
      </c>
      <c r="B4681" t="str">
        <f>"300918"</f>
        <v>300918</v>
      </c>
      <c r="C4681" t="s">
        <v>9706</v>
      </c>
      <c r="D4681" t="s">
        <v>366</v>
      </c>
      <c r="P4681">
        <v>38</v>
      </c>
      <c r="Q4681" t="s">
        <v>9707</v>
      </c>
    </row>
    <row r="4682" spans="1:17" x14ac:dyDescent="0.3">
      <c r="A4682" t="s">
        <v>4708</v>
      </c>
      <c r="B4682" t="str">
        <f>"300919"</f>
        <v>300919</v>
      </c>
      <c r="C4682" t="s">
        <v>9708</v>
      </c>
      <c r="D4682" t="s">
        <v>1786</v>
      </c>
      <c r="P4682">
        <v>175</v>
      </c>
      <c r="Q4682" t="s">
        <v>9709</v>
      </c>
    </row>
    <row r="4683" spans="1:17" x14ac:dyDescent="0.3">
      <c r="A4683" t="s">
        <v>4708</v>
      </c>
      <c r="B4683" t="str">
        <f>"300920"</f>
        <v>300920</v>
      </c>
      <c r="C4683" t="s">
        <v>9710</v>
      </c>
      <c r="D4683" t="s">
        <v>1192</v>
      </c>
      <c r="P4683">
        <v>46</v>
      </c>
      <c r="Q4683" t="s">
        <v>9711</v>
      </c>
    </row>
    <row r="4684" spans="1:17" x14ac:dyDescent="0.3">
      <c r="A4684" t="s">
        <v>4708</v>
      </c>
      <c r="B4684" t="str">
        <f>"300921"</f>
        <v>300921</v>
      </c>
      <c r="C4684" t="s">
        <v>9712</v>
      </c>
      <c r="D4684" t="s">
        <v>5641</v>
      </c>
      <c r="P4684">
        <v>39</v>
      </c>
      <c r="Q4684" t="s">
        <v>9713</v>
      </c>
    </row>
    <row r="4685" spans="1:17" x14ac:dyDescent="0.3">
      <c r="A4685" t="s">
        <v>4708</v>
      </c>
      <c r="B4685" t="str">
        <f>"300922"</f>
        <v>300922</v>
      </c>
      <c r="C4685" t="s">
        <v>9714</v>
      </c>
      <c r="D4685" t="s">
        <v>428</v>
      </c>
      <c r="P4685">
        <v>83</v>
      </c>
      <c r="Q4685" t="s">
        <v>9715</v>
      </c>
    </row>
    <row r="4686" spans="1:17" x14ac:dyDescent="0.3">
      <c r="A4686" t="s">
        <v>4708</v>
      </c>
      <c r="B4686" t="str">
        <f>"300923"</f>
        <v>300923</v>
      </c>
      <c r="C4686" t="s">
        <v>9716</v>
      </c>
      <c r="D4686" t="s">
        <v>1012</v>
      </c>
      <c r="P4686">
        <v>28</v>
      </c>
      <c r="Q4686" t="s">
        <v>9717</v>
      </c>
    </row>
    <row r="4687" spans="1:17" x14ac:dyDescent="0.3">
      <c r="A4687" t="s">
        <v>4708</v>
      </c>
      <c r="B4687" t="str">
        <f>"300925"</f>
        <v>300925</v>
      </c>
      <c r="C4687" t="s">
        <v>9718</v>
      </c>
      <c r="D4687" t="s">
        <v>945</v>
      </c>
      <c r="P4687">
        <v>72</v>
      </c>
      <c r="Q4687" t="s">
        <v>9719</v>
      </c>
    </row>
    <row r="4688" spans="1:17" x14ac:dyDescent="0.3">
      <c r="A4688" t="s">
        <v>4708</v>
      </c>
      <c r="B4688" t="str">
        <f>"300926"</f>
        <v>300926</v>
      </c>
      <c r="C4688" t="s">
        <v>9720</v>
      </c>
      <c r="D4688" t="s">
        <v>985</v>
      </c>
      <c r="P4688">
        <v>45</v>
      </c>
      <c r="Q4688" t="s">
        <v>9721</v>
      </c>
    </row>
    <row r="4689" spans="1:17" x14ac:dyDescent="0.3">
      <c r="A4689" t="s">
        <v>4708</v>
      </c>
      <c r="B4689" t="str">
        <f>"300927"</f>
        <v>300927</v>
      </c>
      <c r="C4689" t="s">
        <v>9722</v>
      </c>
      <c r="D4689" t="s">
        <v>1233</v>
      </c>
      <c r="P4689">
        <v>44</v>
      </c>
      <c r="Q4689" t="s">
        <v>9723</v>
      </c>
    </row>
    <row r="4690" spans="1:17" x14ac:dyDescent="0.3">
      <c r="A4690" t="s">
        <v>4708</v>
      </c>
      <c r="B4690" t="str">
        <f>"300928"</f>
        <v>300928</v>
      </c>
      <c r="C4690" t="s">
        <v>9724</v>
      </c>
      <c r="D4690" t="s">
        <v>1415</v>
      </c>
      <c r="P4690">
        <v>27</v>
      </c>
      <c r="Q4690" t="s">
        <v>9725</v>
      </c>
    </row>
    <row r="4691" spans="1:17" x14ac:dyDescent="0.3">
      <c r="A4691" t="s">
        <v>4708</v>
      </c>
      <c r="B4691" t="str">
        <f>"300929"</f>
        <v>300929</v>
      </c>
      <c r="C4691" t="s">
        <v>9726</v>
      </c>
      <c r="D4691" t="s">
        <v>33</v>
      </c>
      <c r="P4691">
        <v>48</v>
      </c>
      <c r="Q4691" t="s">
        <v>9727</v>
      </c>
    </row>
    <row r="4692" spans="1:17" x14ac:dyDescent="0.3">
      <c r="A4692" t="s">
        <v>4708</v>
      </c>
      <c r="B4692" t="str">
        <f>"300930"</f>
        <v>300930</v>
      </c>
      <c r="C4692" t="s">
        <v>9728</v>
      </c>
      <c r="D4692" t="s">
        <v>581</v>
      </c>
      <c r="P4692">
        <v>75</v>
      </c>
      <c r="Q4692" t="s">
        <v>9729</v>
      </c>
    </row>
    <row r="4693" spans="1:17" x14ac:dyDescent="0.3">
      <c r="A4693" t="s">
        <v>4708</v>
      </c>
      <c r="B4693" t="str">
        <f>"300931"</f>
        <v>300931</v>
      </c>
      <c r="C4693" t="s">
        <v>9730</v>
      </c>
      <c r="D4693" t="s">
        <v>1689</v>
      </c>
      <c r="P4693">
        <v>31</v>
      </c>
      <c r="Q4693" t="s">
        <v>9731</v>
      </c>
    </row>
    <row r="4694" spans="1:17" x14ac:dyDescent="0.3">
      <c r="A4694" t="s">
        <v>4708</v>
      </c>
      <c r="B4694" t="str">
        <f>"300932"</f>
        <v>300932</v>
      </c>
      <c r="C4694" t="s">
        <v>9732</v>
      </c>
      <c r="D4694" t="s">
        <v>657</v>
      </c>
      <c r="P4694">
        <v>29</v>
      </c>
      <c r="Q4694" t="s">
        <v>9733</v>
      </c>
    </row>
    <row r="4695" spans="1:17" x14ac:dyDescent="0.3">
      <c r="A4695" t="s">
        <v>4708</v>
      </c>
      <c r="B4695" t="str">
        <f>"300933"</f>
        <v>300933</v>
      </c>
      <c r="C4695" t="s">
        <v>9734</v>
      </c>
      <c r="D4695" t="s">
        <v>1164</v>
      </c>
      <c r="P4695">
        <v>30</v>
      </c>
      <c r="Q4695" t="s">
        <v>9735</v>
      </c>
    </row>
    <row r="4696" spans="1:17" x14ac:dyDescent="0.3">
      <c r="A4696" t="s">
        <v>4708</v>
      </c>
      <c r="B4696" t="str">
        <f>"300935"</f>
        <v>300935</v>
      </c>
      <c r="C4696" t="s">
        <v>9736</v>
      </c>
      <c r="D4696" t="s">
        <v>945</v>
      </c>
      <c r="P4696">
        <v>55</v>
      </c>
      <c r="Q4696" t="s">
        <v>9737</v>
      </c>
    </row>
    <row r="4697" spans="1:17" x14ac:dyDescent="0.3">
      <c r="A4697" t="s">
        <v>4708</v>
      </c>
      <c r="B4697" t="str">
        <f>"300936"</f>
        <v>300936</v>
      </c>
      <c r="C4697" t="s">
        <v>9738</v>
      </c>
      <c r="D4697" t="s">
        <v>425</v>
      </c>
      <c r="P4697">
        <v>54</v>
      </c>
      <c r="Q4697" t="s">
        <v>9739</v>
      </c>
    </row>
    <row r="4698" spans="1:17" x14ac:dyDescent="0.3">
      <c r="A4698" t="s">
        <v>4708</v>
      </c>
      <c r="B4698" t="str">
        <f>"300937"</f>
        <v>300937</v>
      </c>
      <c r="C4698" t="s">
        <v>9740</v>
      </c>
      <c r="D4698" t="s">
        <v>125</v>
      </c>
      <c r="P4698">
        <v>35</v>
      </c>
      <c r="Q4698" t="s">
        <v>9741</v>
      </c>
    </row>
    <row r="4699" spans="1:17" x14ac:dyDescent="0.3">
      <c r="A4699" t="s">
        <v>4708</v>
      </c>
      <c r="B4699" t="str">
        <f>"300938"</f>
        <v>300938</v>
      </c>
      <c r="C4699" t="s">
        <v>9742</v>
      </c>
      <c r="D4699" t="s">
        <v>2503</v>
      </c>
      <c r="P4699">
        <v>43</v>
      </c>
      <c r="Q4699" t="s">
        <v>9743</v>
      </c>
    </row>
    <row r="4700" spans="1:17" x14ac:dyDescent="0.3">
      <c r="A4700" t="s">
        <v>4708</v>
      </c>
      <c r="B4700" t="str">
        <f>"300939"</f>
        <v>300939</v>
      </c>
      <c r="C4700" t="s">
        <v>9744</v>
      </c>
      <c r="D4700" t="s">
        <v>1117</v>
      </c>
      <c r="P4700">
        <v>31</v>
      </c>
      <c r="Q4700" t="s">
        <v>9745</v>
      </c>
    </row>
    <row r="4701" spans="1:17" x14ac:dyDescent="0.3">
      <c r="A4701" t="s">
        <v>4708</v>
      </c>
      <c r="B4701" t="str">
        <f>"300940"</f>
        <v>300940</v>
      </c>
      <c r="C4701" t="s">
        <v>9746</v>
      </c>
      <c r="D4701" t="s">
        <v>803</v>
      </c>
      <c r="P4701">
        <v>39</v>
      </c>
      <c r="Q4701" t="s">
        <v>9747</v>
      </c>
    </row>
    <row r="4702" spans="1:17" x14ac:dyDescent="0.3">
      <c r="A4702" t="s">
        <v>4708</v>
      </c>
      <c r="B4702" t="str">
        <f>"300941"</f>
        <v>300941</v>
      </c>
      <c r="C4702" t="s">
        <v>9748</v>
      </c>
      <c r="D4702" t="s">
        <v>236</v>
      </c>
      <c r="P4702">
        <v>69</v>
      </c>
      <c r="Q4702" t="s">
        <v>9749</v>
      </c>
    </row>
    <row r="4703" spans="1:17" x14ac:dyDescent="0.3">
      <c r="A4703" t="s">
        <v>4708</v>
      </c>
      <c r="B4703" t="str">
        <f>"300942"</f>
        <v>300942</v>
      </c>
      <c r="C4703" t="s">
        <v>9750</v>
      </c>
      <c r="D4703" t="s">
        <v>1305</v>
      </c>
      <c r="P4703">
        <v>98</v>
      </c>
      <c r="Q4703" t="s">
        <v>9751</v>
      </c>
    </row>
    <row r="4704" spans="1:17" x14ac:dyDescent="0.3">
      <c r="A4704" t="s">
        <v>4708</v>
      </c>
      <c r="B4704" t="str">
        <f>"300943"</f>
        <v>300943</v>
      </c>
      <c r="C4704" t="s">
        <v>9752</v>
      </c>
      <c r="D4704" t="s">
        <v>274</v>
      </c>
      <c r="P4704">
        <v>35</v>
      </c>
      <c r="Q4704" t="s">
        <v>9753</v>
      </c>
    </row>
    <row r="4705" spans="1:17" x14ac:dyDescent="0.3">
      <c r="A4705" t="s">
        <v>4708</v>
      </c>
      <c r="B4705" t="str">
        <f>"300945"</f>
        <v>300945</v>
      </c>
      <c r="C4705" t="s">
        <v>9754</v>
      </c>
      <c r="D4705" t="s">
        <v>1238</v>
      </c>
      <c r="P4705">
        <v>36</v>
      </c>
      <c r="Q4705" t="s">
        <v>9755</v>
      </c>
    </row>
    <row r="4706" spans="1:17" x14ac:dyDescent="0.3">
      <c r="A4706" t="s">
        <v>4708</v>
      </c>
      <c r="B4706" t="str">
        <f>"300946"</f>
        <v>300946</v>
      </c>
      <c r="C4706" t="s">
        <v>9756</v>
      </c>
      <c r="D4706" t="s">
        <v>274</v>
      </c>
      <c r="P4706">
        <v>75</v>
      </c>
      <c r="Q4706" t="s">
        <v>9757</v>
      </c>
    </row>
    <row r="4707" spans="1:17" x14ac:dyDescent="0.3">
      <c r="A4707" t="s">
        <v>4708</v>
      </c>
      <c r="B4707" t="str">
        <f>"300947"</f>
        <v>300947</v>
      </c>
      <c r="C4707" t="s">
        <v>9758</v>
      </c>
      <c r="D4707" t="s">
        <v>271</v>
      </c>
      <c r="P4707">
        <v>28</v>
      </c>
      <c r="Q4707" t="s">
        <v>9759</v>
      </c>
    </row>
    <row r="4708" spans="1:17" x14ac:dyDescent="0.3">
      <c r="A4708" t="s">
        <v>4708</v>
      </c>
      <c r="B4708" t="str">
        <f>"300948"</f>
        <v>300948</v>
      </c>
      <c r="C4708" t="s">
        <v>9760</v>
      </c>
      <c r="D4708" t="s">
        <v>2410</v>
      </c>
      <c r="P4708">
        <v>38</v>
      </c>
      <c r="Q4708" t="s">
        <v>9761</v>
      </c>
    </row>
    <row r="4709" spans="1:17" x14ac:dyDescent="0.3">
      <c r="A4709" t="s">
        <v>4708</v>
      </c>
      <c r="B4709" t="str">
        <f>"300949"</f>
        <v>300949</v>
      </c>
      <c r="C4709" t="s">
        <v>9762</v>
      </c>
      <c r="D4709" t="s">
        <v>2410</v>
      </c>
      <c r="P4709">
        <v>39</v>
      </c>
      <c r="Q4709" t="s">
        <v>9763</v>
      </c>
    </row>
    <row r="4710" spans="1:17" x14ac:dyDescent="0.3">
      <c r="A4710" t="s">
        <v>4708</v>
      </c>
      <c r="B4710" t="str">
        <f>"300950"</f>
        <v>300950</v>
      </c>
      <c r="C4710" t="s">
        <v>9764</v>
      </c>
      <c r="D4710" t="s">
        <v>395</v>
      </c>
      <c r="P4710">
        <v>58</v>
      </c>
      <c r="Q4710" t="s">
        <v>9765</v>
      </c>
    </row>
    <row r="4711" spans="1:17" x14ac:dyDescent="0.3">
      <c r="A4711" t="s">
        <v>4708</v>
      </c>
      <c r="B4711" t="str">
        <f>"300951"</f>
        <v>300951</v>
      </c>
      <c r="C4711" t="s">
        <v>9766</v>
      </c>
      <c r="D4711" t="s">
        <v>313</v>
      </c>
      <c r="P4711">
        <v>67</v>
      </c>
      <c r="Q4711" t="s">
        <v>9767</v>
      </c>
    </row>
    <row r="4712" spans="1:17" x14ac:dyDescent="0.3">
      <c r="A4712" t="s">
        <v>4708</v>
      </c>
      <c r="B4712" t="str">
        <f>"300952"</f>
        <v>300952</v>
      </c>
      <c r="C4712" t="s">
        <v>9768</v>
      </c>
      <c r="D4712" t="s">
        <v>330</v>
      </c>
      <c r="P4712">
        <v>38</v>
      </c>
      <c r="Q4712" t="s">
        <v>9769</v>
      </c>
    </row>
    <row r="4713" spans="1:17" x14ac:dyDescent="0.3">
      <c r="A4713" t="s">
        <v>4708</v>
      </c>
      <c r="B4713" t="str">
        <f>"300953"</f>
        <v>300953</v>
      </c>
      <c r="C4713" t="s">
        <v>9770</v>
      </c>
      <c r="D4713" t="s">
        <v>274</v>
      </c>
      <c r="P4713">
        <v>84</v>
      </c>
      <c r="Q4713" t="s">
        <v>9771</v>
      </c>
    </row>
    <row r="4714" spans="1:17" x14ac:dyDescent="0.3">
      <c r="A4714" t="s">
        <v>4708</v>
      </c>
      <c r="B4714" t="str">
        <f>"300955"</f>
        <v>300955</v>
      </c>
      <c r="C4714" t="s">
        <v>9772</v>
      </c>
      <c r="D4714" t="s">
        <v>5944</v>
      </c>
      <c r="P4714">
        <v>42</v>
      </c>
      <c r="Q4714" t="s">
        <v>9773</v>
      </c>
    </row>
    <row r="4715" spans="1:17" x14ac:dyDescent="0.3">
      <c r="A4715" t="s">
        <v>4708</v>
      </c>
      <c r="B4715" t="str">
        <f>"300956"</f>
        <v>300956</v>
      </c>
      <c r="C4715" t="s">
        <v>9774</v>
      </c>
      <c r="D4715" t="s">
        <v>313</v>
      </c>
      <c r="P4715">
        <v>45</v>
      </c>
      <c r="Q4715" t="s">
        <v>9775</v>
      </c>
    </row>
    <row r="4716" spans="1:17" x14ac:dyDescent="0.3">
      <c r="A4716" t="s">
        <v>4708</v>
      </c>
      <c r="B4716" t="str">
        <f>"300957"</f>
        <v>300957</v>
      </c>
      <c r="C4716" t="s">
        <v>9776</v>
      </c>
      <c r="D4716" t="s">
        <v>709</v>
      </c>
      <c r="P4716">
        <v>350</v>
      </c>
      <c r="Q4716" t="s">
        <v>9777</v>
      </c>
    </row>
    <row r="4717" spans="1:17" x14ac:dyDescent="0.3">
      <c r="A4717" t="s">
        <v>4708</v>
      </c>
      <c r="B4717" t="str">
        <f>"300958"</f>
        <v>300958</v>
      </c>
      <c r="C4717" t="s">
        <v>9778</v>
      </c>
      <c r="D4717" t="s">
        <v>3560</v>
      </c>
      <c r="P4717">
        <v>28</v>
      </c>
      <c r="Q4717" t="s">
        <v>9779</v>
      </c>
    </row>
    <row r="4718" spans="1:17" x14ac:dyDescent="0.3">
      <c r="A4718" t="s">
        <v>4708</v>
      </c>
      <c r="B4718" t="str">
        <f>"300959"</f>
        <v>300959</v>
      </c>
      <c r="C4718" t="s">
        <v>9780</v>
      </c>
      <c r="D4718" t="s">
        <v>5641</v>
      </c>
      <c r="P4718">
        <v>31</v>
      </c>
      <c r="Q4718" t="s">
        <v>9781</v>
      </c>
    </row>
    <row r="4719" spans="1:17" x14ac:dyDescent="0.3">
      <c r="A4719" t="s">
        <v>4708</v>
      </c>
      <c r="B4719" t="str">
        <f>"300960"</f>
        <v>300960</v>
      </c>
      <c r="C4719" t="s">
        <v>9782</v>
      </c>
      <c r="D4719" t="s">
        <v>1012</v>
      </c>
      <c r="P4719">
        <v>26</v>
      </c>
      <c r="Q4719" t="s">
        <v>9783</v>
      </c>
    </row>
    <row r="4720" spans="1:17" x14ac:dyDescent="0.3">
      <c r="A4720" t="s">
        <v>4708</v>
      </c>
      <c r="B4720" t="str">
        <f>"300961"</f>
        <v>300961</v>
      </c>
      <c r="C4720" t="s">
        <v>9784</v>
      </c>
      <c r="D4720" t="s">
        <v>33</v>
      </c>
      <c r="P4720">
        <v>27</v>
      </c>
      <c r="Q4720" t="s">
        <v>9785</v>
      </c>
    </row>
    <row r="4721" spans="1:17" x14ac:dyDescent="0.3">
      <c r="A4721" t="s">
        <v>4708</v>
      </c>
      <c r="B4721" t="str">
        <f>"300962"</f>
        <v>300962</v>
      </c>
      <c r="C4721" t="s">
        <v>9786</v>
      </c>
      <c r="D4721" t="s">
        <v>9787</v>
      </c>
      <c r="P4721">
        <v>32</v>
      </c>
      <c r="Q4721" t="s">
        <v>9788</v>
      </c>
    </row>
    <row r="4722" spans="1:17" x14ac:dyDescent="0.3">
      <c r="A4722" t="s">
        <v>4708</v>
      </c>
      <c r="B4722" t="str">
        <f>"300963"</f>
        <v>300963</v>
      </c>
      <c r="C4722" t="s">
        <v>9789</v>
      </c>
      <c r="D4722" t="s">
        <v>581</v>
      </c>
      <c r="P4722">
        <v>35</v>
      </c>
      <c r="Q4722" t="s">
        <v>9790</v>
      </c>
    </row>
    <row r="4723" spans="1:17" x14ac:dyDescent="0.3">
      <c r="A4723" t="s">
        <v>4708</v>
      </c>
      <c r="B4723" t="str">
        <f>"300964"</f>
        <v>300964</v>
      </c>
      <c r="C4723" t="s">
        <v>9791</v>
      </c>
      <c r="D4723" t="s">
        <v>425</v>
      </c>
      <c r="P4723">
        <v>20</v>
      </c>
      <c r="Q4723" t="s">
        <v>9792</v>
      </c>
    </row>
    <row r="4724" spans="1:17" x14ac:dyDescent="0.3">
      <c r="A4724" t="s">
        <v>4708</v>
      </c>
      <c r="B4724" t="str">
        <f>"300965"</f>
        <v>300965</v>
      </c>
      <c r="C4724" t="s">
        <v>9793</v>
      </c>
      <c r="D4724" t="s">
        <v>98</v>
      </c>
      <c r="P4724">
        <v>31</v>
      </c>
      <c r="Q4724" t="s">
        <v>9794</v>
      </c>
    </row>
    <row r="4725" spans="1:17" x14ac:dyDescent="0.3">
      <c r="A4725" t="s">
        <v>4708</v>
      </c>
      <c r="B4725" t="str">
        <f>"300966"</f>
        <v>300966</v>
      </c>
      <c r="C4725" t="s">
        <v>9795</v>
      </c>
      <c r="D4725" t="s">
        <v>496</v>
      </c>
      <c r="P4725">
        <v>32</v>
      </c>
      <c r="Q4725" t="s">
        <v>9796</v>
      </c>
    </row>
    <row r="4726" spans="1:17" x14ac:dyDescent="0.3">
      <c r="A4726" t="s">
        <v>4708</v>
      </c>
      <c r="B4726" t="str">
        <f>"300967"</f>
        <v>300967</v>
      </c>
      <c r="C4726" t="s">
        <v>9797</v>
      </c>
      <c r="D4726" t="s">
        <v>6225</v>
      </c>
      <c r="P4726">
        <v>34</v>
      </c>
      <c r="Q4726" t="s">
        <v>9798</v>
      </c>
    </row>
    <row r="4727" spans="1:17" x14ac:dyDescent="0.3">
      <c r="A4727" t="s">
        <v>4708</v>
      </c>
      <c r="B4727" t="str">
        <f>"300968"</f>
        <v>300968</v>
      </c>
      <c r="C4727" t="s">
        <v>9799</v>
      </c>
      <c r="D4727" t="s">
        <v>313</v>
      </c>
      <c r="P4727">
        <v>31</v>
      </c>
      <c r="Q4727" t="s">
        <v>9800</v>
      </c>
    </row>
    <row r="4728" spans="1:17" x14ac:dyDescent="0.3">
      <c r="A4728" t="s">
        <v>4708</v>
      </c>
      <c r="B4728" t="str">
        <f>"300969"</f>
        <v>300969</v>
      </c>
      <c r="C4728" t="s">
        <v>9801</v>
      </c>
      <c r="D4728" t="s">
        <v>191</v>
      </c>
      <c r="P4728">
        <v>42</v>
      </c>
      <c r="Q4728" t="s">
        <v>9802</v>
      </c>
    </row>
    <row r="4729" spans="1:17" x14ac:dyDescent="0.3">
      <c r="A4729" t="s">
        <v>4708</v>
      </c>
      <c r="B4729" t="str">
        <f>"300970"</f>
        <v>300970</v>
      </c>
      <c r="C4729" t="s">
        <v>9803</v>
      </c>
      <c r="D4729" t="s">
        <v>7291</v>
      </c>
      <c r="P4729">
        <v>25</v>
      </c>
      <c r="Q4729" t="s">
        <v>9804</v>
      </c>
    </row>
    <row r="4730" spans="1:17" x14ac:dyDescent="0.3">
      <c r="A4730" t="s">
        <v>4708</v>
      </c>
      <c r="B4730" t="str">
        <f>"300971"</f>
        <v>300971</v>
      </c>
      <c r="C4730" t="s">
        <v>9805</v>
      </c>
      <c r="D4730" t="s">
        <v>741</v>
      </c>
      <c r="P4730">
        <v>39</v>
      </c>
      <c r="Q4730" t="s">
        <v>9806</v>
      </c>
    </row>
    <row r="4731" spans="1:17" x14ac:dyDescent="0.3">
      <c r="A4731" t="s">
        <v>4708</v>
      </c>
      <c r="B4731" t="str">
        <f>"300972"</f>
        <v>300972</v>
      </c>
      <c r="C4731" t="s">
        <v>9807</v>
      </c>
      <c r="D4731" t="s">
        <v>7291</v>
      </c>
      <c r="P4731">
        <v>22</v>
      </c>
      <c r="Q4731" t="s">
        <v>9808</v>
      </c>
    </row>
    <row r="4732" spans="1:17" x14ac:dyDescent="0.3">
      <c r="A4732" t="s">
        <v>4708</v>
      </c>
      <c r="B4732" t="str">
        <f>"300973"</f>
        <v>300973</v>
      </c>
      <c r="C4732" t="s">
        <v>9809</v>
      </c>
      <c r="D4732" t="s">
        <v>2481</v>
      </c>
      <c r="P4732">
        <v>140</v>
      </c>
      <c r="Q4732" t="s">
        <v>9810</v>
      </c>
    </row>
    <row r="4733" spans="1:17" x14ac:dyDescent="0.3">
      <c r="A4733" t="s">
        <v>4708</v>
      </c>
      <c r="B4733" t="str">
        <f>"300975"</f>
        <v>300975</v>
      </c>
      <c r="C4733" t="s">
        <v>9811</v>
      </c>
      <c r="D4733" t="s">
        <v>651</v>
      </c>
      <c r="P4733">
        <v>30</v>
      </c>
      <c r="Q4733" t="s">
        <v>9812</v>
      </c>
    </row>
    <row r="4734" spans="1:17" x14ac:dyDescent="0.3">
      <c r="A4734" t="s">
        <v>4708</v>
      </c>
      <c r="B4734" t="str">
        <f>"300976"</f>
        <v>300976</v>
      </c>
      <c r="C4734" t="s">
        <v>9813</v>
      </c>
      <c r="D4734" t="s">
        <v>313</v>
      </c>
      <c r="P4734">
        <v>35</v>
      </c>
      <c r="Q4734" t="s">
        <v>9814</v>
      </c>
    </row>
    <row r="4735" spans="1:17" x14ac:dyDescent="0.3">
      <c r="A4735" t="s">
        <v>4708</v>
      </c>
      <c r="B4735" t="str">
        <f>"300977"</f>
        <v>300977</v>
      </c>
      <c r="C4735" t="s">
        <v>9815</v>
      </c>
      <c r="D4735" t="s">
        <v>1272</v>
      </c>
      <c r="P4735">
        <v>46</v>
      </c>
      <c r="Q4735" t="s">
        <v>9816</v>
      </c>
    </row>
    <row r="4736" spans="1:17" x14ac:dyDescent="0.3">
      <c r="A4736" t="s">
        <v>4708</v>
      </c>
      <c r="B4736" t="str">
        <f>"300978"</f>
        <v>300978</v>
      </c>
      <c r="C4736" t="s">
        <v>9817</v>
      </c>
      <c r="D4736" t="s">
        <v>191</v>
      </c>
      <c r="P4736">
        <v>37</v>
      </c>
      <c r="Q4736" t="s">
        <v>9818</v>
      </c>
    </row>
    <row r="4737" spans="1:17" x14ac:dyDescent="0.3">
      <c r="A4737" t="s">
        <v>4708</v>
      </c>
      <c r="B4737" t="str">
        <f>"300979"</f>
        <v>300979</v>
      </c>
      <c r="C4737" t="s">
        <v>9819</v>
      </c>
      <c r="D4737" t="s">
        <v>9820</v>
      </c>
      <c r="P4737">
        <v>95</v>
      </c>
      <c r="Q4737" t="s">
        <v>9821</v>
      </c>
    </row>
    <row r="4738" spans="1:17" x14ac:dyDescent="0.3">
      <c r="A4738" t="s">
        <v>4708</v>
      </c>
      <c r="B4738" t="str">
        <f>"300980"</f>
        <v>300980</v>
      </c>
      <c r="C4738" t="s">
        <v>9822</v>
      </c>
      <c r="D4738" t="s">
        <v>1192</v>
      </c>
      <c r="P4738">
        <v>77</v>
      </c>
      <c r="Q4738" t="s">
        <v>9823</v>
      </c>
    </row>
    <row r="4739" spans="1:17" x14ac:dyDescent="0.3">
      <c r="A4739" t="s">
        <v>4708</v>
      </c>
      <c r="B4739" t="str">
        <f>"300981"</f>
        <v>300981</v>
      </c>
      <c r="C4739" t="s">
        <v>9824</v>
      </c>
      <c r="D4739" t="s">
        <v>1077</v>
      </c>
      <c r="P4739">
        <v>127</v>
      </c>
      <c r="Q4739" t="s">
        <v>9825</v>
      </c>
    </row>
    <row r="4740" spans="1:17" x14ac:dyDescent="0.3">
      <c r="A4740" t="s">
        <v>4708</v>
      </c>
      <c r="B4740" t="str">
        <f>"300982"</f>
        <v>300982</v>
      </c>
      <c r="C4740" t="s">
        <v>9826</v>
      </c>
      <c r="D4740" t="s">
        <v>101</v>
      </c>
      <c r="P4740">
        <v>65</v>
      </c>
      <c r="Q4740" t="s">
        <v>9827</v>
      </c>
    </row>
    <row r="4741" spans="1:17" x14ac:dyDescent="0.3">
      <c r="A4741" t="s">
        <v>4708</v>
      </c>
      <c r="B4741" t="str">
        <f>"300983"</f>
        <v>300983</v>
      </c>
      <c r="C4741" t="s">
        <v>9828</v>
      </c>
      <c r="D4741" t="s">
        <v>1272</v>
      </c>
      <c r="P4741">
        <v>34</v>
      </c>
      <c r="Q4741" t="s">
        <v>9829</v>
      </c>
    </row>
    <row r="4742" spans="1:17" x14ac:dyDescent="0.3">
      <c r="A4742" t="s">
        <v>4708</v>
      </c>
      <c r="B4742" t="str">
        <f>"300984"</f>
        <v>300984</v>
      </c>
      <c r="C4742" t="s">
        <v>9830</v>
      </c>
      <c r="D4742" t="s">
        <v>560</v>
      </c>
      <c r="P4742">
        <v>18</v>
      </c>
      <c r="Q4742" t="s">
        <v>9831</v>
      </c>
    </row>
    <row r="4743" spans="1:17" x14ac:dyDescent="0.3">
      <c r="A4743" t="s">
        <v>4708</v>
      </c>
      <c r="B4743" t="str">
        <f>"300985"</f>
        <v>300985</v>
      </c>
      <c r="C4743" t="s">
        <v>9832</v>
      </c>
      <c r="D4743" t="s">
        <v>274</v>
      </c>
      <c r="P4743">
        <v>32</v>
      </c>
      <c r="Q4743" t="s">
        <v>9833</v>
      </c>
    </row>
    <row r="4744" spans="1:17" x14ac:dyDescent="0.3">
      <c r="A4744" t="s">
        <v>4708</v>
      </c>
      <c r="B4744" t="str">
        <f>"300986"</f>
        <v>300986</v>
      </c>
      <c r="C4744" t="s">
        <v>9834</v>
      </c>
      <c r="D4744" t="s">
        <v>504</v>
      </c>
      <c r="P4744">
        <v>34</v>
      </c>
      <c r="Q4744" t="s">
        <v>9835</v>
      </c>
    </row>
    <row r="4745" spans="1:17" x14ac:dyDescent="0.3">
      <c r="A4745" t="s">
        <v>4708</v>
      </c>
      <c r="B4745" t="str">
        <f>"300987"</f>
        <v>300987</v>
      </c>
      <c r="C4745" t="s">
        <v>9836</v>
      </c>
      <c r="D4745" t="s">
        <v>522</v>
      </c>
      <c r="P4745">
        <v>24</v>
      </c>
      <c r="Q4745" t="s">
        <v>9837</v>
      </c>
    </row>
    <row r="4746" spans="1:17" x14ac:dyDescent="0.3">
      <c r="A4746" t="s">
        <v>4708</v>
      </c>
      <c r="B4746" t="str">
        <f>"300988"</f>
        <v>300988</v>
      </c>
      <c r="C4746" t="s">
        <v>9838</v>
      </c>
      <c r="D4746" t="s">
        <v>741</v>
      </c>
      <c r="P4746">
        <v>20</v>
      </c>
      <c r="Q4746" t="s">
        <v>9839</v>
      </c>
    </row>
    <row r="4747" spans="1:17" x14ac:dyDescent="0.3">
      <c r="A4747" t="s">
        <v>4708</v>
      </c>
      <c r="B4747" t="str">
        <f>"300989"</f>
        <v>300989</v>
      </c>
      <c r="C4747" t="s">
        <v>9840</v>
      </c>
      <c r="D4747" t="s">
        <v>1272</v>
      </c>
      <c r="P4747">
        <v>32</v>
      </c>
      <c r="Q4747" t="s">
        <v>9841</v>
      </c>
    </row>
    <row r="4748" spans="1:17" x14ac:dyDescent="0.3">
      <c r="A4748" t="s">
        <v>4708</v>
      </c>
      <c r="B4748" t="str">
        <f>"300990"</f>
        <v>300990</v>
      </c>
      <c r="C4748" t="s">
        <v>9842</v>
      </c>
      <c r="D4748" t="s">
        <v>988</v>
      </c>
      <c r="P4748">
        <v>42</v>
      </c>
      <c r="Q4748" t="s">
        <v>9843</v>
      </c>
    </row>
    <row r="4749" spans="1:17" x14ac:dyDescent="0.3">
      <c r="A4749" t="s">
        <v>4708</v>
      </c>
      <c r="B4749" t="str">
        <f>"300991"</f>
        <v>300991</v>
      </c>
      <c r="C4749" t="s">
        <v>9844</v>
      </c>
      <c r="D4749" t="s">
        <v>651</v>
      </c>
      <c r="P4749">
        <v>58</v>
      </c>
      <c r="Q4749" t="s">
        <v>9845</v>
      </c>
    </row>
    <row r="4750" spans="1:17" x14ac:dyDescent="0.3">
      <c r="A4750" t="s">
        <v>4708</v>
      </c>
      <c r="B4750" t="str">
        <f>"300992"</f>
        <v>300992</v>
      </c>
      <c r="C4750" t="s">
        <v>9846</v>
      </c>
      <c r="D4750" t="s">
        <v>560</v>
      </c>
      <c r="P4750">
        <v>26</v>
      </c>
      <c r="Q4750" t="s">
        <v>9847</v>
      </c>
    </row>
    <row r="4751" spans="1:17" x14ac:dyDescent="0.3">
      <c r="A4751" t="s">
        <v>4708</v>
      </c>
      <c r="B4751" t="str">
        <f>"300993"</f>
        <v>300993</v>
      </c>
      <c r="C4751" t="s">
        <v>9848</v>
      </c>
      <c r="D4751" t="s">
        <v>2438</v>
      </c>
      <c r="P4751">
        <v>31</v>
      </c>
      <c r="Q4751" t="s">
        <v>9849</v>
      </c>
    </row>
    <row r="4752" spans="1:17" x14ac:dyDescent="0.3">
      <c r="A4752" t="s">
        <v>4708</v>
      </c>
      <c r="B4752" t="str">
        <f>"300994"</f>
        <v>300994</v>
      </c>
      <c r="C4752" t="s">
        <v>9850</v>
      </c>
      <c r="D4752" t="s">
        <v>233</v>
      </c>
      <c r="P4752">
        <v>21</v>
      </c>
      <c r="Q4752" t="s">
        <v>9851</v>
      </c>
    </row>
    <row r="4753" spans="1:17" x14ac:dyDescent="0.3">
      <c r="A4753" t="s">
        <v>4708</v>
      </c>
      <c r="B4753" t="str">
        <f>"300995"</f>
        <v>300995</v>
      </c>
      <c r="C4753" t="s">
        <v>9852</v>
      </c>
      <c r="D4753" t="s">
        <v>341</v>
      </c>
      <c r="P4753">
        <v>26</v>
      </c>
      <c r="Q4753" t="s">
        <v>9853</v>
      </c>
    </row>
    <row r="4754" spans="1:17" x14ac:dyDescent="0.3">
      <c r="A4754" t="s">
        <v>4708</v>
      </c>
      <c r="B4754" t="str">
        <f>"300996"</f>
        <v>300996</v>
      </c>
      <c r="C4754" t="s">
        <v>9854</v>
      </c>
      <c r="D4754" t="s">
        <v>945</v>
      </c>
      <c r="P4754">
        <v>42</v>
      </c>
      <c r="Q4754" t="s">
        <v>9855</v>
      </c>
    </row>
    <row r="4755" spans="1:17" x14ac:dyDescent="0.3">
      <c r="A4755" t="s">
        <v>4708</v>
      </c>
      <c r="B4755" t="str">
        <f>"300997"</f>
        <v>300997</v>
      </c>
      <c r="C4755" t="s">
        <v>9856</v>
      </c>
      <c r="D4755" t="s">
        <v>440</v>
      </c>
      <c r="P4755">
        <v>39</v>
      </c>
      <c r="Q4755" t="s">
        <v>9857</v>
      </c>
    </row>
    <row r="4756" spans="1:17" x14ac:dyDescent="0.3">
      <c r="A4756" t="s">
        <v>4708</v>
      </c>
      <c r="B4756" t="str">
        <f>"300998"</f>
        <v>300998</v>
      </c>
      <c r="C4756" t="s">
        <v>9858</v>
      </c>
      <c r="D4756" t="s">
        <v>985</v>
      </c>
      <c r="P4756">
        <v>26</v>
      </c>
      <c r="Q4756" t="s">
        <v>9859</v>
      </c>
    </row>
    <row r="4757" spans="1:17" x14ac:dyDescent="0.3">
      <c r="A4757" t="s">
        <v>4708</v>
      </c>
      <c r="B4757" t="str">
        <f>"300999"</f>
        <v>300999</v>
      </c>
      <c r="C4757" t="s">
        <v>9860</v>
      </c>
      <c r="D4757" t="s">
        <v>306</v>
      </c>
      <c r="P4757">
        <v>1181</v>
      </c>
      <c r="Q4757" t="s">
        <v>9861</v>
      </c>
    </row>
    <row r="4758" spans="1:17" x14ac:dyDescent="0.3">
      <c r="A4758" t="s">
        <v>4708</v>
      </c>
      <c r="B4758" t="str">
        <f>"301000"</f>
        <v>301000</v>
      </c>
      <c r="C4758" t="s">
        <v>9862</v>
      </c>
      <c r="D4758" t="s">
        <v>985</v>
      </c>
      <c r="P4758">
        <v>25</v>
      </c>
      <c r="Q4758" t="s">
        <v>9863</v>
      </c>
    </row>
    <row r="4759" spans="1:17" x14ac:dyDescent="0.3">
      <c r="A4759" t="s">
        <v>4708</v>
      </c>
      <c r="B4759" t="str">
        <f>"301001"</f>
        <v>301001</v>
      </c>
      <c r="C4759" t="s">
        <v>9864</v>
      </c>
      <c r="D4759" t="s">
        <v>3602</v>
      </c>
      <c r="P4759">
        <v>23</v>
      </c>
      <c r="Q4759" t="s">
        <v>9865</v>
      </c>
    </row>
    <row r="4760" spans="1:17" x14ac:dyDescent="0.3">
      <c r="A4760" t="s">
        <v>4708</v>
      </c>
      <c r="B4760" t="str">
        <f>"301002"</f>
        <v>301002</v>
      </c>
      <c r="C4760" t="s">
        <v>9866</v>
      </c>
      <c r="D4760" t="s">
        <v>210</v>
      </c>
      <c r="P4760">
        <v>43</v>
      </c>
      <c r="Q4760" t="s">
        <v>9867</v>
      </c>
    </row>
    <row r="4761" spans="1:17" x14ac:dyDescent="0.3">
      <c r="A4761" t="s">
        <v>4708</v>
      </c>
      <c r="B4761" t="str">
        <f>"301003"</f>
        <v>301003</v>
      </c>
      <c r="C4761" t="s">
        <v>9868</v>
      </c>
      <c r="D4761" t="s">
        <v>341</v>
      </c>
      <c r="P4761">
        <v>31</v>
      </c>
      <c r="Q4761" t="s">
        <v>9869</v>
      </c>
    </row>
    <row r="4762" spans="1:17" x14ac:dyDescent="0.3">
      <c r="A4762" t="s">
        <v>4708</v>
      </c>
      <c r="B4762" t="str">
        <f>"301004"</f>
        <v>301004</v>
      </c>
      <c r="C4762" t="s">
        <v>9870</v>
      </c>
      <c r="D4762" t="s">
        <v>2438</v>
      </c>
      <c r="P4762">
        <v>25</v>
      </c>
      <c r="Q4762" t="s">
        <v>9871</v>
      </c>
    </row>
    <row r="4763" spans="1:17" x14ac:dyDescent="0.3">
      <c r="A4763" t="s">
        <v>4708</v>
      </c>
      <c r="B4763" t="str">
        <f>"301005"</f>
        <v>301005</v>
      </c>
      <c r="C4763" t="s">
        <v>9872</v>
      </c>
      <c r="D4763" t="s">
        <v>985</v>
      </c>
      <c r="P4763">
        <v>23</v>
      </c>
      <c r="Q4763" t="s">
        <v>9873</v>
      </c>
    </row>
    <row r="4764" spans="1:17" x14ac:dyDescent="0.3">
      <c r="A4764" t="s">
        <v>4708</v>
      </c>
      <c r="B4764" t="str">
        <f>"301006"</f>
        <v>301006</v>
      </c>
      <c r="C4764" t="s">
        <v>9874</v>
      </c>
      <c r="D4764" t="s">
        <v>2557</v>
      </c>
      <c r="P4764">
        <v>50</v>
      </c>
      <c r="Q4764" t="s">
        <v>9875</v>
      </c>
    </row>
    <row r="4765" spans="1:17" x14ac:dyDescent="0.3">
      <c r="A4765" t="s">
        <v>4708</v>
      </c>
      <c r="B4765" t="str">
        <f>"301007"</f>
        <v>301007</v>
      </c>
      <c r="C4765" t="s">
        <v>9876</v>
      </c>
      <c r="D4765" t="s">
        <v>348</v>
      </c>
      <c r="P4765">
        <v>44</v>
      </c>
      <c r="Q4765" t="s">
        <v>9877</v>
      </c>
    </row>
    <row r="4766" spans="1:17" x14ac:dyDescent="0.3">
      <c r="A4766" t="s">
        <v>4708</v>
      </c>
      <c r="B4766" t="str">
        <f>"301008"</f>
        <v>301008</v>
      </c>
      <c r="C4766" t="s">
        <v>9878</v>
      </c>
      <c r="D4766" t="s">
        <v>1253</v>
      </c>
      <c r="P4766">
        <v>36</v>
      </c>
      <c r="Q4766" t="s">
        <v>9879</v>
      </c>
    </row>
    <row r="4767" spans="1:17" x14ac:dyDescent="0.3">
      <c r="A4767" t="s">
        <v>4708</v>
      </c>
      <c r="B4767" t="str">
        <f>"301009"</f>
        <v>301009</v>
      </c>
      <c r="C4767" t="s">
        <v>9880</v>
      </c>
      <c r="D4767" t="s">
        <v>2740</v>
      </c>
      <c r="P4767">
        <v>59</v>
      </c>
      <c r="Q4767" t="s">
        <v>9881</v>
      </c>
    </row>
    <row r="4768" spans="1:17" x14ac:dyDescent="0.3">
      <c r="A4768" t="s">
        <v>4708</v>
      </c>
      <c r="B4768" t="str">
        <f>"301010"</f>
        <v>301010</v>
      </c>
      <c r="C4768" t="s">
        <v>9882</v>
      </c>
      <c r="D4768" t="s">
        <v>722</v>
      </c>
      <c r="P4768">
        <v>33</v>
      </c>
      <c r="Q4768" t="s">
        <v>9883</v>
      </c>
    </row>
    <row r="4769" spans="1:17" x14ac:dyDescent="0.3">
      <c r="A4769" t="s">
        <v>4708</v>
      </c>
      <c r="B4769" t="str">
        <f>"301011"</f>
        <v>301011</v>
      </c>
      <c r="C4769" t="s">
        <v>9884</v>
      </c>
      <c r="D4769" t="s">
        <v>741</v>
      </c>
      <c r="P4769">
        <v>28</v>
      </c>
      <c r="Q4769" t="s">
        <v>9885</v>
      </c>
    </row>
    <row r="4770" spans="1:17" x14ac:dyDescent="0.3">
      <c r="A4770" t="s">
        <v>4708</v>
      </c>
      <c r="B4770" t="str">
        <f>"301012"</f>
        <v>301012</v>
      </c>
      <c r="C4770" t="s">
        <v>9886</v>
      </c>
      <c r="D4770" t="s">
        <v>210</v>
      </c>
      <c r="P4770">
        <v>23</v>
      </c>
      <c r="Q4770" t="s">
        <v>9887</v>
      </c>
    </row>
    <row r="4771" spans="1:17" x14ac:dyDescent="0.3">
      <c r="A4771" t="s">
        <v>4708</v>
      </c>
      <c r="B4771" t="str">
        <f>"301013"</f>
        <v>301013</v>
      </c>
      <c r="C4771" t="s">
        <v>9888</v>
      </c>
      <c r="D4771" t="s">
        <v>741</v>
      </c>
      <c r="P4771">
        <v>20</v>
      </c>
      <c r="Q4771" t="s">
        <v>9889</v>
      </c>
    </row>
    <row r="4772" spans="1:17" x14ac:dyDescent="0.3">
      <c r="A4772" t="s">
        <v>4708</v>
      </c>
      <c r="B4772" t="str">
        <f>"301015"</f>
        <v>301015</v>
      </c>
      <c r="C4772" t="s">
        <v>9890</v>
      </c>
      <c r="D4772" t="s">
        <v>125</v>
      </c>
      <c r="P4772">
        <v>45</v>
      </c>
      <c r="Q4772" t="s">
        <v>9891</v>
      </c>
    </row>
    <row r="4773" spans="1:17" x14ac:dyDescent="0.3">
      <c r="A4773" t="s">
        <v>4708</v>
      </c>
      <c r="B4773" t="str">
        <f>"301016"</f>
        <v>301016</v>
      </c>
      <c r="C4773" t="s">
        <v>9892</v>
      </c>
      <c r="D4773" t="s">
        <v>1012</v>
      </c>
      <c r="P4773">
        <v>35</v>
      </c>
      <c r="Q4773" t="s">
        <v>9893</v>
      </c>
    </row>
    <row r="4774" spans="1:17" x14ac:dyDescent="0.3">
      <c r="A4774" t="s">
        <v>4708</v>
      </c>
      <c r="B4774" t="str">
        <f>"301017"</f>
        <v>301017</v>
      </c>
      <c r="C4774" t="s">
        <v>9894</v>
      </c>
      <c r="D4774" t="s">
        <v>1684</v>
      </c>
      <c r="P4774">
        <v>36</v>
      </c>
      <c r="Q4774" t="s">
        <v>9895</v>
      </c>
    </row>
    <row r="4775" spans="1:17" x14ac:dyDescent="0.3">
      <c r="A4775" t="s">
        <v>4708</v>
      </c>
      <c r="B4775" t="str">
        <f>"301018"</f>
        <v>301018</v>
      </c>
      <c r="C4775" t="s">
        <v>9896</v>
      </c>
      <c r="D4775" t="s">
        <v>988</v>
      </c>
      <c r="P4775">
        <v>37</v>
      </c>
      <c r="Q4775" t="s">
        <v>9897</v>
      </c>
    </row>
    <row r="4776" spans="1:17" x14ac:dyDescent="0.3">
      <c r="A4776" t="s">
        <v>4708</v>
      </c>
      <c r="B4776" t="str">
        <f>"301019"</f>
        <v>301019</v>
      </c>
      <c r="C4776" t="s">
        <v>9898</v>
      </c>
      <c r="D4776" t="s">
        <v>1192</v>
      </c>
      <c r="P4776">
        <v>39</v>
      </c>
      <c r="Q4776" t="s">
        <v>9899</v>
      </c>
    </row>
    <row r="4777" spans="1:17" x14ac:dyDescent="0.3">
      <c r="A4777" t="s">
        <v>4708</v>
      </c>
      <c r="B4777" t="str">
        <f>"301020"</f>
        <v>301020</v>
      </c>
      <c r="C4777" t="s">
        <v>9900</v>
      </c>
      <c r="D4777" t="s">
        <v>348</v>
      </c>
      <c r="P4777">
        <v>54</v>
      </c>
      <c r="Q4777" t="s">
        <v>9901</v>
      </c>
    </row>
    <row r="4778" spans="1:17" x14ac:dyDescent="0.3">
      <c r="A4778" t="s">
        <v>4708</v>
      </c>
      <c r="B4778" t="str">
        <f>"301021"</f>
        <v>301021</v>
      </c>
      <c r="C4778" t="s">
        <v>9902</v>
      </c>
      <c r="D4778" t="s">
        <v>3796</v>
      </c>
      <c r="P4778">
        <v>35</v>
      </c>
      <c r="Q4778" t="s">
        <v>9903</v>
      </c>
    </row>
    <row r="4779" spans="1:17" x14ac:dyDescent="0.3">
      <c r="A4779" t="s">
        <v>4708</v>
      </c>
      <c r="B4779" t="str">
        <f>"301022"</f>
        <v>301022</v>
      </c>
      <c r="C4779" t="s">
        <v>9904</v>
      </c>
      <c r="D4779" t="s">
        <v>985</v>
      </c>
      <c r="P4779">
        <v>24</v>
      </c>
      <c r="Q4779" t="s">
        <v>9905</v>
      </c>
    </row>
    <row r="4780" spans="1:17" x14ac:dyDescent="0.3">
      <c r="A4780" t="s">
        <v>4708</v>
      </c>
      <c r="B4780" t="str">
        <f>"301023"</f>
        <v>301023</v>
      </c>
      <c r="C4780" t="s">
        <v>9906</v>
      </c>
      <c r="D4780" t="s">
        <v>1171</v>
      </c>
      <c r="P4780">
        <v>22</v>
      </c>
      <c r="Q4780" t="s">
        <v>9907</v>
      </c>
    </row>
    <row r="4781" spans="1:17" x14ac:dyDescent="0.3">
      <c r="A4781" t="s">
        <v>4708</v>
      </c>
      <c r="B4781" t="str">
        <f>"301024"</f>
        <v>301024</v>
      </c>
      <c r="C4781" t="s">
        <v>9908</v>
      </c>
      <c r="D4781" t="s">
        <v>1272</v>
      </c>
      <c r="P4781">
        <v>22</v>
      </c>
      <c r="Q4781" t="s">
        <v>9909</v>
      </c>
    </row>
    <row r="4782" spans="1:17" x14ac:dyDescent="0.3">
      <c r="A4782" t="s">
        <v>4708</v>
      </c>
      <c r="B4782" t="str">
        <f>"301025"</f>
        <v>301025</v>
      </c>
      <c r="C4782" t="s">
        <v>9910</v>
      </c>
      <c r="D4782" t="s">
        <v>525</v>
      </c>
      <c r="P4782">
        <v>24</v>
      </c>
      <c r="Q4782" t="s">
        <v>9911</v>
      </c>
    </row>
    <row r="4783" spans="1:17" x14ac:dyDescent="0.3">
      <c r="A4783" t="s">
        <v>4708</v>
      </c>
      <c r="B4783" t="str">
        <f>"301026"</f>
        <v>301026</v>
      </c>
      <c r="C4783" t="s">
        <v>9912</v>
      </c>
      <c r="D4783" t="s">
        <v>636</v>
      </c>
      <c r="P4783">
        <v>41</v>
      </c>
      <c r="Q4783" t="s">
        <v>9913</v>
      </c>
    </row>
    <row r="4784" spans="1:17" x14ac:dyDescent="0.3">
      <c r="A4784" t="s">
        <v>4708</v>
      </c>
      <c r="B4784" t="str">
        <f>"301027"</f>
        <v>301027</v>
      </c>
      <c r="C4784" t="s">
        <v>9914</v>
      </c>
      <c r="D4784" t="s">
        <v>1272</v>
      </c>
      <c r="P4784">
        <v>25</v>
      </c>
      <c r="Q4784" t="s">
        <v>9915</v>
      </c>
    </row>
    <row r="4785" spans="1:17" x14ac:dyDescent="0.3">
      <c r="A4785" t="s">
        <v>4708</v>
      </c>
      <c r="B4785" t="str">
        <f>"301028"</f>
        <v>301028</v>
      </c>
      <c r="C4785" t="s">
        <v>9916</v>
      </c>
      <c r="D4785" t="s">
        <v>560</v>
      </c>
      <c r="P4785">
        <v>53</v>
      </c>
      <c r="Q4785" t="s">
        <v>9917</v>
      </c>
    </row>
    <row r="4786" spans="1:17" x14ac:dyDescent="0.3">
      <c r="A4786" t="s">
        <v>4708</v>
      </c>
      <c r="B4786" t="str">
        <f>"301029"</f>
        <v>301029</v>
      </c>
      <c r="C4786" t="s">
        <v>9918</v>
      </c>
      <c r="D4786" t="s">
        <v>3462</v>
      </c>
      <c r="P4786">
        <v>67</v>
      </c>
      <c r="Q4786" t="s">
        <v>9919</v>
      </c>
    </row>
    <row r="4787" spans="1:17" x14ac:dyDescent="0.3">
      <c r="A4787" t="s">
        <v>4708</v>
      </c>
      <c r="B4787" t="str">
        <f>"301030"</f>
        <v>301030</v>
      </c>
      <c r="C4787" t="s">
        <v>9920</v>
      </c>
      <c r="D4787" t="s">
        <v>1070</v>
      </c>
      <c r="P4787">
        <v>19</v>
      </c>
      <c r="Q4787" t="s">
        <v>9921</v>
      </c>
    </row>
    <row r="4788" spans="1:17" x14ac:dyDescent="0.3">
      <c r="A4788" t="s">
        <v>4708</v>
      </c>
      <c r="B4788" t="str">
        <f>"301031"</f>
        <v>301031</v>
      </c>
      <c r="C4788" t="s">
        <v>9922</v>
      </c>
      <c r="D4788" t="s">
        <v>651</v>
      </c>
      <c r="P4788">
        <v>77</v>
      </c>
      <c r="Q4788" t="s">
        <v>9923</v>
      </c>
    </row>
    <row r="4789" spans="1:17" x14ac:dyDescent="0.3">
      <c r="A4789" t="s">
        <v>4708</v>
      </c>
      <c r="B4789" t="str">
        <f>"301032"</f>
        <v>301032</v>
      </c>
      <c r="C4789" t="s">
        <v>9924</v>
      </c>
      <c r="D4789" t="s">
        <v>560</v>
      </c>
      <c r="P4789">
        <v>19</v>
      </c>
      <c r="Q4789" t="s">
        <v>9925</v>
      </c>
    </row>
    <row r="4790" spans="1:17" x14ac:dyDescent="0.3">
      <c r="A4790" t="s">
        <v>4708</v>
      </c>
      <c r="B4790" t="str">
        <f>"301033"</f>
        <v>301033</v>
      </c>
      <c r="C4790" t="s">
        <v>9926</v>
      </c>
      <c r="D4790" t="s">
        <v>1077</v>
      </c>
      <c r="P4790">
        <v>31</v>
      </c>
      <c r="Q4790" t="s">
        <v>9927</v>
      </c>
    </row>
    <row r="4791" spans="1:17" x14ac:dyDescent="0.3">
      <c r="A4791" t="s">
        <v>4708</v>
      </c>
      <c r="B4791" t="str">
        <f>"301035"</f>
        <v>301035</v>
      </c>
      <c r="C4791" t="s">
        <v>9928</v>
      </c>
      <c r="D4791" t="s">
        <v>853</v>
      </c>
      <c r="P4791">
        <v>40</v>
      </c>
      <c r="Q4791" t="s">
        <v>9929</v>
      </c>
    </row>
    <row r="4792" spans="1:17" x14ac:dyDescent="0.3">
      <c r="A4792" t="s">
        <v>4708</v>
      </c>
      <c r="B4792" t="str">
        <f>"301036"</f>
        <v>301036</v>
      </c>
      <c r="C4792" t="s">
        <v>9930</v>
      </c>
      <c r="D4792" t="s">
        <v>2576</v>
      </c>
      <c r="P4792">
        <v>20</v>
      </c>
      <c r="Q4792" t="s">
        <v>9931</v>
      </c>
    </row>
    <row r="4793" spans="1:17" x14ac:dyDescent="0.3">
      <c r="A4793" t="s">
        <v>4708</v>
      </c>
      <c r="B4793" t="str">
        <f>"301037"</f>
        <v>301037</v>
      </c>
      <c r="C4793" t="s">
        <v>9932</v>
      </c>
      <c r="D4793" t="s">
        <v>2576</v>
      </c>
      <c r="P4793">
        <v>13</v>
      </c>
      <c r="Q4793" t="s">
        <v>9933</v>
      </c>
    </row>
    <row r="4794" spans="1:17" x14ac:dyDescent="0.3">
      <c r="A4794" t="s">
        <v>4708</v>
      </c>
      <c r="B4794" t="str">
        <f>"301038"</f>
        <v>301038</v>
      </c>
      <c r="C4794" t="s">
        <v>9934</v>
      </c>
      <c r="D4794" t="s">
        <v>1272</v>
      </c>
      <c r="P4794">
        <v>21</v>
      </c>
      <c r="Q4794" t="s">
        <v>9935</v>
      </c>
    </row>
    <row r="4795" spans="1:17" x14ac:dyDescent="0.3">
      <c r="A4795" t="s">
        <v>4708</v>
      </c>
      <c r="B4795" t="str">
        <f>"301039"</f>
        <v>301039</v>
      </c>
      <c r="C4795" t="s">
        <v>9936</v>
      </c>
      <c r="D4795" t="s">
        <v>27</v>
      </c>
      <c r="P4795">
        <v>35</v>
      </c>
      <c r="Q4795" t="s">
        <v>9937</v>
      </c>
    </row>
    <row r="4796" spans="1:17" x14ac:dyDescent="0.3">
      <c r="A4796" t="s">
        <v>4708</v>
      </c>
      <c r="B4796" t="str">
        <f>"301040"</f>
        <v>301040</v>
      </c>
      <c r="C4796" t="s">
        <v>9938</v>
      </c>
      <c r="D4796" t="s">
        <v>950</v>
      </c>
      <c r="P4796">
        <v>22</v>
      </c>
      <c r="Q4796" t="s">
        <v>9939</v>
      </c>
    </row>
    <row r="4797" spans="1:17" x14ac:dyDescent="0.3">
      <c r="A4797" t="s">
        <v>4708</v>
      </c>
      <c r="B4797" t="str">
        <f>"301041"</f>
        <v>301041</v>
      </c>
      <c r="C4797" t="s">
        <v>9940</v>
      </c>
      <c r="D4797" t="s">
        <v>425</v>
      </c>
      <c r="P4797">
        <v>31</v>
      </c>
      <c r="Q4797" t="s">
        <v>9941</v>
      </c>
    </row>
    <row r="4798" spans="1:17" x14ac:dyDescent="0.3">
      <c r="A4798" t="s">
        <v>4708</v>
      </c>
      <c r="B4798" t="str">
        <f>"301042"</f>
        <v>301042</v>
      </c>
      <c r="C4798" t="s">
        <v>9942</v>
      </c>
      <c r="D4798" t="s">
        <v>2965</v>
      </c>
      <c r="P4798">
        <v>14</v>
      </c>
      <c r="Q4798" t="s">
        <v>9943</v>
      </c>
    </row>
    <row r="4799" spans="1:17" x14ac:dyDescent="0.3">
      <c r="A4799" t="s">
        <v>4708</v>
      </c>
      <c r="B4799" t="str">
        <f>"301043"</f>
        <v>301043</v>
      </c>
      <c r="C4799" t="s">
        <v>9944</v>
      </c>
      <c r="D4799" t="s">
        <v>560</v>
      </c>
      <c r="P4799">
        <v>18</v>
      </c>
      <c r="Q4799" t="s">
        <v>9945</v>
      </c>
    </row>
    <row r="4800" spans="1:17" x14ac:dyDescent="0.3">
      <c r="A4800" t="s">
        <v>4708</v>
      </c>
      <c r="B4800" t="str">
        <f>"301045"</f>
        <v>301045</v>
      </c>
      <c r="C4800" t="s">
        <v>9946</v>
      </c>
      <c r="D4800" t="s">
        <v>164</v>
      </c>
      <c r="P4800">
        <v>17</v>
      </c>
      <c r="Q4800" t="s">
        <v>9947</v>
      </c>
    </row>
    <row r="4801" spans="1:17" x14ac:dyDescent="0.3">
      <c r="A4801" t="s">
        <v>4708</v>
      </c>
      <c r="B4801" t="str">
        <f>"301046"</f>
        <v>301046</v>
      </c>
      <c r="C4801" t="s">
        <v>9948</v>
      </c>
      <c r="D4801" t="s">
        <v>1988</v>
      </c>
      <c r="P4801">
        <v>33</v>
      </c>
      <c r="Q4801" t="s">
        <v>9949</v>
      </c>
    </row>
    <row r="4802" spans="1:17" x14ac:dyDescent="0.3">
      <c r="A4802" t="s">
        <v>4708</v>
      </c>
      <c r="B4802" t="str">
        <f>"301047"</f>
        <v>301047</v>
      </c>
      <c r="C4802" t="s">
        <v>9950</v>
      </c>
      <c r="D4802" t="s">
        <v>1461</v>
      </c>
      <c r="P4802">
        <v>71</v>
      </c>
      <c r="Q4802" t="s">
        <v>9951</v>
      </c>
    </row>
    <row r="4803" spans="1:17" x14ac:dyDescent="0.3">
      <c r="A4803" t="s">
        <v>4708</v>
      </c>
      <c r="B4803" t="str">
        <f>"301048"</f>
        <v>301048</v>
      </c>
      <c r="C4803" t="s">
        <v>9952</v>
      </c>
      <c r="D4803" t="s">
        <v>1012</v>
      </c>
      <c r="P4803">
        <v>16</v>
      </c>
      <c r="Q4803" t="s">
        <v>9953</v>
      </c>
    </row>
    <row r="4804" spans="1:17" x14ac:dyDescent="0.3">
      <c r="A4804" t="s">
        <v>4708</v>
      </c>
      <c r="B4804" t="str">
        <f>"301049"</f>
        <v>301049</v>
      </c>
      <c r="C4804" t="s">
        <v>9954</v>
      </c>
      <c r="D4804" t="s">
        <v>499</v>
      </c>
      <c r="P4804">
        <v>26</v>
      </c>
      <c r="Q4804" t="s">
        <v>9955</v>
      </c>
    </row>
    <row r="4805" spans="1:17" x14ac:dyDescent="0.3">
      <c r="A4805" t="s">
        <v>4708</v>
      </c>
      <c r="B4805" t="str">
        <f>"301050"</f>
        <v>301050</v>
      </c>
      <c r="C4805" t="s">
        <v>9956</v>
      </c>
      <c r="D4805" t="s">
        <v>1136</v>
      </c>
      <c r="P4805">
        <v>31</v>
      </c>
      <c r="Q4805" t="s">
        <v>9957</v>
      </c>
    </row>
    <row r="4806" spans="1:17" x14ac:dyDescent="0.3">
      <c r="A4806" t="s">
        <v>4708</v>
      </c>
      <c r="B4806" t="str">
        <f>"301051"</f>
        <v>301051</v>
      </c>
      <c r="C4806" t="s">
        <v>9958</v>
      </c>
      <c r="D4806" t="s">
        <v>313</v>
      </c>
      <c r="P4806">
        <v>18</v>
      </c>
      <c r="Q4806" t="s">
        <v>9959</v>
      </c>
    </row>
    <row r="4807" spans="1:17" x14ac:dyDescent="0.3">
      <c r="A4807" t="s">
        <v>4708</v>
      </c>
      <c r="B4807" t="str">
        <f>"301052"</f>
        <v>301052</v>
      </c>
      <c r="C4807" t="s">
        <v>9960</v>
      </c>
      <c r="D4807" t="s">
        <v>525</v>
      </c>
      <c r="P4807">
        <v>16</v>
      </c>
      <c r="Q4807" t="s">
        <v>9961</v>
      </c>
    </row>
    <row r="4808" spans="1:17" x14ac:dyDescent="0.3">
      <c r="A4808" t="s">
        <v>4708</v>
      </c>
      <c r="B4808" t="str">
        <f>"301053"</f>
        <v>301053</v>
      </c>
      <c r="C4808" t="s">
        <v>9962</v>
      </c>
      <c r="D4808" t="s">
        <v>534</v>
      </c>
      <c r="P4808">
        <v>24</v>
      </c>
      <c r="Q4808" t="s">
        <v>9963</v>
      </c>
    </row>
    <row r="4809" spans="1:17" x14ac:dyDescent="0.3">
      <c r="A4809" t="s">
        <v>4708</v>
      </c>
      <c r="B4809" t="str">
        <f>"301055"</f>
        <v>301055</v>
      </c>
      <c r="C4809" t="s">
        <v>9964</v>
      </c>
      <c r="D4809" t="s">
        <v>2438</v>
      </c>
      <c r="P4809">
        <v>28</v>
      </c>
      <c r="Q4809" t="s">
        <v>9965</v>
      </c>
    </row>
    <row r="4810" spans="1:17" x14ac:dyDescent="0.3">
      <c r="A4810" t="s">
        <v>4708</v>
      </c>
      <c r="B4810" t="str">
        <f>"301056"</f>
        <v>301056</v>
      </c>
      <c r="C4810" t="s">
        <v>9966</v>
      </c>
      <c r="D4810" t="s">
        <v>1689</v>
      </c>
      <c r="P4810">
        <v>16</v>
      </c>
      <c r="Q4810" t="s">
        <v>9967</v>
      </c>
    </row>
    <row r="4811" spans="1:17" x14ac:dyDescent="0.3">
      <c r="A4811" t="s">
        <v>4708</v>
      </c>
      <c r="B4811" t="str">
        <f>"301057"</f>
        <v>301057</v>
      </c>
      <c r="C4811" t="s">
        <v>9968</v>
      </c>
      <c r="D4811" t="s">
        <v>2720</v>
      </c>
      <c r="P4811">
        <v>16</v>
      </c>
      <c r="Q4811" t="s">
        <v>9969</v>
      </c>
    </row>
    <row r="4812" spans="1:17" x14ac:dyDescent="0.3">
      <c r="A4812" t="s">
        <v>4708</v>
      </c>
      <c r="B4812" t="str">
        <f>"301058"</f>
        <v>301058</v>
      </c>
      <c r="C4812" t="s">
        <v>9970</v>
      </c>
      <c r="D4812" t="s">
        <v>1272</v>
      </c>
      <c r="P4812">
        <v>24</v>
      </c>
      <c r="Q4812" t="s">
        <v>9971</v>
      </c>
    </row>
    <row r="4813" spans="1:17" x14ac:dyDescent="0.3">
      <c r="A4813" t="s">
        <v>4708</v>
      </c>
      <c r="B4813" t="str">
        <f>"301059"</f>
        <v>301059</v>
      </c>
      <c r="C4813" t="s">
        <v>9972</v>
      </c>
      <c r="D4813" t="s">
        <v>386</v>
      </c>
      <c r="P4813">
        <v>21</v>
      </c>
      <c r="Q4813" t="s">
        <v>9973</v>
      </c>
    </row>
    <row r="4814" spans="1:17" x14ac:dyDescent="0.3">
      <c r="A4814" t="s">
        <v>4708</v>
      </c>
      <c r="B4814" t="str">
        <f>"301060"</f>
        <v>301060</v>
      </c>
      <c r="C4814" t="s">
        <v>9974</v>
      </c>
      <c r="D4814" t="s">
        <v>2571</v>
      </c>
      <c r="P4814">
        <v>41</v>
      </c>
      <c r="Q4814" t="s">
        <v>9975</v>
      </c>
    </row>
    <row r="4815" spans="1:17" x14ac:dyDescent="0.3">
      <c r="A4815" t="s">
        <v>4708</v>
      </c>
      <c r="B4815" t="str">
        <f>"301061"</f>
        <v>301061</v>
      </c>
      <c r="C4815" t="s">
        <v>9976</v>
      </c>
      <c r="D4815" t="s">
        <v>757</v>
      </c>
      <c r="P4815">
        <v>28</v>
      </c>
      <c r="Q4815" t="s">
        <v>9977</v>
      </c>
    </row>
    <row r="4816" spans="1:17" x14ac:dyDescent="0.3">
      <c r="A4816" t="s">
        <v>4708</v>
      </c>
      <c r="B4816" t="str">
        <f>"301062"</f>
        <v>301062</v>
      </c>
      <c r="C4816" t="s">
        <v>9978</v>
      </c>
      <c r="D4816" t="s">
        <v>2158</v>
      </c>
      <c r="P4816">
        <v>13</v>
      </c>
      <c r="Q4816" t="s">
        <v>9979</v>
      </c>
    </row>
    <row r="4817" spans="1:17" x14ac:dyDescent="0.3">
      <c r="A4817" t="s">
        <v>4708</v>
      </c>
      <c r="B4817" t="str">
        <f>"301063"</f>
        <v>301063</v>
      </c>
      <c r="C4817" t="s">
        <v>9980</v>
      </c>
      <c r="D4817" t="s">
        <v>274</v>
      </c>
      <c r="P4817">
        <v>17</v>
      </c>
      <c r="Q4817" t="s">
        <v>9981</v>
      </c>
    </row>
    <row r="4818" spans="1:17" x14ac:dyDescent="0.3">
      <c r="A4818" t="s">
        <v>4708</v>
      </c>
      <c r="B4818" t="str">
        <f>"301065"</f>
        <v>301065</v>
      </c>
      <c r="C4818" t="s">
        <v>9982</v>
      </c>
      <c r="D4818" t="s">
        <v>386</v>
      </c>
      <c r="P4818">
        <v>12</v>
      </c>
      <c r="Q4818" t="s">
        <v>9983</v>
      </c>
    </row>
    <row r="4819" spans="1:17" x14ac:dyDescent="0.3">
      <c r="A4819" t="s">
        <v>4708</v>
      </c>
      <c r="B4819" t="str">
        <f>"301066"</f>
        <v>301066</v>
      </c>
      <c r="C4819" t="s">
        <v>9984</v>
      </c>
      <c r="D4819" t="s">
        <v>330</v>
      </c>
      <c r="P4819">
        <v>21</v>
      </c>
      <c r="Q4819" t="s">
        <v>9985</v>
      </c>
    </row>
    <row r="4820" spans="1:17" x14ac:dyDescent="0.3">
      <c r="A4820" t="s">
        <v>4708</v>
      </c>
      <c r="B4820" t="str">
        <f>"301067"</f>
        <v>301067</v>
      </c>
      <c r="C4820" t="s">
        <v>9986</v>
      </c>
      <c r="D4820" t="s">
        <v>313</v>
      </c>
      <c r="P4820">
        <v>18</v>
      </c>
      <c r="Q4820" t="s">
        <v>9987</v>
      </c>
    </row>
    <row r="4821" spans="1:17" x14ac:dyDescent="0.3">
      <c r="A4821" t="s">
        <v>4708</v>
      </c>
      <c r="B4821" t="str">
        <f>"301068"</f>
        <v>301068</v>
      </c>
      <c r="C4821" t="s">
        <v>9988</v>
      </c>
      <c r="D4821" t="s">
        <v>499</v>
      </c>
      <c r="P4821">
        <v>14</v>
      </c>
      <c r="Q4821" t="s">
        <v>9989</v>
      </c>
    </row>
    <row r="4822" spans="1:17" x14ac:dyDescent="0.3">
      <c r="A4822" t="s">
        <v>4708</v>
      </c>
      <c r="B4822" t="str">
        <f>"301069"</f>
        <v>301069</v>
      </c>
      <c r="C4822" t="s">
        <v>9990</v>
      </c>
      <c r="D4822" t="s">
        <v>1233</v>
      </c>
      <c r="P4822">
        <v>29</v>
      </c>
      <c r="Q4822" t="s">
        <v>9991</v>
      </c>
    </row>
    <row r="4823" spans="1:17" x14ac:dyDescent="0.3">
      <c r="A4823" t="s">
        <v>4708</v>
      </c>
      <c r="B4823" t="str">
        <f>"301070"</f>
        <v>301070</v>
      </c>
      <c r="C4823" t="s">
        <v>9992</v>
      </c>
      <c r="D4823" t="s">
        <v>560</v>
      </c>
      <c r="P4823">
        <v>19</v>
      </c>
      <c r="Q4823" t="s">
        <v>9993</v>
      </c>
    </row>
    <row r="4824" spans="1:17" x14ac:dyDescent="0.3">
      <c r="A4824" t="s">
        <v>4708</v>
      </c>
      <c r="B4824" t="str">
        <f>"301071"</f>
        <v>301071</v>
      </c>
      <c r="C4824" t="s">
        <v>9994</v>
      </c>
      <c r="D4824" t="s">
        <v>404</v>
      </c>
      <c r="P4824">
        <v>76</v>
      </c>
      <c r="Q4824" t="s">
        <v>9995</v>
      </c>
    </row>
    <row r="4825" spans="1:17" x14ac:dyDescent="0.3">
      <c r="A4825" t="s">
        <v>4708</v>
      </c>
      <c r="B4825" t="str">
        <f>"301072"</f>
        <v>301072</v>
      </c>
      <c r="C4825" t="s">
        <v>9996</v>
      </c>
      <c r="D4825" t="s">
        <v>348</v>
      </c>
      <c r="P4825">
        <v>17</v>
      </c>
      <c r="Q4825" t="s">
        <v>9997</v>
      </c>
    </row>
    <row r="4826" spans="1:17" x14ac:dyDescent="0.3">
      <c r="A4826" t="s">
        <v>4708</v>
      </c>
      <c r="B4826" t="str">
        <f>"301073"</f>
        <v>301073</v>
      </c>
      <c r="C4826" t="s">
        <v>9998</v>
      </c>
      <c r="D4826" t="s">
        <v>590</v>
      </c>
      <c r="P4826">
        <v>22</v>
      </c>
      <c r="Q4826" t="s">
        <v>9999</v>
      </c>
    </row>
    <row r="4827" spans="1:17" x14ac:dyDescent="0.3">
      <c r="A4827" t="s">
        <v>4708</v>
      </c>
      <c r="B4827" t="str">
        <f>"301075"</f>
        <v>301075</v>
      </c>
      <c r="C4827" t="s">
        <v>10000</v>
      </c>
      <c r="D4827" t="s">
        <v>143</v>
      </c>
      <c r="P4827">
        <v>22</v>
      </c>
      <c r="Q4827" t="s">
        <v>10001</v>
      </c>
    </row>
    <row r="4828" spans="1:17" x14ac:dyDescent="0.3">
      <c r="A4828" t="s">
        <v>4708</v>
      </c>
      <c r="B4828" t="str">
        <f>"301076"</f>
        <v>301076</v>
      </c>
      <c r="C4828" t="s">
        <v>10002</v>
      </c>
      <c r="D4828" t="s">
        <v>386</v>
      </c>
      <c r="P4828">
        <v>20</v>
      </c>
      <c r="Q4828" t="s">
        <v>10003</v>
      </c>
    </row>
    <row r="4829" spans="1:17" x14ac:dyDescent="0.3">
      <c r="A4829" t="s">
        <v>4708</v>
      </c>
      <c r="B4829" t="str">
        <f>"301077"</f>
        <v>301077</v>
      </c>
      <c r="C4829" t="s">
        <v>10004</v>
      </c>
      <c r="D4829" t="s">
        <v>386</v>
      </c>
      <c r="P4829">
        <v>30</v>
      </c>
      <c r="Q4829" t="s">
        <v>10005</v>
      </c>
    </row>
    <row r="4830" spans="1:17" x14ac:dyDescent="0.3">
      <c r="A4830" t="s">
        <v>4708</v>
      </c>
      <c r="B4830" t="str">
        <f>"301078"</f>
        <v>301078</v>
      </c>
      <c r="C4830" t="s">
        <v>10006</v>
      </c>
      <c r="D4830" t="s">
        <v>295</v>
      </c>
      <c r="P4830">
        <v>23</v>
      </c>
      <c r="Q4830" t="s">
        <v>10007</v>
      </c>
    </row>
    <row r="4831" spans="1:17" x14ac:dyDescent="0.3">
      <c r="A4831" t="s">
        <v>4708</v>
      </c>
      <c r="B4831" t="str">
        <f>"301079"</f>
        <v>301079</v>
      </c>
      <c r="C4831" t="s">
        <v>10008</v>
      </c>
      <c r="D4831" t="s">
        <v>2003</v>
      </c>
      <c r="P4831">
        <v>22</v>
      </c>
      <c r="Q4831" t="s">
        <v>10009</v>
      </c>
    </row>
    <row r="4832" spans="1:17" x14ac:dyDescent="0.3">
      <c r="A4832" t="s">
        <v>4708</v>
      </c>
      <c r="B4832" t="str">
        <f>"301080"</f>
        <v>301080</v>
      </c>
      <c r="C4832" t="s">
        <v>10010</v>
      </c>
      <c r="D4832" t="s">
        <v>1461</v>
      </c>
      <c r="P4832">
        <v>52</v>
      </c>
      <c r="Q4832" t="s">
        <v>10011</v>
      </c>
    </row>
    <row r="4833" spans="1:17" x14ac:dyDescent="0.3">
      <c r="A4833" t="s">
        <v>4708</v>
      </c>
      <c r="B4833" t="str">
        <f>"301081"</f>
        <v>301081</v>
      </c>
      <c r="C4833" t="s">
        <v>10012</v>
      </c>
      <c r="D4833" t="s">
        <v>1070</v>
      </c>
      <c r="P4833">
        <v>21</v>
      </c>
      <c r="Q4833" t="s">
        <v>10013</v>
      </c>
    </row>
    <row r="4834" spans="1:17" x14ac:dyDescent="0.3">
      <c r="A4834" t="s">
        <v>4708</v>
      </c>
      <c r="B4834" t="str">
        <f>"301082"</f>
        <v>301082</v>
      </c>
      <c r="C4834" t="s">
        <v>10014</v>
      </c>
      <c r="D4834" t="s">
        <v>1164</v>
      </c>
      <c r="P4834">
        <v>17</v>
      </c>
      <c r="Q4834" t="s">
        <v>10015</v>
      </c>
    </row>
    <row r="4835" spans="1:17" x14ac:dyDescent="0.3">
      <c r="A4835" t="s">
        <v>4708</v>
      </c>
      <c r="B4835" t="str">
        <f>"301083"</f>
        <v>301083</v>
      </c>
      <c r="C4835" t="s">
        <v>10016</v>
      </c>
      <c r="D4835" t="s">
        <v>741</v>
      </c>
      <c r="P4835">
        <v>16</v>
      </c>
      <c r="Q4835" t="s">
        <v>10017</v>
      </c>
    </row>
    <row r="4836" spans="1:17" x14ac:dyDescent="0.3">
      <c r="A4836" t="s">
        <v>4708</v>
      </c>
      <c r="B4836" t="str">
        <f>"301085"</f>
        <v>301085</v>
      </c>
      <c r="C4836" t="s">
        <v>10018</v>
      </c>
      <c r="D4836" t="s">
        <v>316</v>
      </c>
      <c r="P4836">
        <v>16</v>
      </c>
      <c r="Q4836" t="s">
        <v>10019</v>
      </c>
    </row>
    <row r="4837" spans="1:17" x14ac:dyDescent="0.3">
      <c r="A4837" t="s">
        <v>4708</v>
      </c>
      <c r="B4837" t="str">
        <f>"301086"</f>
        <v>301086</v>
      </c>
      <c r="C4837" t="s">
        <v>10020</v>
      </c>
      <c r="D4837" t="s">
        <v>313</v>
      </c>
      <c r="P4837">
        <v>28</v>
      </c>
      <c r="Q4837" t="s">
        <v>10021</v>
      </c>
    </row>
    <row r="4838" spans="1:17" x14ac:dyDescent="0.3">
      <c r="A4838" t="s">
        <v>4708</v>
      </c>
      <c r="B4838" t="str">
        <f>"301087"</f>
        <v>301087</v>
      </c>
      <c r="C4838" t="s">
        <v>10022</v>
      </c>
      <c r="D4838" t="s">
        <v>1305</v>
      </c>
      <c r="P4838">
        <v>33</v>
      </c>
      <c r="Q4838" t="s">
        <v>10023</v>
      </c>
    </row>
    <row r="4839" spans="1:17" x14ac:dyDescent="0.3">
      <c r="A4839" t="s">
        <v>4708</v>
      </c>
      <c r="B4839" t="str">
        <f>"301088"</f>
        <v>301088</v>
      </c>
      <c r="C4839" t="s">
        <v>10024</v>
      </c>
      <c r="D4839" t="s">
        <v>255</v>
      </c>
      <c r="P4839">
        <v>28</v>
      </c>
      <c r="Q4839" t="s">
        <v>10025</v>
      </c>
    </row>
    <row r="4840" spans="1:17" x14ac:dyDescent="0.3">
      <c r="A4840" t="s">
        <v>4708</v>
      </c>
      <c r="B4840" t="str">
        <f>"301089"</f>
        <v>301089</v>
      </c>
      <c r="C4840" t="s">
        <v>10026</v>
      </c>
      <c r="D4840" t="s">
        <v>496</v>
      </c>
      <c r="P4840">
        <v>37</v>
      </c>
      <c r="Q4840" t="s">
        <v>10027</v>
      </c>
    </row>
    <row r="4841" spans="1:17" x14ac:dyDescent="0.3">
      <c r="A4841" t="s">
        <v>4708</v>
      </c>
      <c r="B4841" t="str">
        <f>"301090"</f>
        <v>301090</v>
      </c>
      <c r="C4841" t="s">
        <v>10028</v>
      </c>
      <c r="D4841" t="s">
        <v>528</v>
      </c>
      <c r="P4841">
        <v>18</v>
      </c>
      <c r="Q4841" t="s">
        <v>10029</v>
      </c>
    </row>
    <row r="4842" spans="1:17" x14ac:dyDescent="0.3">
      <c r="A4842" t="s">
        <v>4708</v>
      </c>
      <c r="B4842" t="str">
        <f>"301091"</f>
        <v>301091</v>
      </c>
      <c r="C4842" t="s">
        <v>10030</v>
      </c>
      <c r="D4842" t="s">
        <v>1272</v>
      </c>
      <c r="P4842">
        <v>25</v>
      </c>
      <c r="Q4842" t="s">
        <v>10031</v>
      </c>
    </row>
    <row r="4843" spans="1:17" x14ac:dyDescent="0.3">
      <c r="A4843" t="s">
        <v>4708</v>
      </c>
      <c r="B4843" t="str">
        <f>"301092"</f>
        <v>301092</v>
      </c>
      <c r="C4843" t="s">
        <v>10032</v>
      </c>
      <c r="D4843" t="s">
        <v>3362</v>
      </c>
      <c r="P4843">
        <v>22</v>
      </c>
      <c r="Q4843" t="s">
        <v>10033</v>
      </c>
    </row>
    <row r="4844" spans="1:17" x14ac:dyDescent="0.3">
      <c r="A4844" t="s">
        <v>4708</v>
      </c>
      <c r="B4844" t="str">
        <f>"301093"</f>
        <v>301093</v>
      </c>
      <c r="C4844" t="s">
        <v>10034</v>
      </c>
      <c r="D4844" t="s">
        <v>1077</v>
      </c>
      <c r="P4844">
        <v>30</v>
      </c>
      <c r="Q4844" t="s">
        <v>10035</v>
      </c>
    </row>
    <row r="4845" spans="1:17" x14ac:dyDescent="0.3">
      <c r="A4845" t="s">
        <v>4708</v>
      </c>
      <c r="B4845" t="str">
        <f>"301096"</f>
        <v>301096</v>
      </c>
      <c r="C4845" t="s">
        <v>10036</v>
      </c>
      <c r="D4845" t="s">
        <v>1461</v>
      </c>
      <c r="P4845">
        <v>26</v>
      </c>
      <c r="Q4845" t="s">
        <v>10037</v>
      </c>
    </row>
    <row r="4846" spans="1:17" x14ac:dyDescent="0.3">
      <c r="A4846" t="s">
        <v>4708</v>
      </c>
      <c r="B4846" t="str">
        <f>"301097"</f>
        <v>301097</v>
      </c>
      <c r="C4846" t="s">
        <v>10038</v>
      </c>
      <c r="P4846">
        <v>2</v>
      </c>
      <c r="Q4846" t="s">
        <v>10039</v>
      </c>
    </row>
    <row r="4847" spans="1:17" x14ac:dyDescent="0.3">
      <c r="A4847" t="s">
        <v>4708</v>
      </c>
      <c r="B4847" t="str">
        <f>"301098"</f>
        <v>301098</v>
      </c>
      <c r="C4847" t="s">
        <v>10040</v>
      </c>
      <c r="D4847" t="s">
        <v>2410</v>
      </c>
      <c r="P4847">
        <v>13</v>
      </c>
      <c r="Q4847" t="s">
        <v>10041</v>
      </c>
    </row>
    <row r="4848" spans="1:17" x14ac:dyDescent="0.3">
      <c r="A4848" t="s">
        <v>4708</v>
      </c>
      <c r="B4848" t="str">
        <f>"301099"</f>
        <v>301099</v>
      </c>
      <c r="C4848" t="s">
        <v>10042</v>
      </c>
      <c r="D4848" t="s">
        <v>546</v>
      </c>
      <c r="P4848">
        <v>16</v>
      </c>
      <c r="Q4848" t="s">
        <v>10043</v>
      </c>
    </row>
    <row r="4849" spans="1:17" x14ac:dyDescent="0.3">
      <c r="A4849" t="s">
        <v>4708</v>
      </c>
      <c r="B4849" t="str">
        <f>"301100"</f>
        <v>301100</v>
      </c>
      <c r="C4849" t="s">
        <v>10044</v>
      </c>
      <c r="D4849" t="s">
        <v>386</v>
      </c>
      <c r="P4849">
        <v>11</v>
      </c>
      <c r="Q4849" t="s">
        <v>10045</v>
      </c>
    </row>
    <row r="4850" spans="1:17" x14ac:dyDescent="0.3">
      <c r="A4850" t="s">
        <v>4708</v>
      </c>
      <c r="B4850" t="str">
        <f>"301101"</f>
        <v>301101</v>
      </c>
      <c r="C4850" t="s">
        <v>10046</v>
      </c>
      <c r="D4850" t="s">
        <v>3395</v>
      </c>
      <c r="P4850">
        <v>19</v>
      </c>
      <c r="Q4850" t="s">
        <v>10047</v>
      </c>
    </row>
    <row r="4851" spans="1:17" x14ac:dyDescent="0.3">
      <c r="A4851" t="s">
        <v>4708</v>
      </c>
      <c r="B4851" t="str">
        <f>"301102"</f>
        <v>301102</v>
      </c>
      <c r="C4851" t="s">
        <v>10048</v>
      </c>
      <c r="P4851">
        <v>4</v>
      </c>
      <c r="Q4851" t="s">
        <v>10049</v>
      </c>
    </row>
    <row r="4852" spans="1:17" x14ac:dyDescent="0.3">
      <c r="A4852" t="s">
        <v>4708</v>
      </c>
      <c r="B4852" t="str">
        <f>"301103"</f>
        <v>301103</v>
      </c>
      <c r="C4852" t="s">
        <v>10050</v>
      </c>
      <c r="P4852">
        <v>5</v>
      </c>
      <c r="Q4852" t="s">
        <v>10051</v>
      </c>
    </row>
    <row r="4853" spans="1:17" x14ac:dyDescent="0.3">
      <c r="A4853" t="s">
        <v>4708</v>
      </c>
      <c r="B4853" t="str">
        <f>"301106"</f>
        <v>301106</v>
      </c>
      <c r="C4853" t="s">
        <v>10052</v>
      </c>
      <c r="P4853">
        <v>8</v>
      </c>
      <c r="Q4853" t="s">
        <v>10053</v>
      </c>
    </row>
    <row r="4854" spans="1:17" x14ac:dyDescent="0.3">
      <c r="A4854" t="s">
        <v>4708</v>
      </c>
      <c r="B4854" t="str">
        <f>"301108"</f>
        <v>301108</v>
      </c>
      <c r="C4854" t="s">
        <v>10054</v>
      </c>
      <c r="D4854" t="s">
        <v>2740</v>
      </c>
      <c r="P4854">
        <v>24</v>
      </c>
      <c r="Q4854" t="s">
        <v>10055</v>
      </c>
    </row>
    <row r="4855" spans="1:17" x14ac:dyDescent="0.3">
      <c r="A4855" t="s">
        <v>4708</v>
      </c>
      <c r="B4855" t="str">
        <f>"301109"</f>
        <v>301109</v>
      </c>
      <c r="C4855" t="s">
        <v>10056</v>
      </c>
      <c r="P4855">
        <v>3</v>
      </c>
      <c r="Q4855" t="s">
        <v>10057</v>
      </c>
    </row>
    <row r="4856" spans="1:17" x14ac:dyDescent="0.3">
      <c r="A4856" t="s">
        <v>4708</v>
      </c>
      <c r="B4856" t="str">
        <f>"301110"</f>
        <v>301110</v>
      </c>
      <c r="C4856" t="s">
        <v>10058</v>
      </c>
      <c r="P4856">
        <v>9</v>
      </c>
      <c r="Q4856" t="s">
        <v>10059</v>
      </c>
    </row>
    <row r="4857" spans="1:17" x14ac:dyDescent="0.3">
      <c r="A4857" t="s">
        <v>4708</v>
      </c>
      <c r="B4857" t="str">
        <f>"301111"</f>
        <v>301111</v>
      </c>
      <c r="C4857" t="s">
        <v>10060</v>
      </c>
      <c r="D4857" t="s">
        <v>143</v>
      </c>
      <c r="P4857">
        <v>28</v>
      </c>
      <c r="Q4857" t="s">
        <v>10061</v>
      </c>
    </row>
    <row r="4858" spans="1:17" x14ac:dyDescent="0.3">
      <c r="A4858" t="s">
        <v>4708</v>
      </c>
      <c r="B4858" t="str">
        <f>"301113"</f>
        <v>301113</v>
      </c>
      <c r="C4858" t="s">
        <v>10062</v>
      </c>
      <c r="D4858" t="s">
        <v>2438</v>
      </c>
      <c r="P4858">
        <v>27</v>
      </c>
      <c r="Q4858" t="s">
        <v>10063</v>
      </c>
    </row>
    <row r="4859" spans="1:17" x14ac:dyDescent="0.3">
      <c r="A4859" t="s">
        <v>4708</v>
      </c>
      <c r="B4859" t="str">
        <f>"301116"</f>
        <v>301116</v>
      </c>
      <c r="C4859" t="s">
        <v>10064</v>
      </c>
      <c r="D4859" t="s">
        <v>6225</v>
      </c>
      <c r="P4859">
        <v>11</v>
      </c>
      <c r="Q4859" t="s">
        <v>10065</v>
      </c>
    </row>
    <row r="4860" spans="1:17" x14ac:dyDescent="0.3">
      <c r="A4860" t="s">
        <v>4708</v>
      </c>
      <c r="B4860" t="str">
        <f>"301117"</f>
        <v>301117</v>
      </c>
      <c r="C4860" t="s">
        <v>10066</v>
      </c>
      <c r="D4860" t="s">
        <v>2965</v>
      </c>
      <c r="P4860">
        <v>9</v>
      </c>
      <c r="Q4860" t="s">
        <v>10067</v>
      </c>
    </row>
    <row r="4861" spans="1:17" x14ac:dyDescent="0.3">
      <c r="A4861" t="s">
        <v>4708</v>
      </c>
      <c r="B4861" t="str">
        <f>"301118"</f>
        <v>301118</v>
      </c>
      <c r="C4861" t="s">
        <v>10068</v>
      </c>
      <c r="D4861" t="s">
        <v>1233</v>
      </c>
      <c r="P4861">
        <v>16</v>
      </c>
      <c r="Q4861" t="s">
        <v>10069</v>
      </c>
    </row>
    <row r="4862" spans="1:17" x14ac:dyDescent="0.3">
      <c r="A4862" t="s">
        <v>4708</v>
      </c>
      <c r="B4862" t="str">
        <f>"301119"</f>
        <v>301119</v>
      </c>
      <c r="C4862" t="s">
        <v>10070</v>
      </c>
      <c r="D4862" t="s">
        <v>348</v>
      </c>
      <c r="P4862">
        <v>12</v>
      </c>
      <c r="Q4862" t="s">
        <v>10071</v>
      </c>
    </row>
    <row r="4863" spans="1:17" x14ac:dyDescent="0.3">
      <c r="A4863" t="s">
        <v>4708</v>
      </c>
      <c r="B4863" t="str">
        <f>"301120"</f>
        <v>301120</v>
      </c>
      <c r="C4863" t="s">
        <v>10072</v>
      </c>
      <c r="P4863">
        <v>7</v>
      </c>
      <c r="Q4863" t="s">
        <v>10073</v>
      </c>
    </row>
    <row r="4864" spans="1:17" x14ac:dyDescent="0.3">
      <c r="A4864" t="s">
        <v>4708</v>
      </c>
      <c r="B4864" t="str">
        <f>"301122"</f>
        <v>301122</v>
      </c>
      <c r="C4864" t="s">
        <v>10074</v>
      </c>
      <c r="P4864">
        <v>14</v>
      </c>
      <c r="Q4864" t="s">
        <v>10075</v>
      </c>
    </row>
    <row r="4865" spans="1:17" x14ac:dyDescent="0.3">
      <c r="A4865" t="s">
        <v>4708</v>
      </c>
      <c r="B4865" t="str">
        <f>"301123"</f>
        <v>301123</v>
      </c>
      <c r="C4865" t="s">
        <v>10076</v>
      </c>
      <c r="P4865">
        <v>6</v>
      </c>
      <c r="Q4865" t="s">
        <v>10077</v>
      </c>
    </row>
    <row r="4866" spans="1:17" x14ac:dyDescent="0.3">
      <c r="A4866" t="s">
        <v>4708</v>
      </c>
      <c r="B4866" t="str">
        <f>"301126"</f>
        <v>301126</v>
      </c>
      <c r="C4866" t="s">
        <v>10078</v>
      </c>
      <c r="D4866" t="s">
        <v>125</v>
      </c>
      <c r="P4866">
        <v>14</v>
      </c>
      <c r="Q4866" t="s">
        <v>10079</v>
      </c>
    </row>
    <row r="4867" spans="1:17" x14ac:dyDescent="0.3">
      <c r="A4867" t="s">
        <v>4708</v>
      </c>
      <c r="B4867" t="str">
        <f>"301127"</f>
        <v>301127</v>
      </c>
      <c r="C4867" t="s">
        <v>10080</v>
      </c>
      <c r="D4867" t="s">
        <v>33</v>
      </c>
      <c r="P4867">
        <v>13</v>
      </c>
      <c r="Q4867" t="s">
        <v>10081</v>
      </c>
    </row>
    <row r="4868" spans="1:17" x14ac:dyDescent="0.3">
      <c r="A4868" t="s">
        <v>4708</v>
      </c>
      <c r="B4868" t="str">
        <f>"301128"</f>
        <v>301128</v>
      </c>
      <c r="C4868" t="s">
        <v>10082</v>
      </c>
      <c r="D4868" t="s">
        <v>741</v>
      </c>
      <c r="P4868">
        <v>12</v>
      </c>
      <c r="Q4868" t="s">
        <v>10083</v>
      </c>
    </row>
    <row r="4869" spans="1:17" x14ac:dyDescent="0.3">
      <c r="A4869" t="s">
        <v>4708</v>
      </c>
      <c r="B4869" t="str">
        <f>"301129"</f>
        <v>301129</v>
      </c>
      <c r="C4869" t="s">
        <v>10084</v>
      </c>
      <c r="D4869" t="s">
        <v>2557</v>
      </c>
      <c r="P4869">
        <v>22</v>
      </c>
      <c r="Q4869" t="s">
        <v>10085</v>
      </c>
    </row>
    <row r="4870" spans="1:17" x14ac:dyDescent="0.3">
      <c r="A4870" t="s">
        <v>4708</v>
      </c>
      <c r="B4870" t="str">
        <f>"301130"</f>
        <v>301130</v>
      </c>
      <c r="C4870" t="s">
        <v>10086</v>
      </c>
      <c r="P4870">
        <v>7</v>
      </c>
      <c r="Q4870" t="s">
        <v>10087</v>
      </c>
    </row>
    <row r="4871" spans="1:17" x14ac:dyDescent="0.3">
      <c r="A4871" t="s">
        <v>4708</v>
      </c>
      <c r="B4871" t="str">
        <f>"301131"</f>
        <v>301131</v>
      </c>
      <c r="C4871" t="s">
        <v>10088</v>
      </c>
      <c r="P4871">
        <v>4</v>
      </c>
      <c r="Q4871" t="s">
        <v>10089</v>
      </c>
    </row>
    <row r="4872" spans="1:17" x14ac:dyDescent="0.3">
      <c r="A4872" t="s">
        <v>4708</v>
      </c>
      <c r="B4872" t="str">
        <f>"301133"</f>
        <v>301133</v>
      </c>
      <c r="C4872" t="s">
        <v>10090</v>
      </c>
      <c r="D4872" t="s">
        <v>191</v>
      </c>
      <c r="P4872">
        <v>15</v>
      </c>
      <c r="Q4872" t="s">
        <v>10091</v>
      </c>
    </row>
    <row r="4873" spans="1:17" x14ac:dyDescent="0.3">
      <c r="A4873" t="s">
        <v>4708</v>
      </c>
      <c r="B4873" t="str">
        <f>"301135"</f>
        <v>301135</v>
      </c>
      <c r="C4873" t="s">
        <v>10092</v>
      </c>
      <c r="P4873">
        <v>1</v>
      </c>
      <c r="Q4873" t="s">
        <v>10093</v>
      </c>
    </row>
    <row r="4874" spans="1:17" x14ac:dyDescent="0.3">
      <c r="A4874" t="s">
        <v>4708</v>
      </c>
      <c r="B4874" t="str">
        <f>"301136"</f>
        <v>301136</v>
      </c>
      <c r="C4874" t="s">
        <v>10094</v>
      </c>
      <c r="D4874" t="s">
        <v>1272</v>
      </c>
      <c r="P4874">
        <v>9</v>
      </c>
      <c r="Q4874" t="s">
        <v>10095</v>
      </c>
    </row>
    <row r="4875" spans="1:17" x14ac:dyDescent="0.3">
      <c r="A4875" t="s">
        <v>4708</v>
      </c>
      <c r="B4875" t="str">
        <f>"301137"</f>
        <v>301137</v>
      </c>
      <c r="C4875" t="s">
        <v>10096</v>
      </c>
      <c r="P4875">
        <v>3</v>
      </c>
      <c r="Q4875" t="s">
        <v>10097</v>
      </c>
    </row>
    <row r="4876" spans="1:17" x14ac:dyDescent="0.3">
      <c r="A4876" t="s">
        <v>4708</v>
      </c>
      <c r="B4876" t="str">
        <f>"301138"</f>
        <v>301138</v>
      </c>
      <c r="C4876" t="s">
        <v>10098</v>
      </c>
      <c r="D4876" t="s">
        <v>741</v>
      </c>
      <c r="P4876">
        <v>16</v>
      </c>
      <c r="Q4876" t="s">
        <v>10099</v>
      </c>
    </row>
    <row r="4877" spans="1:17" x14ac:dyDescent="0.3">
      <c r="A4877" t="s">
        <v>4708</v>
      </c>
      <c r="B4877" t="str">
        <f>"301148"</f>
        <v>301148</v>
      </c>
      <c r="C4877" t="s">
        <v>10100</v>
      </c>
      <c r="P4877">
        <v>1</v>
      </c>
      <c r="Q4877" t="s">
        <v>10101</v>
      </c>
    </row>
    <row r="4878" spans="1:17" x14ac:dyDescent="0.3">
      <c r="A4878" t="s">
        <v>4708</v>
      </c>
      <c r="B4878" t="str">
        <f>"301149"</f>
        <v>301149</v>
      </c>
      <c r="C4878" t="s">
        <v>10102</v>
      </c>
      <c r="D4878" t="s">
        <v>386</v>
      </c>
      <c r="P4878">
        <v>17</v>
      </c>
      <c r="Q4878" t="s">
        <v>10103</v>
      </c>
    </row>
    <row r="4879" spans="1:17" x14ac:dyDescent="0.3">
      <c r="A4879" t="s">
        <v>4708</v>
      </c>
      <c r="B4879" t="str">
        <f>"301150"</f>
        <v>301150</v>
      </c>
      <c r="C4879" t="s">
        <v>10104</v>
      </c>
      <c r="P4879">
        <v>7</v>
      </c>
      <c r="Q4879" t="s">
        <v>10105</v>
      </c>
    </row>
    <row r="4880" spans="1:17" x14ac:dyDescent="0.3">
      <c r="A4880" t="s">
        <v>4708</v>
      </c>
      <c r="B4880" t="str">
        <f>"301151"</f>
        <v>301151</v>
      </c>
      <c r="C4880" t="s">
        <v>10106</v>
      </c>
      <c r="P4880">
        <v>5</v>
      </c>
      <c r="Q4880" t="s">
        <v>10107</v>
      </c>
    </row>
    <row r="4881" spans="1:17" x14ac:dyDescent="0.3">
      <c r="A4881" t="s">
        <v>4708</v>
      </c>
      <c r="B4881" t="str">
        <f>"301155"</f>
        <v>301155</v>
      </c>
      <c r="C4881" t="s">
        <v>10108</v>
      </c>
      <c r="D4881" t="s">
        <v>950</v>
      </c>
      <c r="P4881">
        <v>40</v>
      </c>
      <c r="Q4881" t="s">
        <v>10109</v>
      </c>
    </row>
    <row r="4882" spans="1:17" x14ac:dyDescent="0.3">
      <c r="A4882" t="s">
        <v>4708</v>
      </c>
      <c r="B4882" t="str">
        <f>"301158"</f>
        <v>301158</v>
      </c>
      <c r="C4882" t="s">
        <v>10110</v>
      </c>
      <c r="D4882" t="s">
        <v>395</v>
      </c>
      <c r="P4882">
        <v>12</v>
      </c>
      <c r="Q4882" t="s">
        <v>10111</v>
      </c>
    </row>
    <row r="4883" spans="1:17" x14ac:dyDescent="0.3">
      <c r="A4883" t="s">
        <v>4708</v>
      </c>
      <c r="B4883" t="str">
        <f>"301159"</f>
        <v>301159</v>
      </c>
      <c r="C4883" t="s">
        <v>10112</v>
      </c>
      <c r="D4883" t="s">
        <v>945</v>
      </c>
      <c r="P4883">
        <v>10</v>
      </c>
      <c r="Q4883" t="s">
        <v>10113</v>
      </c>
    </row>
    <row r="4884" spans="1:17" x14ac:dyDescent="0.3">
      <c r="A4884" t="s">
        <v>4708</v>
      </c>
      <c r="B4884" t="str">
        <f>"301162"</f>
        <v>301162</v>
      </c>
      <c r="C4884" t="s">
        <v>10114</v>
      </c>
      <c r="P4884">
        <v>2</v>
      </c>
      <c r="Q4884" t="s">
        <v>10115</v>
      </c>
    </row>
    <row r="4885" spans="1:17" x14ac:dyDescent="0.3">
      <c r="A4885" t="s">
        <v>4708</v>
      </c>
      <c r="B4885" t="str">
        <f>"301163"</f>
        <v>301163</v>
      </c>
      <c r="C4885" t="s">
        <v>10116</v>
      </c>
      <c r="P4885">
        <v>3</v>
      </c>
      <c r="Q4885" t="s">
        <v>10117</v>
      </c>
    </row>
    <row r="4886" spans="1:17" x14ac:dyDescent="0.3">
      <c r="A4886" t="s">
        <v>4708</v>
      </c>
      <c r="B4886" t="str">
        <f>"301166"</f>
        <v>301166</v>
      </c>
      <c r="C4886" t="s">
        <v>10118</v>
      </c>
      <c r="D4886" t="s">
        <v>1379</v>
      </c>
      <c r="P4886">
        <v>21</v>
      </c>
      <c r="Q4886" t="s">
        <v>10119</v>
      </c>
    </row>
    <row r="4887" spans="1:17" x14ac:dyDescent="0.3">
      <c r="A4887" t="s">
        <v>4708</v>
      </c>
      <c r="B4887" t="str">
        <f>"301167"</f>
        <v>301167</v>
      </c>
      <c r="C4887" t="s">
        <v>10120</v>
      </c>
      <c r="D4887" t="s">
        <v>1272</v>
      </c>
      <c r="P4887">
        <v>17</v>
      </c>
      <c r="Q4887" t="s">
        <v>10121</v>
      </c>
    </row>
    <row r="4888" spans="1:17" x14ac:dyDescent="0.3">
      <c r="A4888" t="s">
        <v>4708</v>
      </c>
      <c r="B4888" t="str">
        <f>"301168"</f>
        <v>301168</v>
      </c>
      <c r="C4888" t="s">
        <v>10122</v>
      </c>
      <c r="D4888" t="s">
        <v>478</v>
      </c>
      <c r="P4888">
        <v>14</v>
      </c>
      <c r="Q4888" t="s">
        <v>10123</v>
      </c>
    </row>
    <row r="4889" spans="1:17" x14ac:dyDescent="0.3">
      <c r="A4889" t="s">
        <v>4708</v>
      </c>
      <c r="B4889" t="str">
        <f>"301169"</f>
        <v>301169</v>
      </c>
      <c r="C4889" t="s">
        <v>10124</v>
      </c>
      <c r="D4889" t="s">
        <v>9787</v>
      </c>
      <c r="P4889">
        <v>15</v>
      </c>
      <c r="Q4889" t="s">
        <v>10125</v>
      </c>
    </row>
    <row r="4890" spans="1:17" x14ac:dyDescent="0.3">
      <c r="A4890" t="s">
        <v>4708</v>
      </c>
      <c r="B4890" t="str">
        <f>"301177"</f>
        <v>301177</v>
      </c>
      <c r="C4890" t="s">
        <v>10126</v>
      </c>
      <c r="D4890" t="s">
        <v>1238</v>
      </c>
      <c r="P4890">
        <v>30</v>
      </c>
      <c r="Q4890" t="s">
        <v>10127</v>
      </c>
    </row>
    <row r="4891" spans="1:17" x14ac:dyDescent="0.3">
      <c r="A4891" t="s">
        <v>4708</v>
      </c>
      <c r="B4891" t="str">
        <f>"301178"</f>
        <v>301178</v>
      </c>
      <c r="C4891" t="s">
        <v>10128</v>
      </c>
      <c r="D4891" t="s">
        <v>316</v>
      </c>
      <c r="P4891">
        <v>15</v>
      </c>
      <c r="Q4891" t="s">
        <v>10129</v>
      </c>
    </row>
    <row r="4892" spans="1:17" x14ac:dyDescent="0.3">
      <c r="A4892" t="s">
        <v>4708</v>
      </c>
      <c r="B4892" t="str">
        <f>"301179"</f>
        <v>301179</v>
      </c>
      <c r="C4892" t="s">
        <v>10130</v>
      </c>
      <c r="D4892" t="s">
        <v>610</v>
      </c>
      <c r="P4892">
        <v>17</v>
      </c>
      <c r="Q4892" t="s">
        <v>10131</v>
      </c>
    </row>
    <row r="4893" spans="1:17" x14ac:dyDescent="0.3">
      <c r="A4893" t="s">
        <v>4708</v>
      </c>
      <c r="B4893" t="str">
        <f>"301180"</f>
        <v>301180</v>
      </c>
      <c r="C4893" t="s">
        <v>10132</v>
      </c>
      <c r="D4893" t="s">
        <v>313</v>
      </c>
      <c r="P4893">
        <v>15</v>
      </c>
      <c r="Q4893" t="s">
        <v>10133</v>
      </c>
    </row>
    <row r="4894" spans="1:17" x14ac:dyDescent="0.3">
      <c r="A4894" t="s">
        <v>4708</v>
      </c>
      <c r="B4894" t="str">
        <f>"301181"</f>
        <v>301181</v>
      </c>
      <c r="C4894" t="s">
        <v>10134</v>
      </c>
      <c r="P4894">
        <v>5</v>
      </c>
      <c r="Q4894" t="s">
        <v>10135</v>
      </c>
    </row>
    <row r="4895" spans="1:17" x14ac:dyDescent="0.3">
      <c r="A4895" t="s">
        <v>4708</v>
      </c>
      <c r="B4895" t="str">
        <f>"301182"</f>
        <v>301182</v>
      </c>
      <c r="C4895" t="s">
        <v>10136</v>
      </c>
      <c r="D4895" t="s">
        <v>313</v>
      </c>
      <c r="P4895">
        <v>11</v>
      </c>
      <c r="Q4895" t="s">
        <v>10137</v>
      </c>
    </row>
    <row r="4896" spans="1:17" x14ac:dyDescent="0.3">
      <c r="A4896" t="s">
        <v>4708</v>
      </c>
      <c r="B4896" t="str">
        <f>"301185"</f>
        <v>301185</v>
      </c>
      <c r="C4896" t="s">
        <v>10138</v>
      </c>
      <c r="D4896" t="s">
        <v>316</v>
      </c>
      <c r="P4896">
        <v>20</v>
      </c>
      <c r="Q4896" t="s">
        <v>10139</v>
      </c>
    </row>
    <row r="4897" spans="1:17" x14ac:dyDescent="0.3">
      <c r="A4897" t="s">
        <v>4708</v>
      </c>
      <c r="B4897" t="str">
        <f>"301186"</f>
        <v>301186</v>
      </c>
      <c r="C4897" t="s">
        <v>10140</v>
      </c>
      <c r="D4897" t="s">
        <v>985</v>
      </c>
      <c r="P4897">
        <v>10</v>
      </c>
      <c r="Q4897" t="s">
        <v>10141</v>
      </c>
    </row>
    <row r="4898" spans="1:17" x14ac:dyDescent="0.3">
      <c r="A4898" t="s">
        <v>4708</v>
      </c>
      <c r="B4898" t="str">
        <f>"301187"</f>
        <v>301187</v>
      </c>
      <c r="C4898" t="s">
        <v>10142</v>
      </c>
      <c r="P4898">
        <v>1</v>
      </c>
      <c r="Q4898" t="s">
        <v>10143</v>
      </c>
    </row>
    <row r="4899" spans="1:17" x14ac:dyDescent="0.3">
      <c r="A4899" t="s">
        <v>4708</v>
      </c>
      <c r="B4899" t="str">
        <f>"301188"</f>
        <v>301188</v>
      </c>
      <c r="C4899" t="s">
        <v>10144</v>
      </c>
      <c r="D4899" t="s">
        <v>2438</v>
      </c>
      <c r="P4899">
        <v>18</v>
      </c>
      <c r="Q4899" t="s">
        <v>10145</v>
      </c>
    </row>
    <row r="4900" spans="1:17" x14ac:dyDescent="0.3">
      <c r="A4900" t="s">
        <v>4708</v>
      </c>
      <c r="B4900" t="str">
        <f>"301189"</f>
        <v>301189</v>
      </c>
      <c r="C4900" t="s">
        <v>10146</v>
      </c>
      <c r="D4900" t="s">
        <v>3511</v>
      </c>
      <c r="P4900">
        <v>10</v>
      </c>
      <c r="Q4900" t="s">
        <v>10147</v>
      </c>
    </row>
    <row r="4901" spans="1:17" x14ac:dyDescent="0.3">
      <c r="A4901" t="s">
        <v>4708</v>
      </c>
      <c r="B4901" t="str">
        <f>"301190"</f>
        <v>301190</v>
      </c>
      <c r="C4901" t="s">
        <v>10148</v>
      </c>
      <c r="D4901" t="s">
        <v>779</v>
      </c>
      <c r="P4901">
        <v>11</v>
      </c>
      <c r="Q4901" t="s">
        <v>10149</v>
      </c>
    </row>
    <row r="4902" spans="1:17" x14ac:dyDescent="0.3">
      <c r="A4902" t="s">
        <v>4708</v>
      </c>
      <c r="B4902" t="str">
        <f>"301193"</f>
        <v>301193</v>
      </c>
      <c r="C4902" t="s">
        <v>10150</v>
      </c>
      <c r="D4902" t="s">
        <v>2438</v>
      </c>
      <c r="P4902">
        <v>15</v>
      </c>
      <c r="Q4902" t="s">
        <v>10151</v>
      </c>
    </row>
    <row r="4903" spans="1:17" x14ac:dyDescent="0.3">
      <c r="A4903" t="s">
        <v>4708</v>
      </c>
      <c r="B4903" t="str">
        <f>"301196"</f>
        <v>301196</v>
      </c>
      <c r="C4903" t="s">
        <v>10152</v>
      </c>
      <c r="D4903" t="s">
        <v>1192</v>
      </c>
      <c r="P4903">
        <v>7</v>
      </c>
      <c r="Q4903" t="s">
        <v>10153</v>
      </c>
    </row>
    <row r="4904" spans="1:17" x14ac:dyDescent="0.3">
      <c r="A4904" t="s">
        <v>4708</v>
      </c>
      <c r="B4904" t="str">
        <f>"301198"</f>
        <v>301198</v>
      </c>
      <c r="C4904" t="s">
        <v>10154</v>
      </c>
      <c r="D4904" t="s">
        <v>485</v>
      </c>
      <c r="P4904">
        <v>16</v>
      </c>
      <c r="Q4904" t="s">
        <v>10155</v>
      </c>
    </row>
    <row r="4905" spans="1:17" x14ac:dyDescent="0.3">
      <c r="A4905" t="s">
        <v>4708</v>
      </c>
      <c r="B4905" t="str">
        <f>"301199"</f>
        <v>301199</v>
      </c>
      <c r="C4905" t="s">
        <v>10156</v>
      </c>
      <c r="D4905" t="s">
        <v>2923</v>
      </c>
      <c r="P4905">
        <v>10</v>
      </c>
      <c r="Q4905" t="s">
        <v>10157</v>
      </c>
    </row>
    <row r="4906" spans="1:17" x14ac:dyDescent="0.3">
      <c r="A4906" t="s">
        <v>4708</v>
      </c>
      <c r="B4906" t="str">
        <f>"301200"</f>
        <v>301200</v>
      </c>
      <c r="C4906" t="s">
        <v>10158</v>
      </c>
      <c r="P4906">
        <v>13</v>
      </c>
      <c r="Q4906" t="s">
        <v>10159</v>
      </c>
    </row>
    <row r="4907" spans="1:17" x14ac:dyDescent="0.3">
      <c r="A4907" t="s">
        <v>4708</v>
      </c>
      <c r="B4907" t="str">
        <f>"301201"</f>
        <v>301201</v>
      </c>
      <c r="C4907" t="s">
        <v>10160</v>
      </c>
      <c r="D4907" t="s">
        <v>1461</v>
      </c>
      <c r="P4907">
        <v>18</v>
      </c>
      <c r="Q4907" t="s">
        <v>10161</v>
      </c>
    </row>
    <row r="4908" spans="1:17" x14ac:dyDescent="0.3">
      <c r="A4908" t="s">
        <v>4708</v>
      </c>
      <c r="B4908" t="str">
        <f>"301206"</f>
        <v>301206</v>
      </c>
      <c r="C4908" t="s">
        <v>10162</v>
      </c>
      <c r="P4908">
        <v>24</v>
      </c>
      <c r="Q4908" t="s">
        <v>10163</v>
      </c>
    </row>
    <row r="4909" spans="1:17" x14ac:dyDescent="0.3">
      <c r="A4909" t="s">
        <v>4708</v>
      </c>
      <c r="B4909" t="str">
        <f>"301207"</f>
        <v>301207</v>
      </c>
      <c r="C4909" t="s">
        <v>10164</v>
      </c>
      <c r="P4909">
        <v>19</v>
      </c>
      <c r="Q4909" t="s">
        <v>10165</v>
      </c>
    </row>
    <row r="4910" spans="1:17" x14ac:dyDescent="0.3">
      <c r="A4910" t="s">
        <v>4708</v>
      </c>
      <c r="B4910" t="str">
        <f>"301211"</f>
        <v>301211</v>
      </c>
      <c r="C4910" t="s">
        <v>10166</v>
      </c>
      <c r="D4910" t="s">
        <v>496</v>
      </c>
      <c r="P4910">
        <v>14</v>
      </c>
      <c r="Q4910" t="s">
        <v>10167</v>
      </c>
    </row>
    <row r="4911" spans="1:17" x14ac:dyDescent="0.3">
      <c r="A4911" t="s">
        <v>4708</v>
      </c>
      <c r="B4911" t="str">
        <f>"301212"</f>
        <v>301212</v>
      </c>
      <c r="C4911" t="s">
        <v>10168</v>
      </c>
      <c r="P4911">
        <v>3</v>
      </c>
      <c r="Q4911" t="s">
        <v>10169</v>
      </c>
    </row>
    <row r="4912" spans="1:17" x14ac:dyDescent="0.3">
      <c r="A4912" t="s">
        <v>4708</v>
      </c>
      <c r="B4912" t="str">
        <f>"301213"</f>
        <v>301213</v>
      </c>
      <c r="C4912" t="s">
        <v>10170</v>
      </c>
      <c r="D4912" t="s">
        <v>1136</v>
      </c>
      <c r="P4912">
        <v>16</v>
      </c>
      <c r="Q4912" t="s">
        <v>10171</v>
      </c>
    </row>
    <row r="4913" spans="1:17" x14ac:dyDescent="0.3">
      <c r="A4913" t="s">
        <v>4708</v>
      </c>
      <c r="B4913" t="str">
        <f>"301215"</f>
        <v>301215</v>
      </c>
      <c r="C4913" t="s">
        <v>10172</v>
      </c>
      <c r="P4913">
        <v>7</v>
      </c>
      <c r="Q4913" t="s">
        <v>10173</v>
      </c>
    </row>
    <row r="4914" spans="1:17" x14ac:dyDescent="0.3">
      <c r="A4914" t="s">
        <v>4708</v>
      </c>
      <c r="B4914" t="str">
        <f>"301216"</f>
        <v>301216</v>
      </c>
      <c r="C4914" t="s">
        <v>10174</v>
      </c>
      <c r="P4914">
        <v>6</v>
      </c>
      <c r="Q4914" t="s">
        <v>10175</v>
      </c>
    </row>
    <row r="4915" spans="1:17" x14ac:dyDescent="0.3">
      <c r="A4915" t="s">
        <v>4708</v>
      </c>
      <c r="B4915" t="str">
        <f>"301217"</f>
        <v>301217</v>
      </c>
      <c r="C4915" t="s">
        <v>10176</v>
      </c>
      <c r="P4915">
        <v>16</v>
      </c>
      <c r="Q4915" t="s">
        <v>10177</v>
      </c>
    </row>
    <row r="4916" spans="1:17" x14ac:dyDescent="0.3">
      <c r="A4916" t="s">
        <v>4708</v>
      </c>
      <c r="B4916" t="str">
        <f>"301218"</f>
        <v>301218</v>
      </c>
      <c r="C4916" t="s">
        <v>10178</v>
      </c>
      <c r="P4916">
        <v>8</v>
      </c>
      <c r="Q4916" t="s">
        <v>10179</v>
      </c>
    </row>
    <row r="4917" spans="1:17" x14ac:dyDescent="0.3">
      <c r="A4917" t="s">
        <v>4708</v>
      </c>
      <c r="B4917" t="str">
        <f>"301219"</f>
        <v>301219</v>
      </c>
      <c r="C4917" t="s">
        <v>10180</v>
      </c>
      <c r="P4917">
        <v>8</v>
      </c>
      <c r="Q4917" t="s">
        <v>10181</v>
      </c>
    </row>
    <row r="4918" spans="1:17" x14ac:dyDescent="0.3">
      <c r="A4918" t="s">
        <v>4708</v>
      </c>
      <c r="B4918" t="str">
        <f>"301221"</f>
        <v>301221</v>
      </c>
      <c r="C4918" t="s">
        <v>10182</v>
      </c>
      <c r="D4918" t="s">
        <v>1415</v>
      </c>
      <c r="P4918">
        <v>16</v>
      </c>
      <c r="Q4918" t="s">
        <v>10183</v>
      </c>
    </row>
    <row r="4919" spans="1:17" x14ac:dyDescent="0.3">
      <c r="A4919" t="s">
        <v>4708</v>
      </c>
      <c r="B4919" t="str">
        <f>"301222"</f>
        <v>301222</v>
      </c>
      <c r="C4919" t="s">
        <v>10184</v>
      </c>
      <c r="P4919">
        <v>4</v>
      </c>
      <c r="Q4919" t="s">
        <v>10185</v>
      </c>
    </row>
    <row r="4920" spans="1:17" x14ac:dyDescent="0.3">
      <c r="A4920" t="s">
        <v>4708</v>
      </c>
      <c r="B4920" t="str">
        <f>"301226"</f>
        <v>301226</v>
      </c>
      <c r="C4920" t="s">
        <v>10186</v>
      </c>
      <c r="P4920">
        <v>4</v>
      </c>
      <c r="Q4920" t="s">
        <v>10187</v>
      </c>
    </row>
    <row r="4921" spans="1:17" x14ac:dyDescent="0.3">
      <c r="A4921" t="s">
        <v>4708</v>
      </c>
      <c r="B4921" t="str">
        <f>"301228"</f>
        <v>301228</v>
      </c>
      <c r="C4921" t="s">
        <v>10188</v>
      </c>
      <c r="P4921">
        <v>11</v>
      </c>
      <c r="Q4921" t="s">
        <v>10189</v>
      </c>
    </row>
    <row r="4922" spans="1:17" x14ac:dyDescent="0.3">
      <c r="A4922" t="s">
        <v>4708</v>
      </c>
      <c r="B4922" t="str">
        <f>"301229"</f>
        <v>301229</v>
      </c>
      <c r="C4922" t="s">
        <v>10190</v>
      </c>
      <c r="P4922">
        <v>6</v>
      </c>
      <c r="Q4922" t="s">
        <v>10191</v>
      </c>
    </row>
    <row r="4923" spans="1:17" x14ac:dyDescent="0.3">
      <c r="A4923" t="s">
        <v>4708</v>
      </c>
      <c r="B4923" t="str">
        <f>"301235"</f>
        <v>301235</v>
      </c>
      <c r="C4923" t="s">
        <v>10192</v>
      </c>
      <c r="P4923">
        <v>11</v>
      </c>
      <c r="Q4923" t="s">
        <v>10193</v>
      </c>
    </row>
    <row r="4924" spans="1:17" x14ac:dyDescent="0.3">
      <c r="A4924" t="s">
        <v>4708</v>
      </c>
      <c r="B4924" t="str">
        <f>"301236"</f>
        <v>301236</v>
      </c>
      <c r="C4924" t="s">
        <v>10194</v>
      </c>
      <c r="P4924">
        <v>4</v>
      </c>
      <c r="Q4924" t="s">
        <v>10195</v>
      </c>
    </row>
    <row r="4925" spans="1:17" x14ac:dyDescent="0.3">
      <c r="A4925" t="s">
        <v>4708</v>
      </c>
      <c r="B4925" t="str">
        <f>"301237"</f>
        <v>301237</v>
      </c>
      <c r="C4925" t="s">
        <v>10196</v>
      </c>
      <c r="P4925">
        <v>6</v>
      </c>
      <c r="Q4925" t="s">
        <v>10197</v>
      </c>
    </row>
    <row r="4926" spans="1:17" x14ac:dyDescent="0.3">
      <c r="A4926" t="s">
        <v>4708</v>
      </c>
      <c r="B4926" t="str">
        <f>"301248"</f>
        <v>301248</v>
      </c>
      <c r="C4926" t="s">
        <v>10198</v>
      </c>
      <c r="P4926">
        <v>2</v>
      </c>
      <c r="Q4926" t="s">
        <v>10199</v>
      </c>
    </row>
    <row r="4927" spans="1:17" x14ac:dyDescent="0.3">
      <c r="A4927" t="s">
        <v>4708</v>
      </c>
      <c r="B4927" t="str">
        <f>"301256"</f>
        <v>301256</v>
      </c>
      <c r="C4927" t="s">
        <v>10200</v>
      </c>
      <c r="P4927">
        <v>3</v>
      </c>
      <c r="Q4927" t="s">
        <v>10201</v>
      </c>
    </row>
    <row r="4928" spans="1:17" x14ac:dyDescent="0.3">
      <c r="A4928" t="s">
        <v>4708</v>
      </c>
      <c r="B4928" t="str">
        <f>"301258"</f>
        <v>301258</v>
      </c>
      <c r="C4928" t="s">
        <v>10202</v>
      </c>
      <c r="P4928">
        <v>4</v>
      </c>
      <c r="Q4928" t="s">
        <v>10203</v>
      </c>
    </row>
    <row r="4929" spans="1:17" x14ac:dyDescent="0.3">
      <c r="A4929" t="s">
        <v>4708</v>
      </c>
      <c r="B4929" t="str">
        <f>"301259"</f>
        <v>301259</v>
      </c>
      <c r="C4929" t="s">
        <v>10204</v>
      </c>
      <c r="P4929">
        <v>0</v>
      </c>
      <c r="Q4929" t="s">
        <v>10205</v>
      </c>
    </row>
    <row r="4930" spans="1:17" x14ac:dyDescent="0.3">
      <c r="A4930" t="s">
        <v>4708</v>
      </c>
      <c r="B4930" t="str">
        <f>"301263"</f>
        <v>301263</v>
      </c>
      <c r="C4930" t="s">
        <v>10206</v>
      </c>
      <c r="P4930">
        <v>5</v>
      </c>
      <c r="Q4930" t="s">
        <v>10207</v>
      </c>
    </row>
    <row r="4931" spans="1:17" x14ac:dyDescent="0.3">
      <c r="A4931" t="s">
        <v>4708</v>
      </c>
      <c r="B4931" t="str">
        <f>"301268"</f>
        <v>301268</v>
      </c>
      <c r="C4931" t="s">
        <v>10208</v>
      </c>
      <c r="P4931">
        <v>2</v>
      </c>
      <c r="Q4931" t="s">
        <v>10209</v>
      </c>
    </row>
    <row r="4932" spans="1:17" x14ac:dyDescent="0.3">
      <c r="A4932" t="s">
        <v>4708</v>
      </c>
      <c r="B4932" t="str">
        <f>"301279"</f>
        <v>301279</v>
      </c>
      <c r="C4932" t="s">
        <v>10210</v>
      </c>
      <c r="P4932">
        <v>5</v>
      </c>
      <c r="Q4932" t="s">
        <v>10211</v>
      </c>
    </row>
    <row r="4933" spans="1:17" x14ac:dyDescent="0.3">
      <c r="A4933" t="s">
        <v>4708</v>
      </c>
      <c r="B4933" t="str">
        <f>"301288"</f>
        <v>301288</v>
      </c>
      <c r="C4933" t="s">
        <v>10212</v>
      </c>
      <c r="P4933">
        <v>4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筛选器_大陆_20220502_014505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2022-05-01T17:45:20Z</dcterms:created>
  <dcterms:modified xsi:type="dcterms:W3CDTF">2022-05-01T17:45:20Z</dcterms:modified>
</cp:coreProperties>
</file>